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4.xml" ContentType="application/vnd.openxmlformats-officedocument.spreadsheetml.comments+xml"/>
  <Override PartName="/xl/drawings/drawing10.xml" ContentType="application/vnd.openxmlformats-officedocument.drawing+xml"/>
  <Override PartName="/xl/comments5.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NOVO\OneDrive\Desktop\jobaaj sun pharmna\"/>
    </mc:Choice>
  </mc:AlternateContent>
  <bookViews>
    <workbookView xWindow="0" yWindow="0" windowWidth="17256" windowHeight="6372" firstSheet="6" activeTab="1"/>
  </bookViews>
  <sheets>
    <sheet name="Intro &amp; Core Assumptions" sheetId="29" r:id="rId1"/>
    <sheet name="Assumptions" sheetId="5" r:id="rId2"/>
    <sheet name="Revenue Buildup" sheetId="17" r:id="rId3"/>
    <sheet name="Historical" sheetId="21" r:id="rId4"/>
    <sheet name="Schedules" sheetId="19" r:id="rId5"/>
    <sheet name="Balance Sheet" sheetId="3" r:id="rId6"/>
    <sheet name="Income Statement" sheetId="4" r:id="rId7"/>
    <sheet name="CFS" sheetId="20" r:id="rId8"/>
    <sheet name="DCF Valuation" sheetId="6" r:id="rId9"/>
    <sheet name="WACC" sheetId="8" r:id="rId10"/>
    <sheet name="Beta" sheetId="7" r:id="rId11"/>
    <sheet name="Market Return" sheetId="9" r:id="rId12"/>
    <sheet name="Relative Valuation" sheetId="14" r:id="rId13"/>
    <sheet name="Comps Data" sheetId="22" r:id="rId14"/>
    <sheet name="Ratio Analysis" sheetId="28" r:id="rId15"/>
    <sheet name="Summary" sheetId="23" r:id="rId16"/>
  </sheets>
  <definedNames>
    <definedName name="_xlnm._FilterDatabase" localSheetId="10" hidden="1">Beta!$F$8:$H$8</definedName>
    <definedName name="solver_eng" localSheetId="10" hidden="1">1</definedName>
    <definedName name="solver_neg" localSheetId="10" hidden="1">1</definedName>
    <definedName name="solver_num" localSheetId="10" hidden="1">0</definedName>
    <definedName name="solver_opt" localSheetId="10" hidden="1">Beta!$J$8</definedName>
    <definedName name="solver_typ" localSheetId="10" hidden="1">1</definedName>
    <definedName name="solver_val" localSheetId="10" hidden="1">0</definedName>
    <definedName name="solver_ver" localSheetId="10" hidden="1">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7" i="6" l="1"/>
  <c r="C27" i="6"/>
  <c r="C26" i="19" l="1"/>
  <c r="D12" i="20"/>
  <c r="N14" i="5" l="1"/>
  <c r="M14" i="5"/>
  <c r="L14" i="5"/>
  <c r="J14" i="5"/>
  <c r="H14" i="5"/>
  <c r="P18" i="5" l="1"/>
  <c r="N18" i="5"/>
  <c r="L18" i="5"/>
  <c r="J18" i="5"/>
  <c r="H18" i="5"/>
  <c r="H2485" i="7" l="1"/>
  <c r="H2484" i="7"/>
  <c r="H2483" i="7"/>
  <c r="H2482" i="7"/>
  <c r="H2481" i="7"/>
  <c r="H2480" i="7"/>
  <c r="H2479" i="7"/>
  <c r="H2478" i="7"/>
  <c r="H2477" i="7"/>
  <c r="H2476" i="7"/>
  <c r="H2475" i="7"/>
  <c r="H2474" i="7"/>
  <c r="H2473" i="7"/>
  <c r="H2472" i="7"/>
  <c r="H2471" i="7"/>
  <c r="H2470" i="7"/>
  <c r="H2469" i="7"/>
  <c r="H2468" i="7"/>
  <c r="H2467" i="7"/>
  <c r="H2466" i="7"/>
  <c r="H2465" i="7"/>
  <c r="H2464" i="7"/>
  <c r="H2463" i="7"/>
  <c r="H2462" i="7"/>
  <c r="H2461" i="7"/>
  <c r="H2460" i="7"/>
  <c r="H2459" i="7"/>
  <c r="H2458" i="7"/>
  <c r="H2457" i="7"/>
  <c r="H2456" i="7"/>
  <c r="H2455" i="7"/>
  <c r="H2454" i="7"/>
  <c r="H2453" i="7"/>
  <c r="H2452" i="7"/>
  <c r="H2451" i="7"/>
  <c r="H2450" i="7"/>
  <c r="H2449" i="7"/>
  <c r="H2448" i="7"/>
  <c r="H2447" i="7"/>
  <c r="H2446" i="7"/>
  <c r="H2445" i="7"/>
  <c r="H2444" i="7"/>
  <c r="H2443" i="7"/>
  <c r="H2442" i="7"/>
  <c r="H2441" i="7"/>
  <c r="H2440" i="7"/>
  <c r="H2439" i="7"/>
  <c r="H2438" i="7"/>
  <c r="H2437" i="7"/>
  <c r="H2436" i="7"/>
  <c r="H2435" i="7"/>
  <c r="H2434" i="7"/>
  <c r="H2433" i="7"/>
  <c r="H2432" i="7"/>
  <c r="H2431" i="7"/>
  <c r="H2430" i="7"/>
  <c r="H2429" i="7"/>
  <c r="H2428" i="7"/>
  <c r="H2427" i="7"/>
  <c r="H2426" i="7"/>
  <c r="H2425" i="7"/>
  <c r="H2424" i="7"/>
  <c r="H2423" i="7"/>
  <c r="H2422" i="7"/>
  <c r="H2421" i="7"/>
  <c r="H2420" i="7"/>
  <c r="H2419" i="7"/>
  <c r="H2418" i="7"/>
  <c r="H2417" i="7"/>
  <c r="H2416" i="7"/>
  <c r="H2415" i="7"/>
  <c r="H2414" i="7"/>
  <c r="H2413" i="7"/>
  <c r="H2412" i="7"/>
  <c r="H2411" i="7"/>
  <c r="H2410" i="7"/>
  <c r="H2409" i="7"/>
  <c r="H2408" i="7"/>
  <c r="H2407" i="7"/>
  <c r="H2406" i="7"/>
  <c r="H2405" i="7"/>
  <c r="H2404" i="7"/>
  <c r="H2403" i="7"/>
  <c r="H2402" i="7"/>
  <c r="H2401" i="7"/>
  <c r="H2400" i="7"/>
  <c r="H2399" i="7"/>
  <c r="H2398" i="7"/>
  <c r="H2397" i="7"/>
  <c r="H2396" i="7"/>
  <c r="H2395" i="7"/>
  <c r="H2394" i="7"/>
  <c r="H2393" i="7"/>
  <c r="H2392" i="7"/>
  <c r="H2391" i="7"/>
  <c r="H2390" i="7"/>
  <c r="H2389" i="7"/>
  <c r="H2388" i="7"/>
  <c r="H2387" i="7"/>
  <c r="H2386" i="7"/>
  <c r="H2385" i="7"/>
  <c r="H2384" i="7"/>
  <c r="H2383" i="7"/>
  <c r="H2382" i="7"/>
  <c r="H2381" i="7"/>
  <c r="H2380" i="7"/>
  <c r="H2379" i="7"/>
  <c r="H2378" i="7"/>
  <c r="H2377" i="7"/>
  <c r="H2376" i="7"/>
  <c r="H2375" i="7"/>
  <c r="H2374" i="7"/>
  <c r="H2373" i="7"/>
  <c r="H2372" i="7"/>
  <c r="H2371" i="7"/>
  <c r="H2370" i="7"/>
  <c r="H2369" i="7"/>
  <c r="H2368" i="7"/>
  <c r="H2367" i="7"/>
  <c r="H2366" i="7"/>
  <c r="H2365" i="7"/>
  <c r="H2364" i="7"/>
  <c r="H2363" i="7"/>
  <c r="H2362" i="7"/>
  <c r="H2361" i="7"/>
  <c r="H2360" i="7"/>
  <c r="H2359" i="7"/>
  <c r="H2358" i="7"/>
  <c r="H2357" i="7"/>
  <c r="H2356" i="7"/>
  <c r="H2355" i="7"/>
  <c r="H2354" i="7"/>
  <c r="H2353" i="7"/>
  <c r="H2352" i="7"/>
  <c r="H2351" i="7"/>
  <c r="H2350" i="7"/>
  <c r="H2349" i="7"/>
  <c r="H2348" i="7"/>
  <c r="H2347" i="7"/>
  <c r="H2346" i="7"/>
  <c r="H2345" i="7"/>
  <c r="H2344" i="7"/>
  <c r="H2343" i="7"/>
  <c r="H2342" i="7"/>
  <c r="H2341" i="7"/>
  <c r="H2340" i="7"/>
  <c r="H2339" i="7"/>
  <c r="H2338" i="7"/>
  <c r="H2337" i="7"/>
  <c r="H2336" i="7"/>
  <c r="H2335" i="7"/>
  <c r="H2334" i="7"/>
  <c r="H2333" i="7"/>
  <c r="H2332" i="7"/>
  <c r="H2331" i="7"/>
  <c r="H2330" i="7"/>
  <c r="H2329" i="7"/>
  <c r="H2328" i="7"/>
  <c r="H2327" i="7"/>
  <c r="H2326" i="7"/>
  <c r="H2325" i="7"/>
  <c r="H2324" i="7"/>
  <c r="H2323" i="7"/>
  <c r="H2322" i="7"/>
  <c r="H2321" i="7"/>
  <c r="H2320" i="7"/>
  <c r="H2319" i="7"/>
  <c r="H2318" i="7"/>
  <c r="H2317" i="7"/>
  <c r="H2316" i="7"/>
  <c r="H2315" i="7"/>
  <c r="H2314" i="7"/>
  <c r="H2313" i="7"/>
  <c r="H2312" i="7"/>
  <c r="H2311" i="7"/>
  <c r="H2310" i="7"/>
  <c r="H2309" i="7"/>
  <c r="H2308" i="7"/>
  <c r="H2307" i="7"/>
  <c r="H2306" i="7"/>
  <c r="H2305" i="7"/>
  <c r="H2304" i="7"/>
  <c r="H2303" i="7"/>
  <c r="H2302" i="7"/>
  <c r="H2301" i="7"/>
  <c r="H2300" i="7"/>
  <c r="H2299" i="7"/>
  <c r="H2298" i="7"/>
  <c r="H2297" i="7"/>
  <c r="H2296" i="7"/>
  <c r="H2295" i="7"/>
  <c r="H2294" i="7"/>
  <c r="H2293" i="7"/>
  <c r="H2292" i="7"/>
  <c r="H2291" i="7"/>
  <c r="H2290" i="7"/>
  <c r="H2289" i="7"/>
  <c r="H2288" i="7"/>
  <c r="H2287" i="7"/>
  <c r="H2286" i="7"/>
  <c r="H2285" i="7"/>
  <c r="H2284" i="7"/>
  <c r="H2283" i="7"/>
  <c r="H2282" i="7"/>
  <c r="H2281" i="7"/>
  <c r="H2280" i="7"/>
  <c r="H2279" i="7"/>
  <c r="H2278" i="7"/>
  <c r="H2277" i="7"/>
  <c r="H2276" i="7"/>
  <c r="H2275" i="7"/>
  <c r="H2274" i="7"/>
  <c r="H2273" i="7"/>
  <c r="H2272" i="7"/>
  <c r="H2271" i="7"/>
  <c r="H2270" i="7"/>
  <c r="H2269" i="7"/>
  <c r="H2268" i="7"/>
  <c r="H2267" i="7"/>
  <c r="H2266" i="7"/>
  <c r="H2265" i="7"/>
  <c r="H2264" i="7"/>
  <c r="H2263" i="7"/>
  <c r="H2262" i="7"/>
  <c r="H2261" i="7"/>
  <c r="H2260" i="7"/>
  <c r="H2259" i="7"/>
  <c r="H2258" i="7"/>
  <c r="H2257" i="7"/>
  <c r="H2256" i="7"/>
  <c r="H2255" i="7"/>
  <c r="H2254" i="7"/>
  <c r="H2253" i="7"/>
  <c r="H2252" i="7"/>
  <c r="H2251" i="7"/>
  <c r="H2250" i="7"/>
  <c r="H2249" i="7"/>
  <c r="H2248" i="7"/>
  <c r="H2247" i="7"/>
  <c r="H2246" i="7"/>
  <c r="H2245" i="7"/>
  <c r="H2244" i="7"/>
  <c r="H2243" i="7"/>
  <c r="H2242" i="7"/>
  <c r="H2241" i="7"/>
  <c r="H2240" i="7"/>
  <c r="H2239" i="7"/>
  <c r="H2238" i="7"/>
  <c r="H2237" i="7"/>
  <c r="H2236" i="7"/>
  <c r="H2235" i="7"/>
  <c r="H2234" i="7"/>
  <c r="H2233" i="7"/>
  <c r="H2232" i="7"/>
  <c r="H2231" i="7"/>
  <c r="H2230" i="7"/>
  <c r="H2229" i="7"/>
  <c r="H2228" i="7"/>
  <c r="H2227" i="7"/>
  <c r="H2226" i="7"/>
  <c r="H2225" i="7"/>
  <c r="H2224" i="7"/>
  <c r="H2223" i="7"/>
  <c r="H2222" i="7"/>
  <c r="H2221" i="7"/>
  <c r="H2220" i="7"/>
  <c r="H2219" i="7"/>
  <c r="H2218" i="7"/>
  <c r="H2217" i="7"/>
  <c r="H2216" i="7"/>
  <c r="H2215" i="7"/>
  <c r="H2214" i="7"/>
  <c r="H2213" i="7"/>
  <c r="H2212" i="7"/>
  <c r="H2211" i="7"/>
  <c r="H2210" i="7"/>
  <c r="H2209" i="7"/>
  <c r="H2208" i="7"/>
  <c r="H2207" i="7"/>
  <c r="H2206" i="7"/>
  <c r="H2205" i="7"/>
  <c r="H2204" i="7"/>
  <c r="H2203" i="7"/>
  <c r="H2202" i="7"/>
  <c r="H2201" i="7"/>
  <c r="H2200" i="7"/>
  <c r="H2199" i="7"/>
  <c r="H2198" i="7"/>
  <c r="H2197" i="7"/>
  <c r="H2196" i="7"/>
  <c r="H2195" i="7"/>
  <c r="H2194" i="7"/>
  <c r="H2193" i="7"/>
  <c r="H2192" i="7"/>
  <c r="H2191" i="7"/>
  <c r="H2190" i="7"/>
  <c r="H2189" i="7"/>
  <c r="H2188" i="7"/>
  <c r="H2187" i="7"/>
  <c r="H2186" i="7"/>
  <c r="H2185" i="7"/>
  <c r="H2184" i="7"/>
  <c r="H2183" i="7"/>
  <c r="H2182" i="7"/>
  <c r="H2181" i="7"/>
  <c r="H2180" i="7"/>
  <c r="H2179" i="7"/>
  <c r="H2178" i="7"/>
  <c r="H2177" i="7"/>
  <c r="H2176" i="7"/>
  <c r="H2175" i="7"/>
  <c r="H2174" i="7"/>
  <c r="H2173" i="7"/>
  <c r="H2172" i="7"/>
  <c r="H2171" i="7"/>
  <c r="H2170" i="7"/>
  <c r="H2169" i="7"/>
  <c r="H2168" i="7"/>
  <c r="H2167" i="7"/>
  <c r="H2166" i="7"/>
  <c r="H2165" i="7"/>
  <c r="H2164" i="7"/>
  <c r="H2163" i="7"/>
  <c r="H2162" i="7"/>
  <c r="H2161" i="7"/>
  <c r="H2160" i="7"/>
  <c r="H2159" i="7"/>
  <c r="H2158" i="7"/>
  <c r="H2157" i="7"/>
  <c r="H2156" i="7"/>
  <c r="H2155" i="7"/>
  <c r="H2154" i="7"/>
  <c r="H2153" i="7"/>
  <c r="H2152" i="7"/>
  <c r="H2151" i="7"/>
  <c r="H2150" i="7"/>
  <c r="H2149" i="7"/>
  <c r="H2148" i="7"/>
  <c r="H2147" i="7"/>
  <c r="H2146" i="7"/>
  <c r="H2145" i="7"/>
  <c r="H2144" i="7"/>
  <c r="H2143" i="7"/>
  <c r="H2142" i="7"/>
  <c r="H2141" i="7"/>
  <c r="H2140" i="7"/>
  <c r="H2139" i="7"/>
  <c r="H2138" i="7"/>
  <c r="H2137" i="7"/>
  <c r="H2136" i="7"/>
  <c r="H2135" i="7"/>
  <c r="H2134" i="7"/>
  <c r="H2133" i="7"/>
  <c r="H2132" i="7"/>
  <c r="H2131" i="7"/>
  <c r="H2130" i="7"/>
  <c r="H2129" i="7"/>
  <c r="H2128" i="7"/>
  <c r="H2127" i="7"/>
  <c r="H2126" i="7"/>
  <c r="H2125" i="7"/>
  <c r="H2124" i="7"/>
  <c r="H2123" i="7"/>
  <c r="H2122" i="7"/>
  <c r="H2121" i="7"/>
  <c r="H2120" i="7"/>
  <c r="H2119" i="7"/>
  <c r="H2118" i="7"/>
  <c r="H2117" i="7"/>
  <c r="H2116" i="7"/>
  <c r="H2115" i="7"/>
  <c r="H2114" i="7"/>
  <c r="H2113" i="7"/>
  <c r="H2112" i="7"/>
  <c r="H2111" i="7"/>
  <c r="H2110" i="7"/>
  <c r="H2109" i="7"/>
  <c r="H2108" i="7"/>
  <c r="H2107" i="7"/>
  <c r="H2106" i="7"/>
  <c r="H2105" i="7"/>
  <c r="H2104" i="7"/>
  <c r="H2103" i="7"/>
  <c r="H2102" i="7"/>
  <c r="H2101" i="7"/>
  <c r="H2100" i="7"/>
  <c r="H2099" i="7"/>
  <c r="H2098" i="7"/>
  <c r="H2097" i="7"/>
  <c r="H2096" i="7"/>
  <c r="H2095" i="7"/>
  <c r="H2094" i="7"/>
  <c r="H2093" i="7"/>
  <c r="H2092" i="7"/>
  <c r="H2091" i="7"/>
  <c r="H2090" i="7"/>
  <c r="H2089" i="7"/>
  <c r="H2088" i="7"/>
  <c r="H2087" i="7"/>
  <c r="H2086" i="7"/>
  <c r="H2085" i="7"/>
  <c r="H2084" i="7"/>
  <c r="H2083" i="7"/>
  <c r="H2082" i="7"/>
  <c r="H2081" i="7"/>
  <c r="H2080" i="7"/>
  <c r="H2079" i="7"/>
  <c r="H2078" i="7"/>
  <c r="H2077" i="7"/>
  <c r="H2076" i="7"/>
  <c r="H2075" i="7"/>
  <c r="H2074" i="7"/>
  <c r="H2073" i="7"/>
  <c r="H2072" i="7"/>
  <c r="H2071" i="7"/>
  <c r="H2070" i="7"/>
  <c r="H2069" i="7"/>
  <c r="H2068" i="7"/>
  <c r="H2067" i="7"/>
  <c r="H2066" i="7"/>
  <c r="H2065" i="7"/>
  <c r="H2064" i="7"/>
  <c r="H2063" i="7"/>
  <c r="H2062" i="7"/>
  <c r="H2061" i="7"/>
  <c r="H2060" i="7"/>
  <c r="H2059" i="7"/>
  <c r="H2058" i="7"/>
  <c r="H2057" i="7"/>
  <c r="H2056" i="7"/>
  <c r="H2055" i="7"/>
  <c r="H2054" i="7"/>
  <c r="H2053" i="7"/>
  <c r="H2052" i="7"/>
  <c r="H2051" i="7"/>
  <c r="H2050" i="7"/>
  <c r="H2049" i="7"/>
  <c r="H2048" i="7"/>
  <c r="H2047" i="7"/>
  <c r="H2046" i="7"/>
  <c r="H2045" i="7"/>
  <c r="H2044" i="7"/>
  <c r="H2043" i="7"/>
  <c r="H2042" i="7"/>
  <c r="H2041" i="7"/>
  <c r="H2040" i="7"/>
  <c r="H2039" i="7"/>
  <c r="H2038" i="7"/>
  <c r="H2037" i="7"/>
  <c r="H2036" i="7"/>
  <c r="H2035" i="7"/>
  <c r="H2034" i="7"/>
  <c r="H2033" i="7"/>
  <c r="H2032" i="7"/>
  <c r="H2031" i="7"/>
  <c r="H2030" i="7"/>
  <c r="H2029" i="7"/>
  <c r="H2028" i="7"/>
  <c r="H2027" i="7"/>
  <c r="H2026" i="7"/>
  <c r="H2025" i="7"/>
  <c r="H2024" i="7"/>
  <c r="H2023" i="7"/>
  <c r="H2022" i="7"/>
  <c r="H2021" i="7"/>
  <c r="H2020" i="7"/>
  <c r="H2019" i="7"/>
  <c r="H2018" i="7"/>
  <c r="H2017" i="7"/>
  <c r="H2016" i="7"/>
  <c r="H2015" i="7"/>
  <c r="H2014" i="7"/>
  <c r="H2013" i="7"/>
  <c r="H2012" i="7"/>
  <c r="H2011" i="7"/>
  <c r="H2010" i="7"/>
  <c r="H2009" i="7"/>
  <c r="H2008" i="7"/>
  <c r="H2007" i="7"/>
  <c r="H2006" i="7"/>
  <c r="H2005" i="7"/>
  <c r="H2004" i="7"/>
  <c r="H2003" i="7"/>
  <c r="H2002" i="7"/>
  <c r="H2001" i="7"/>
  <c r="H2000" i="7"/>
  <c r="H1999" i="7"/>
  <c r="H1998" i="7"/>
  <c r="H1997" i="7"/>
  <c r="H1996" i="7"/>
  <c r="H1995" i="7"/>
  <c r="H1994" i="7"/>
  <c r="H1993" i="7"/>
  <c r="H1992" i="7"/>
  <c r="H1991" i="7"/>
  <c r="H1990" i="7"/>
  <c r="H1989" i="7"/>
  <c r="H1988" i="7"/>
  <c r="H1987" i="7"/>
  <c r="H1986" i="7"/>
  <c r="H1985" i="7"/>
  <c r="H1984" i="7"/>
  <c r="H1983" i="7"/>
  <c r="H1982" i="7"/>
  <c r="H1981" i="7"/>
  <c r="H1980" i="7"/>
  <c r="H1979" i="7"/>
  <c r="H1978" i="7"/>
  <c r="H1977" i="7"/>
  <c r="H1976" i="7"/>
  <c r="H1975" i="7"/>
  <c r="H1974" i="7"/>
  <c r="H1973" i="7"/>
  <c r="H1972" i="7"/>
  <c r="H1971" i="7"/>
  <c r="H1970" i="7"/>
  <c r="H1969" i="7"/>
  <c r="H1968" i="7"/>
  <c r="H1967" i="7"/>
  <c r="H1966" i="7"/>
  <c r="H1965" i="7"/>
  <c r="H1964" i="7"/>
  <c r="H1963" i="7"/>
  <c r="H1962" i="7"/>
  <c r="H1961" i="7"/>
  <c r="H1960" i="7"/>
  <c r="H1959" i="7"/>
  <c r="H1958" i="7"/>
  <c r="H1957" i="7"/>
  <c r="H1956" i="7"/>
  <c r="H1955" i="7"/>
  <c r="H1954" i="7"/>
  <c r="H1953" i="7"/>
  <c r="H1952" i="7"/>
  <c r="H1951" i="7"/>
  <c r="H1950" i="7"/>
  <c r="H1949" i="7"/>
  <c r="H1948" i="7"/>
  <c r="H1947" i="7"/>
  <c r="H1946" i="7"/>
  <c r="H1945" i="7"/>
  <c r="H1944" i="7"/>
  <c r="H1943" i="7"/>
  <c r="H1942" i="7"/>
  <c r="H1941" i="7"/>
  <c r="H1940" i="7"/>
  <c r="H1939" i="7"/>
  <c r="H1938" i="7"/>
  <c r="H1937" i="7"/>
  <c r="H1936" i="7"/>
  <c r="H1935" i="7"/>
  <c r="H1934" i="7"/>
  <c r="H1933" i="7"/>
  <c r="H1932" i="7"/>
  <c r="H1931" i="7"/>
  <c r="H1930" i="7"/>
  <c r="H1929" i="7"/>
  <c r="H1928" i="7"/>
  <c r="H1927" i="7"/>
  <c r="H1926" i="7"/>
  <c r="H1925" i="7"/>
  <c r="H1924" i="7"/>
  <c r="H1923" i="7"/>
  <c r="H1922" i="7"/>
  <c r="H1921" i="7"/>
  <c r="H1920" i="7"/>
  <c r="H1919" i="7"/>
  <c r="H1918" i="7"/>
  <c r="H1917" i="7"/>
  <c r="H1916" i="7"/>
  <c r="H1915" i="7"/>
  <c r="H1914" i="7"/>
  <c r="H1913" i="7"/>
  <c r="H1912" i="7"/>
  <c r="H1911" i="7"/>
  <c r="H1910" i="7"/>
  <c r="H1909" i="7"/>
  <c r="H1908" i="7"/>
  <c r="H1907" i="7"/>
  <c r="H1906" i="7"/>
  <c r="H1905" i="7"/>
  <c r="H1904" i="7"/>
  <c r="H1903" i="7"/>
  <c r="H1902" i="7"/>
  <c r="H1901" i="7"/>
  <c r="H1900" i="7"/>
  <c r="H1899" i="7"/>
  <c r="H1898" i="7"/>
  <c r="H1897" i="7"/>
  <c r="H1896" i="7"/>
  <c r="H1895" i="7"/>
  <c r="H1894" i="7"/>
  <c r="H1893" i="7"/>
  <c r="H1892" i="7"/>
  <c r="H1891" i="7"/>
  <c r="H1890" i="7"/>
  <c r="H1889" i="7"/>
  <c r="H1888" i="7"/>
  <c r="H1887" i="7"/>
  <c r="H1886" i="7"/>
  <c r="H1885" i="7"/>
  <c r="H1884" i="7"/>
  <c r="H1883" i="7"/>
  <c r="H1882" i="7"/>
  <c r="H1881" i="7"/>
  <c r="H1880" i="7"/>
  <c r="H1879" i="7"/>
  <c r="H1878" i="7"/>
  <c r="H1877" i="7"/>
  <c r="H1876" i="7"/>
  <c r="H1875" i="7"/>
  <c r="H1874" i="7"/>
  <c r="H1873" i="7"/>
  <c r="H1872" i="7"/>
  <c r="H1871" i="7"/>
  <c r="H1870" i="7"/>
  <c r="H1869" i="7"/>
  <c r="H1868" i="7"/>
  <c r="H1867" i="7"/>
  <c r="H1866" i="7"/>
  <c r="H1865" i="7"/>
  <c r="H1864" i="7"/>
  <c r="H1863" i="7"/>
  <c r="H1862" i="7"/>
  <c r="H1861" i="7"/>
  <c r="H1860" i="7"/>
  <c r="H1859" i="7"/>
  <c r="H1858" i="7"/>
  <c r="H1857" i="7"/>
  <c r="H1856" i="7"/>
  <c r="H1855" i="7"/>
  <c r="H1854" i="7"/>
  <c r="H1853" i="7"/>
  <c r="H1852" i="7"/>
  <c r="H1851" i="7"/>
  <c r="H1850" i="7"/>
  <c r="H1849" i="7"/>
  <c r="H1848" i="7"/>
  <c r="H1847" i="7"/>
  <c r="H1846" i="7"/>
  <c r="H1845" i="7"/>
  <c r="H1844" i="7"/>
  <c r="H1843" i="7"/>
  <c r="H1842" i="7"/>
  <c r="H1841" i="7"/>
  <c r="H1840" i="7"/>
  <c r="H1839" i="7"/>
  <c r="H1838" i="7"/>
  <c r="H1837" i="7"/>
  <c r="H1836" i="7"/>
  <c r="H1835" i="7"/>
  <c r="H1834" i="7"/>
  <c r="H1833" i="7"/>
  <c r="H1832" i="7"/>
  <c r="H1831" i="7"/>
  <c r="H1830" i="7"/>
  <c r="H1829" i="7"/>
  <c r="H1828" i="7"/>
  <c r="H1827" i="7"/>
  <c r="H1826" i="7"/>
  <c r="H1825" i="7"/>
  <c r="H1824" i="7"/>
  <c r="H1823" i="7"/>
  <c r="H1822" i="7"/>
  <c r="H1821" i="7"/>
  <c r="H1820" i="7"/>
  <c r="H1819" i="7"/>
  <c r="H1818" i="7"/>
  <c r="H1817" i="7"/>
  <c r="H1816" i="7"/>
  <c r="H1815" i="7"/>
  <c r="H1814" i="7"/>
  <c r="H1813" i="7"/>
  <c r="H1812" i="7"/>
  <c r="H1811" i="7"/>
  <c r="H1810" i="7"/>
  <c r="H1809" i="7"/>
  <c r="H1808" i="7"/>
  <c r="H1807" i="7"/>
  <c r="H1806" i="7"/>
  <c r="H1805" i="7"/>
  <c r="H1804" i="7"/>
  <c r="H1803" i="7"/>
  <c r="H1802" i="7"/>
  <c r="H1801" i="7"/>
  <c r="H1800" i="7"/>
  <c r="H1799" i="7"/>
  <c r="H1798" i="7"/>
  <c r="H1797" i="7"/>
  <c r="H1796" i="7"/>
  <c r="H1795" i="7"/>
  <c r="H1794" i="7"/>
  <c r="H1793" i="7"/>
  <c r="H1792" i="7"/>
  <c r="H1791" i="7"/>
  <c r="H1790" i="7"/>
  <c r="H1789" i="7"/>
  <c r="H1788" i="7"/>
  <c r="H1787" i="7"/>
  <c r="H1786" i="7"/>
  <c r="H1785" i="7"/>
  <c r="H1784" i="7"/>
  <c r="H1783" i="7"/>
  <c r="H1782" i="7"/>
  <c r="H1781" i="7"/>
  <c r="H1780" i="7"/>
  <c r="H1779" i="7"/>
  <c r="H1778" i="7"/>
  <c r="H1777" i="7"/>
  <c r="H1776" i="7"/>
  <c r="H1775" i="7"/>
  <c r="H1774" i="7"/>
  <c r="H1773" i="7"/>
  <c r="H1772" i="7"/>
  <c r="H1771" i="7"/>
  <c r="H1770" i="7"/>
  <c r="H1769" i="7"/>
  <c r="H1768" i="7"/>
  <c r="H1767" i="7"/>
  <c r="H1766" i="7"/>
  <c r="H1765" i="7"/>
  <c r="H1764" i="7"/>
  <c r="H1763" i="7"/>
  <c r="H1762" i="7"/>
  <c r="H1761" i="7"/>
  <c r="H1760" i="7"/>
  <c r="H1759" i="7"/>
  <c r="H1758" i="7"/>
  <c r="H1757" i="7"/>
  <c r="H1756" i="7"/>
  <c r="H1755" i="7"/>
  <c r="H1754" i="7"/>
  <c r="H1753" i="7"/>
  <c r="H1752" i="7"/>
  <c r="H1751" i="7"/>
  <c r="H1750" i="7"/>
  <c r="H1749" i="7"/>
  <c r="H1748" i="7"/>
  <c r="H1747" i="7"/>
  <c r="H1746" i="7"/>
  <c r="H1745" i="7"/>
  <c r="H1744" i="7"/>
  <c r="H1743" i="7"/>
  <c r="H1742" i="7"/>
  <c r="H1741" i="7"/>
  <c r="H1740" i="7"/>
  <c r="H1739" i="7"/>
  <c r="H1738" i="7"/>
  <c r="H1737" i="7"/>
  <c r="H1736" i="7"/>
  <c r="H1735" i="7"/>
  <c r="H1734" i="7"/>
  <c r="H1733" i="7"/>
  <c r="H1732" i="7"/>
  <c r="H1731" i="7"/>
  <c r="H1730" i="7"/>
  <c r="H1729" i="7"/>
  <c r="H1728" i="7"/>
  <c r="H1727" i="7"/>
  <c r="H1726" i="7"/>
  <c r="H1725" i="7"/>
  <c r="H1724" i="7"/>
  <c r="H1723" i="7"/>
  <c r="H1722" i="7"/>
  <c r="H1721" i="7"/>
  <c r="H1720" i="7"/>
  <c r="H1719" i="7"/>
  <c r="H1718" i="7"/>
  <c r="H1717" i="7"/>
  <c r="H1716" i="7"/>
  <c r="H1715" i="7"/>
  <c r="H1714" i="7"/>
  <c r="H1713" i="7"/>
  <c r="H1712" i="7"/>
  <c r="H1711" i="7"/>
  <c r="H1710" i="7"/>
  <c r="H1709" i="7"/>
  <c r="H1708" i="7"/>
  <c r="H1707" i="7"/>
  <c r="H1706" i="7"/>
  <c r="H1705" i="7"/>
  <c r="H1704" i="7"/>
  <c r="H1703" i="7"/>
  <c r="H1702" i="7"/>
  <c r="H1701" i="7"/>
  <c r="H1700" i="7"/>
  <c r="H1699" i="7"/>
  <c r="H1698" i="7"/>
  <c r="H1697" i="7"/>
  <c r="H1696" i="7"/>
  <c r="H1695" i="7"/>
  <c r="H1694" i="7"/>
  <c r="H1693" i="7"/>
  <c r="H1692" i="7"/>
  <c r="H1691" i="7"/>
  <c r="H1690" i="7"/>
  <c r="H1689" i="7"/>
  <c r="H1688" i="7"/>
  <c r="H1687" i="7"/>
  <c r="H1686" i="7"/>
  <c r="H1685" i="7"/>
  <c r="H1684" i="7"/>
  <c r="H1683" i="7"/>
  <c r="H1682" i="7"/>
  <c r="H1681" i="7"/>
  <c r="H1680" i="7"/>
  <c r="H1679" i="7"/>
  <c r="H1678" i="7"/>
  <c r="H1677" i="7"/>
  <c r="H1676" i="7"/>
  <c r="H1675" i="7"/>
  <c r="H1674" i="7"/>
  <c r="H1673" i="7"/>
  <c r="H1672" i="7"/>
  <c r="H1671" i="7"/>
  <c r="H1670" i="7"/>
  <c r="H1669" i="7"/>
  <c r="H1668" i="7"/>
  <c r="H1667" i="7"/>
  <c r="H1666" i="7"/>
  <c r="H1665" i="7"/>
  <c r="H1664" i="7"/>
  <c r="H1663" i="7"/>
  <c r="H1662" i="7"/>
  <c r="H1661" i="7"/>
  <c r="H1660" i="7"/>
  <c r="H1659" i="7"/>
  <c r="H1658" i="7"/>
  <c r="H1657" i="7"/>
  <c r="H1656" i="7"/>
  <c r="H1655" i="7"/>
  <c r="H1654" i="7"/>
  <c r="H1653" i="7"/>
  <c r="H1652" i="7"/>
  <c r="H1651" i="7"/>
  <c r="H1650" i="7"/>
  <c r="H1649" i="7"/>
  <c r="H1648" i="7"/>
  <c r="H1647" i="7"/>
  <c r="H1646" i="7"/>
  <c r="H1645" i="7"/>
  <c r="H1644" i="7"/>
  <c r="H1643" i="7"/>
  <c r="H1642" i="7"/>
  <c r="H1641" i="7"/>
  <c r="H1640" i="7"/>
  <c r="H1639" i="7"/>
  <c r="H1638" i="7"/>
  <c r="H1637" i="7"/>
  <c r="H1636" i="7"/>
  <c r="H1635" i="7"/>
  <c r="H1634" i="7"/>
  <c r="H1633" i="7"/>
  <c r="H1632" i="7"/>
  <c r="H1631" i="7"/>
  <c r="H1630" i="7"/>
  <c r="H1629" i="7"/>
  <c r="H1628" i="7"/>
  <c r="H1627" i="7"/>
  <c r="H1626" i="7"/>
  <c r="H1625" i="7"/>
  <c r="H1624" i="7"/>
  <c r="H1623" i="7"/>
  <c r="H1622" i="7"/>
  <c r="H1621" i="7"/>
  <c r="H1620" i="7"/>
  <c r="H1619" i="7"/>
  <c r="H1618" i="7"/>
  <c r="H1617" i="7"/>
  <c r="H1616" i="7"/>
  <c r="H1615" i="7"/>
  <c r="H1614" i="7"/>
  <c r="H1613" i="7"/>
  <c r="H1612" i="7"/>
  <c r="H1611" i="7"/>
  <c r="H1610" i="7"/>
  <c r="H1609" i="7"/>
  <c r="H1608" i="7"/>
  <c r="H1607" i="7"/>
  <c r="H1606" i="7"/>
  <c r="H1605" i="7"/>
  <c r="H1604" i="7"/>
  <c r="H1603" i="7"/>
  <c r="H1602" i="7"/>
  <c r="H1601" i="7"/>
  <c r="H1600" i="7"/>
  <c r="H1599" i="7"/>
  <c r="H1598" i="7"/>
  <c r="H1597" i="7"/>
  <c r="H1596" i="7"/>
  <c r="H1595" i="7"/>
  <c r="H1594" i="7"/>
  <c r="H1593" i="7"/>
  <c r="H1592" i="7"/>
  <c r="H1591" i="7"/>
  <c r="H1590" i="7"/>
  <c r="H1589" i="7"/>
  <c r="H1588" i="7"/>
  <c r="H1587" i="7"/>
  <c r="H1586" i="7"/>
  <c r="H1585" i="7"/>
  <c r="H1584" i="7"/>
  <c r="H1583" i="7"/>
  <c r="H1582" i="7"/>
  <c r="H1581" i="7"/>
  <c r="H1580" i="7"/>
  <c r="H1579" i="7"/>
  <c r="H1578" i="7"/>
  <c r="H1577" i="7"/>
  <c r="H1576" i="7"/>
  <c r="H1575" i="7"/>
  <c r="H1574" i="7"/>
  <c r="H1573" i="7"/>
  <c r="H1572" i="7"/>
  <c r="H1571" i="7"/>
  <c r="H1570" i="7"/>
  <c r="H1569" i="7"/>
  <c r="H1568" i="7"/>
  <c r="H1567" i="7"/>
  <c r="H1566" i="7"/>
  <c r="H1565" i="7"/>
  <c r="H1564" i="7"/>
  <c r="H1563" i="7"/>
  <c r="H1562" i="7"/>
  <c r="H1561" i="7"/>
  <c r="H1560" i="7"/>
  <c r="H1559" i="7"/>
  <c r="H1558" i="7"/>
  <c r="H1557" i="7"/>
  <c r="H1556" i="7"/>
  <c r="H1555" i="7"/>
  <c r="H1554" i="7"/>
  <c r="H1553" i="7"/>
  <c r="H1552" i="7"/>
  <c r="H1551" i="7"/>
  <c r="H1550" i="7"/>
  <c r="H1549" i="7"/>
  <c r="H1548" i="7"/>
  <c r="H1547" i="7"/>
  <c r="H1546" i="7"/>
  <c r="H1545" i="7"/>
  <c r="H1544" i="7"/>
  <c r="H1543" i="7"/>
  <c r="H1542" i="7"/>
  <c r="H1541" i="7"/>
  <c r="H1540" i="7"/>
  <c r="H1539" i="7"/>
  <c r="H1538" i="7"/>
  <c r="H1537" i="7"/>
  <c r="H1536" i="7"/>
  <c r="H1535" i="7"/>
  <c r="H1534" i="7"/>
  <c r="H1533" i="7"/>
  <c r="H1532" i="7"/>
  <c r="H1531" i="7"/>
  <c r="H1530" i="7"/>
  <c r="H1529" i="7"/>
  <c r="H1528" i="7"/>
  <c r="H1527" i="7"/>
  <c r="H1526" i="7"/>
  <c r="H1525" i="7"/>
  <c r="H1524" i="7"/>
  <c r="H1523" i="7"/>
  <c r="H1522" i="7"/>
  <c r="H1521" i="7"/>
  <c r="H1520" i="7"/>
  <c r="H1519" i="7"/>
  <c r="H1518" i="7"/>
  <c r="H1517" i="7"/>
  <c r="H1516" i="7"/>
  <c r="H1515" i="7"/>
  <c r="H1514" i="7"/>
  <c r="H1513" i="7"/>
  <c r="H1512" i="7"/>
  <c r="H1511" i="7"/>
  <c r="H1510" i="7"/>
  <c r="H1509" i="7"/>
  <c r="H1508" i="7"/>
  <c r="H1507" i="7"/>
  <c r="H1506" i="7"/>
  <c r="H1505" i="7"/>
  <c r="H1504" i="7"/>
  <c r="H1503" i="7"/>
  <c r="H1502" i="7"/>
  <c r="H1501" i="7"/>
  <c r="H1500" i="7"/>
  <c r="H1499" i="7"/>
  <c r="H1498" i="7"/>
  <c r="H1497" i="7"/>
  <c r="H1496" i="7"/>
  <c r="H1495" i="7"/>
  <c r="H1494" i="7"/>
  <c r="H1493" i="7"/>
  <c r="H1492" i="7"/>
  <c r="H1491" i="7"/>
  <c r="H1490" i="7"/>
  <c r="H1489" i="7"/>
  <c r="H1488" i="7"/>
  <c r="H1487" i="7"/>
  <c r="H1486" i="7"/>
  <c r="H1485" i="7"/>
  <c r="H1484" i="7"/>
  <c r="H1483" i="7"/>
  <c r="H1482" i="7"/>
  <c r="H1481" i="7"/>
  <c r="H1480" i="7"/>
  <c r="H1479" i="7"/>
  <c r="H1478" i="7"/>
  <c r="H1477" i="7"/>
  <c r="H1476" i="7"/>
  <c r="H1475" i="7"/>
  <c r="H1474" i="7"/>
  <c r="H1473" i="7"/>
  <c r="H1472" i="7"/>
  <c r="H1471" i="7"/>
  <c r="H1470" i="7"/>
  <c r="H1469" i="7"/>
  <c r="H1468" i="7"/>
  <c r="H1467" i="7"/>
  <c r="H1466" i="7"/>
  <c r="H1465" i="7"/>
  <c r="H1464" i="7"/>
  <c r="H1463" i="7"/>
  <c r="H1462" i="7"/>
  <c r="H1461" i="7"/>
  <c r="H1460" i="7"/>
  <c r="H1459" i="7"/>
  <c r="H1458" i="7"/>
  <c r="H1457" i="7"/>
  <c r="H1456" i="7"/>
  <c r="H1455" i="7"/>
  <c r="H1454" i="7"/>
  <c r="H1453" i="7"/>
  <c r="H1452" i="7"/>
  <c r="H1451" i="7"/>
  <c r="H1450" i="7"/>
  <c r="H1449" i="7"/>
  <c r="H1448" i="7"/>
  <c r="H1447" i="7"/>
  <c r="H1446" i="7"/>
  <c r="H1445" i="7"/>
  <c r="H1444" i="7"/>
  <c r="H1443" i="7"/>
  <c r="H1442" i="7"/>
  <c r="H1441" i="7"/>
  <c r="H1440" i="7"/>
  <c r="H1439" i="7"/>
  <c r="H1438" i="7"/>
  <c r="H1437" i="7"/>
  <c r="H1436" i="7"/>
  <c r="H1435" i="7"/>
  <c r="H1434" i="7"/>
  <c r="H1433" i="7"/>
  <c r="H1432" i="7"/>
  <c r="H1431" i="7"/>
  <c r="H1430" i="7"/>
  <c r="H1429" i="7"/>
  <c r="H1428" i="7"/>
  <c r="H1427" i="7"/>
  <c r="H1426" i="7"/>
  <c r="H1425" i="7"/>
  <c r="H1424" i="7"/>
  <c r="H1423" i="7"/>
  <c r="H1422" i="7"/>
  <c r="H1421" i="7"/>
  <c r="H1420" i="7"/>
  <c r="H1419" i="7"/>
  <c r="H1418" i="7"/>
  <c r="H1417" i="7"/>
  <c r="H1416" i="7"/>
  <c r="H1415" i="7"/>
  <c r="H1414" i="7"/>
  <c r="H1413" i="7"/>
  <c r="H1412" i="7"/>
  <c r="H1411" i="7"/>
  <c r="H1410" i="7"/>
  <c r="H1409" i="7"/>
  <c r="H1408" i="7"/>
  <c r="H1407" i="7"/>
  <c r="H1406" i="7"/>
  <c r="H1405" i="7"/>
  <c r="H1404" i="7"/>
  <c r="H1403" i="7"/>
  <c r="H1402" i="7"/>
  <c r="H1401" i="7"/>
  <c r="H1400" i="7"/>
  <c r="H1399" i="7"/>
  <c r="H1398" i="7"/>
  <c r="H1397" i="7"/>
  <c r="H1396" i="7"/>
  <c r="H1395" i="7"/>
  <c r="H1394" i="7"/>
  <c r="H1393" i="7"/>
  <c r="H1392" i="7"/>
  <c r="H1391" i="7"/>
  <c r="H1390" i="7"/>
  <c r="H1389" i="7"/>
  <c r="H1388" i="7"/>
  <c r="H1387" i="7"/>
  <c r="H1386" i="7"/>
  <c r="H1385" i="7"/>
  <c r="H1384" i="7"/>
  <c r="H1383" i="7"/>
  <c r="H1382" i="7"/>
  <c r="H1381" i="7"/>
  <c r="H1380" i="7"/>
  <c r="H1379" i="7"/>
  <c r="H1378" i="7"/>
  <c r="H1377" i="7"/>
  <c r="H1376" i="7"/>
  <c r="H1375" i="7"/>
  <c r="H1374" i="7"/>
  <c r="H1373" i="7"/>
  <c r="H1372" i="7"/>
  <c r="H1371" i="7"/>
  <c r="H1370" i="7"/>
  <c r="H1369" i="7"/>
  <c r="H1368" i="7"/>
  <c r="H1367" i="7"/>
  <c r="H1366" i="7"/>
  <c r="H1365" i="7"/>
  <c r="H1364" i="7"/>
  <c r="H1363" i="7"/>
  <c r="H1362" i="7"/>
  <c r="H1361" i="7"/>
  <c r="H1360" i="7"/>
  <c r="H1359" i="7"/>
  <c r="H1358" i="7"/>
  <c r="H1357" i="7"/>
  <c r="H1356" i="7"/>
  <c r="H1355" i="7"/>
  <c r="H1354" i="7"/>
  <c r="H1353" i="7"/>
  <c r="H1352" i="7"/>
  <c r="H1351" i="7"/>
  <c r="H1350" i="7"/>
  <c r="H1349" i="7"/>
  <c r="H1348" i="7"/>
  <c r="H1347" i="7"/>
  <c r="H1346" i="7"/>
  <c r="H1345" i="7"/>
  <c r="H1344" i="7"/>
  <c r="H1343" i="7"/>
  <c r="H1342" i="7"/>
  <c r="H1341" i="7"/>
  <c r="H1340" i="7"/>
  <c r="H1339" i="7"/>
  <c r="H1338" i="7"/>
  <c r="H1337" i="7"/>
  <c r="H1336" i="7"/>
  <c r="H1335" i="7"/>
  <c r="H1334" i="7"/>
  <c r="H1333" i="7"/>
  <c r="H1332" i="7"/>
  <c r="H1331" i="7"/>
  <c r="H1330" i="7"/>
  <c r="H1329" i="7"/>
  <c r="H1328" i="7"/>
  <c r="H1327" i="7"/>
  <c r="H1326" i="7"/>
  <c r="H1325" i="7"/>
  <c r="H1324" i="7"/>
  <c r="H1323" i="7"/>
  <c r="H1322" i="7"/>
  <c r="H1321" i="7"/>
  <c r="H1320" i="7"/>
  <c r="H1319" i="7"/>
  <c r="H1318" i="7"/>
  <c r="H1317" i="7"/>
  <c r="H1316" i="7"/>
  <c r="H1315" i="7"/>
  <c r="H1314" i="7"/>
  <c r="H1313" i="7"/>
  <c r="H1312" i="7"/>
  <c r="H1311" i="7"/>
  <c r="H1310" i="7"/>
  <c r="H1309" i="7"/>
  <c r="H1308" i="7"/>
  <c r="H1307" i="7"/>
  <c r="H1306" i="7"/>
  <c r="H1305" i="7"/>
  <c r="H1304" i="7"/>
  <c r="H1303" i="7"/>
  <c r="H1302" i="7"/>
  <c r="H1301" i="7"/>
  <c r="H1300" i="7"/>
  <c r="H1299" i="7"/>
  <c r="H1298" i="7"/>
  <c r="H1297" i="7"/>
  <c r="H1296" i="7"/>
  <c r="H1295" i="7"/>
  <c r="H1294" i="7"/>
  <c r="H1293" i="7"/>
  <c r="H1292" i="7"/>
  <c r="H1291" i="7"/>
  <c r="H1290" i="7"/>
  <c r="H1289" i="7"/>
  <c r="H1288" i="7"/>
  <c r="H1287" i="7"/>
  <c r="H1286" i="7"/>
  <c r="H1285" i="7"/>
  <c r="H1284" i="7"/>
  <c r="H1283" i="7"/>
  <c r="H1282" i="7"/>
  <c r="H1281" i="7"/>
  <c r="H1280" i="7"/>
  <c r="H1279" i="7"/>
  <c r="H1278" i="7"/>
  <c r="H1277" i="7"/>
  <c r="H1276" i="7"/>
  <c r="H1275" i="7"/>
  <c r="H1274" i="7"/>
  <c r="H1273" i="7"/>
  <c r="H1272" i="7"/>
  <c r="H1271" i="7"/>
  <c r="H1270" i="7"/>
  <c r="H1269" i="7"/>
  <c r="H1268" i="7"/>
  <c r="H1267" i="7"/>
  <c r="H1266" i="7"/>
  <c r="H1265" i="7"/>
  <c r="H1264" i="7"/>
  <c r="H1263" i="7"/>
  <c r="H1262" i="7"/>
  <c r="H1261" i="7"/>
  <c r="H1260" i="7"/>
  <c r="H1259" i="7"/>
  <c r="H1258" i="7"/>
  <c r="H1257" i="7"/>
  <c r="H1256" i="7"/>
  <c r="H1255" i="7"/>
  <c r="H1254" i="7"/>
  <c r="H1253" i="7"/>
  <c r="H1252" i="7"/>
  <c r="H1251" i="7"/>
  <c r="H1250" i="7"/>
  <c r="H1249" i="7"/>
  <c r="H1248" i="7"/>
  <c r="H1247" i="7"/>
  <c r="H1246" i="7"/>
  <c r="H1245" i="7"/>
  <c r="H1244" i="7"/>
  <c r="H1243" i="7"/>
  <c r="H1242" i="7"/>
  <c r="H1241" i="7"/>
  <c r="H1240" i="7"/>
  <c r="H1239" i="7"/>
  <c r="H1238" i="7"/>
  <c r="H1237" i="7"/>
  <c r="H1236" i="7"/>
  <c r="H1235" i="7"/>
  <c r="H1234" i="7"/>
  <c r="H1233" i="7"/>
  <c r="H1232" i="7"/>
  <c r="H1231" i="7"/>
  <c r="H1230" i="7"/>
  <c r="H1229" i="7"/>
  <c r="H1228" i="7"/>
  <c r="H1227" i="7"/>
  <c r="H1226" i="7"/>
  <c r="H1225" i="7"/>
  <c r="H1224" i="7"/>
  <c r="H1223" i="7"/>
  <c r="H1222" i="7"/>
  <c r="H1221" i="7"/>
  <c r="H1220" i="7"/>
  <c r="H1219" i="7"/>
  <c r="H1218" i="7"/>
  <c r="H1217" i="7"/>
  <c r="H1216" i="7"/>
  <c r="H1215" i="7"/>
  <c r="H1214" i="7"/>
  <c r="H1213" i="7"/>
  <c r="H1212" i="7"/>
  <c r="H1211" i="7"/>
  <c r="H1210" i="7"/>
  <c r="H1209" i="7"/>
  <c r="H1208" i="7"/>
  <c r="H1207" i="7"/>
  <c r="H1206" i="7"/>
  <c r="H1205" i="7"/>
  <c r="H1204" i="7"/>
  <c r="H1203" i="7"/>
  <c r="H1202" i="7"/>
  <c r="H1201" i="7"/>
  <c r="H1200" i="7"/>
  <c r="H1199" i="7"/>
  <c r="H1198" i="7"/>
  <c r="H1197" i="7"/>
  <c r="H1196" i="7"/>
  <c r="H1195" i="7"/>
  <c r="H1194" i="7"/>
  <c r="H1193" i="7"/>
  <c r="H1192" i="7"/>
  <c r="H1191" i="7"/>
  <c r="H1190" i="7"/>
  <c r="H1189" i="7"/>
  <c r="H1188" i="7"/>
  <c r="H1187" i="7"/>
  <c r="H1186" i="7"/>
  <c r="H1185" i="7"/>
  <c r="H1184" i="7"/>
  <c r="H1183" i="7"/>
  <c r="H1182" i="7"/>
  <c r="H1181" i="7"/>
  <c r="H1180" i="7"/>
  <c r="H1179" i="7"/>
  <c r="H1178" i="7"/>
  <c r="H1177" i="7"/>
  <c r="H1176" i="7"/>
  <c r="H1175" i="7"/>
  <c r="H1174" i="7"/>
  <c r="H1173" i="7"/>
  <c r="H1172" i="7"/>
  <c r="H1171" i="7"/>
  <c r="H1170" i="7"/>
  <c r="H1169" i="7"/>
  <c r="H1168" i="7"/>
  <c r="H1167" i="7"/>
  <c r="H1166" i="7"/>
  <c r="H1165" i="7"/>
  <c r="H1164" i="7"/>
  <c r="H1163" i="7"/>
  <c r="H1162" i="7"/>
  <c r="H1161" i="7"/>
  <c r="H1160" i="7"/>
  <c r="H1159" i="7"/>
  <c r="H1158" i="7"/>
  <c r="H1157" i="7"/>
  <c r="H1156" i="7"/>
  <c r="H1155" i="7"/>
  <c r="H1154" i="7"/>
  <c r="H1153" i="7"/>
  <c r="H1152" i="7"/>
  <c r="H1151" i="7"/>
  <c r="H1150" i="7"/>
  <c r="H1149" i="7"/>
  <c r="H1148" i="7"/>
  <c r="H1147" i="7"/>
  <c r="H1146" i="7"/>
  <c r="H1145" i="7"/>
  <c r="H1144" i="7"/>
  <c r="H1143" i="7"/>
  <c r="H1142" i="7"/>
  <c r="H1141" i="7"/>
  <c r="H1140" i="7"/>
  <c r="H1139" i="7"/>
  <c r="H1138" i="7"/>
  <c r="H1137" i="7"/>
  <c r="H1136" i="7"/>
  <c r="H1135" i="7"/>
  <c r="H1134" i="7"/>
  <c r="H1133" i="7"/>
  <c r="H1132" i="7"/>
  <c r="H1131" i="7"/>
  <c r="H1130" i="7"/>
  <c r="H1129" i="7"/>
  <c r="H1128" i="7"/>
  <c r="H1127" i="7"/>
  <c r="H1126" i="7"/>
  <c r="H1125" i="7"/>
  <c r="H1124" i="7"/>
  <c r="H1123" i="7"/>
  <c r="H1122" i="7"/>
  <c r="H1121" i="7"/>
  <c r="H1120" i="7"/>
  <c r="H1119" i="7"/>
  <c r="H1118" i="7"/>
  <c r="H1117" i="7"/>
  <c r="H1116" i="7"/>
  <c r="H1115" i="7"/>
  <c r="H1114" i="7"/>
  <c r="H1113" i="7"/>
  <c r="H1112" i="7"/>
  <c r="H1111" i="7"/>
  <c r="H1110" i="7"/>
  <c r="H1109" i="7"/>
  <c r="H1108" i="7"/>
  <c r="H1107" i="7"/>
  <c r="H1106" i="7"/>
  <c r="H1105" i="7"/>
  <c r="H1104" i="7"/>
  <c r="H1103" i="7"/>
  <c r="H1102" i="7"/>
  <c r="H1101" i="7"/>
  <c r="H1100" i="7"/>
  <c r="H1099" i="7"/>
  <c r="H1098" i="7"/>
  <c r="H1097" i="7"/>
  <c r="H1096" i="7"/>
  <c r="H1095" i="7"/>
  <c r="H1094" i="7"/>
  <c r="H1093" i="7"/>
  <c r="H1092" i="7"/>
  <c r="H1091" i="7"/>
  <c r="H1090" i="7"/>
  <c r="H1089" i="7"/>
  <c r="H1088" i="7"/>
  <c r="H1087" i="7"/>
  <c r="H1086" i="7"/>
  <c r="H1085" i="7"/>
  <c r="H1084" i="7"/>
  <c r="H1083" i="7"/>
  <c r="H1082" i="7"/>
  <c r="H1081" i="7"/>
  <c r="H1080" i="7"/>
  <c r="H1079" i="7"/>
  <c r="H1078" i="7"/>
  <c r="H1077" i="7"/>
  <c r="H1076" i="7"/>
  <c r="H1075" i="7"/>
  <c r="H1074" i="7"/>
  <c r="H1073" i="7"/>
  <c r="H1072" i="7"/>
  <c r="H1071" i="7"/>
  <c r="H1070" i="7"/>
  <c r="H1069" i="7"/>
  <c r="H1068" i="7"/>
  <c r="H1067" i="7"/>
  <c r="H1066" i="7"/>
  <c r="H1065" i="7"/>
  <c r="H1064" i="7"/>
  <c r="H1063" i="7"/>
  <c r="H1062" i="7"/>
  <c r="H1061" i="7"/>
  <c r="H1060" i="7"/>
  <c r="H1059" i="7"/>
  <c r="H1058" i="7"/>
  <c r="H1057" i="7"/>
  <c r="H1056" i="7"/>
  <c r="H1055" i="7"/>
  <c r="H1054" i="7"/>
  <c r="H1053" i="7"/>
  <c r="H1052" i="7"/>
  <c r="H1051" i="7"/>
  <c r="H1050" i="7"/>
  <c r="H1049" i="7"/>
  <c r="H1048" i="7"/>
  <c r="H1047" i="7"/>
  <c r="H1046" i="7"/>
  <c r="H1045" i="7"/>
  <c r="H1044" i="7"/>
  <c r="H1043" i="7"/>
  <c r="H1042" i="7"/>
  <c r="H1041" i="7"/>
  <c r="H1040" i="7"/>
  <c r="H1039" i="7"/>
  <c r="H1038" i="7"/>
  <c r="H1037" i="7"/>
  <c r="H1036" i="7"/>
  <c r="H1035" i="7"/>
  <c r="H1034" i="7"/>
  <c r="H1033" i="7"/>
  <c r="H1032" i="7"/>
  <c r="H1031" i="7"/>
  <c r="H1030" i="7"/>
  <c r="H1029" i="7"/>
  <c r="H1028" i="7"/>
  <c r="H1027" i="7"/>
  <c r="H1026" i="7"/>
  <c r="H1025" i="7"/>
  <c r="H1024" i="7"/>
  <c r="H1023" i="7"/>
  <c r="H1022" i="7"/>
  <c r="H1021" i="7"/>
  <c r="H1020" i="7"/>
  <c r="H1019" i="7"/>
  <c r="H1018" i="7"/>
  <c r="H1017" i="7"/>
  <c r="H1016" i="7"/>
  <c r="H1015" i="7"/>
  <c r="H1014" i="7"/>
  <c r="H1013" i="7"/>
  <c r="H1012" i="7"/>
  <c r="H1011" i="7"/>
  <c r="H1010" i="7"/>
  <c r="H1009" i="7"/>
  <c r="H1008" i="7"/>
  <c r="H1007" i="7"/>
  <c r="H1006" i="7"/>
  <c r="H1005" i="7"/>
  <c r="H1004" i="7"/>
  <c r="H1003" i="7"/>
  <c r="H1002" i="7"/>
  <c r="H1001" i="7"/>
  <c r="H1000" i="7"/>
  <c r="H999" i="7"/>
  <c r="H998" i="7"/>
  <c r="H997" i="7"/>
  <c r="H996" i="7"/>
  <c r="H995" i="7"/>
  <c r="H994" i="7"/>
  <c r="H993" i="7"/>
  <c r="H992" i="7"/>
  <c r="H991" i="7"/>
  <c r="H990" i="7"/>
  <c r="H989" i="7"/>
  <c r="H988" i="7"/>
  <c r="H987" i="7"/>
  <c r="H986" i="7"/>
  <c r="H985" i="7"/>
  <c r="H984" i="7"/>
  <c r="H983" i="7"/>
  <c r="H982" i="7"/>
  <c r="H981" i="7"/>
  <c r="H980" i="7"/>
  <c r="H979" i="7"/>
  <c r="H978" i="7"/>
  <c r="H977" i="7"/>
  <c r="H976" i="7"/>
  <c r="H975" i="7"/>
  <c r="H974" i="7"/>
  <c r="H973" i="7"/>
  <c r="H972" i="7"/>
  <c r="H971" i="7"/>
  <c r="H970" i="7"/>
  <c r="H969" i="7"/>
  <c r="H968" i="7"/>
  <c r="H967" i="7"/>
  <c r="H966" i="7"/>
  <c r="H965" i="7"/>
  <c r="H964" i="7"/>
  <c r="H963" i="7"/>
  <c r="H962" i="7"/>
  <c r="H961" i="7"/>
  <c r="H960" i="7"/>
  <c r="H959" i="7"/>
  <c r="H958" i="7"/>
  <c r="H957" i="7"/>
  <c r="H956" i="7"/>
  <c r="H955" i="7"/>
  <c r="H954" i="7"/>
  <c r="H953" i="7"/>
  <c r="H952" i="7"/>
  <c r="H951" i="7"/>
  <c r="H950" i="7"/>
  <c r="H949" i="7"/>
  <c r="H948" i="7"/>
  <c r="H947" i="7"/>
  <c r="H946" i="7"/>
  <c r="H945" i="7"/>
  <c r="H944" i="7"/>
  <c r="H943" i="7"/>
  <c r="H942" i="7"/>
  <c r="H941" i="7"/>
  <c r="H940" i="7"/>
  <c r="H939" i="7"/>
  <c r="H938" i="7"/>
  <c r="H937" i="7"/>
  <c r="H936" i="7"/>
  <c r="H935" i="7"/>
  <c r="H934" i="7"/>
  <c r="H933" i="7"/>
  <c r="H932" i="7"/>
  <c r="H931" i="7"/>
  <c r="H930" i="7"/>
  <c r="H929" i="7"/>
  <c r="H928" i="7"/>
  <c r="H927" i="7"/>
  <c r="H926" i="7"/>
  <c r="H925" i="7"/>
  <c r="H924" i="7"/>
  <c r="H923" i="7"/>
  <c r="H922" i="7"/>
  <c r="H921" i="7"/>
  <c r="H920" i="7"/>
  <c r="H919" i="7"/>
  <c r="H918" i="7"/>
  <c r="H917" i="7"/>
  <c r="H916" i="7"/>
  <c r="H915" i="7"/>
  <c r="H914" i="7"/>
  <c r="H913" i="7"/>
  <c r="H912" i="7"/>
  <c r="H911" i="7"/>
  <c r="H910" i="7"/>
  <c r="H909" i="7"/>
  <c r="H908" i="7"/>
  <c r="H907" i="7"/>
  <c r="H906" i="7"/>
  <c r="H905" i="7"/>
  <c r="H904" i="7"/>
  <c r="H903" i="7"/>
  <c r="H902" i="7"/>
  <c r="H901" i="7"/>
  <c r="H900" i="7"/>
  <c r="H899" i="7"/>
  <c r="H898" i="7"/>
  <c r="H897" i="7"/>
  <c r="H896" i="7"/>
  <c r="H895" i="7"/>
  <c r="H894" i="7"/>
  <c r="H893" i="7"/>
  <c r="H892" i="7"/>
  <c r="H891" i="7"/>
  <c r="H890" i="7"/>
  <c r="H889" i="7"/>
  <c r="H888" i="7"/>
  <c r="H887" i="7"/>
  <c r="H886" i="7"/>
  <c r="H885" i="7"/>
  <c r="H884" i="7"/>
  <c r="H883" i="7"/>
  <c r="H882" i="7"/>
  <c r="H881" i="7"/>
  <c r="H880" i="7"/>
  <c r="H879" i="7"/>
  <c r="H878" i="7"/>
  <c r="H877" i="7"/>
  <c r="H876" i="7"/>
  <c r="H875" i="7"/>
  <c r="H874" i="7"/>
  <c r="H873" i="7"/>
  <c r="H872" i="7"/>
  <c r="H871" i="7"/>
  <c r="H870" i="7"/>
  <c r="H869" i="7"/>
  <c r="H868" i="7"/>
  <c r="H867" i="7"/>
  <c r="H866" i="7"/>
  <c r="H865" i="7"/>
  <c r="H864" i="7"/>
  <c r="H863" i="7"/>
  <c r="H862" i="7"/>
  <c r="H861" i="7"/>
  <c r="H860" i="7"/>
  <c r="H859" i="7"/>
  <c r="H858" i="7"/>
  <c r="H857" i="7"/>
  <c r="H856" i="7"/>
  <c r="H855" i="7"/>
  <c r="H854" i="7"/>
  <c r="H853" i="7"/>
  <c r="H852" i="7"/>
  <c r="H851" i="7"/>
  <c r="H850" i="7"/>
  <c r="H849" i="7"/>
  <c r="H848" i="7"/>
  <c r="H847" i="7"/>
  <c r="H846" i="7"/>
  <c r="H845" i="7"/>
  <c r="H844" i="7"/>
  <c r="H843" i="7"/>
  <c r="H842" i="7"/>
  <c r="H841" i="7"/>
  <c r="H840" i="7"/>
  <c r="H839" i="7"/>
  <c r="H838" i="7"/>
  <c r="H837" i="7"/>
  <c r="H836" i="7"/>
  <c r="H835" i="7"/>
  <c r="H834" i="7"/>
  <c r="H833" i="7"/>
  <c r="H832" i="7"/>
  <c r="H831" i="7"/>
  <c r="H830" i="7"/>
  <c r="H829" i="7"/>
  <c r="H828" i="7"/>
  <c r="H827" i="7"/>
  <c r="H826" i="7"/>
  <c r="H825" i="7"/>
  <c r="H824" i="7"/>
  <c r="H823" i="7"/>
  <c r="H822" i="7"/>
  <c r="H821" i="7"/>
  <c r="H820" i="7"/>
  <c r="H819" i="7"/>
  <c r="H818" i="7"/>
  <c r="H817" i="7"/>
  <c r="H816" i="7"/>
  <c r="H815" i="7"/>
  <c r="H814" i="7"/>
  <c r="H813" i="7"/>
  <c r="H812" i="7"/>
  <c r="H811" i="7"/>
  <c r="H810" i="7"/>
  <c r="H809" i="7"/>
  <c r="H808" i="7"/>
  <c r="H807" i="7"/>
  <c r="H806" i="7"/>
  <c r="H805" i="7"/>
  <c r="H804" i="7"/>
  <c r="H803" i="7"/>
  <c r="H802" i="7"/>
  <c r="H801" i="7"/>
  <c r="H800" i="7"/>
  <c r="H799" i="7"/>
  <c r="H798" i="7"/>
  <c r="H797" i="7"/>
  <c r="H796" i="7"/>
  <c r="H795" i="7"/>
  <c r="H794" i="7"/>
  <c r="H793" i="7"/>
  <c r="H792" i="7"/>
  <c r="H791" i="7"/>
  <c r="H790" i="7"/>
  <c r="H789" i="7"/>
  <c r="H788" i="7"/>
  <c r="H787" i="7"/>
  <c r="H786" i="7"/>
  <c r="H785" i="7"/>
  <c r="H784" i="7"/>
  <c r="H783" i="7"/>
  <c r="H782" i="7"/>
  <c r="H781" i="7"/>
  <c r="H780" i="7"/>
  <c r="H779" i="7"/>
  <c r="H778" i="7"/>
  <c r="H777" i="7"/>
  <c r="H776" i="7"/>
  <c r="H775" i="7"/>
  <c r="H774" i="7"/>
  <c r="H773" i="7"/>
  <c r="H772" i="7"/>
  <c r="H771" i="7"/>
  <c r="H770" i="7"/>
  <c r="H769" i="7"/>
  <c r="H768" i="7"/>
  <c r="H767" i="7"/>
  <c r="H766" i="7"/>
  <c r="H765" i="7"/>
  <c r="H764" i="7"/>
  <c r="H763" i="7"/>
  <c r="H762" i="7"/>
  <c r="H761" i="7"/>
  <c r="H760" i="7"/>
  <c r="H759" i="7"/>
  <c r="H758" i="7"/>
  <c r="H757" i="7"/>
  <c r="H756" i="7"/>
  <c r="H755" i="7"/>
  <c r="H754" i="7"/>
  <c r="H753" i="7"/>
  <c r="H752" i="7"/>
  <c r="H751" i="7"/>
  <c r="H750" i="7"/>
  <c r="H749" i="7"/>
  <c r="H748" i="7"/>
  <c r="H747" i="7"/>
  <c r="H746" i="7"/>
  <c r="H745" i="7"/>
  <c r="H744" i="7"/>
  <c r="H743" i="7"/>
  <c r="H742" i="7"/>
  <c r="H741" i="7"/>
  <c r="H740" i="7"/>
  <c r="H739" i="7"/>
  <c r="H738" i="7"/>
  <c r="H737" i="7"/>
  <c r="H736" i="7"/>
  <c r="H735" i="7"/>
  <c r="H734" i="7"/>
  <c r="H733" i="7"/>
  <c r="H732" i="7"/>
  <c r="H731" i="7"/>
  <c r="H730" i="7"/>
  <c r="H729" i="7"/>
  <c r="H728" i="7"/>
  <c r="H727" i="7"/>
  <c r="H726" i="7"/>
  <c r="H725" i="7"/>
  <c r="H724" i="7"/>
  <c r="H723" i="7"/>
  <c r="H722" i="7"/>
  <c r="H721" i="7"/>
  <c r="H720" i="7"/>
  <c r="H719" i="7"/>
  <c r="H718" i="7"/>
  <c r="H717" i="7"/>
  <c r="H716" i="7"/>
  <c r="H715" i="7"/>
  <c r="H714" i="7"/>
  <c r="H713" i="7"/>
  <c r="H712" i="7"/>
  <c r="H711" i="7"/>
  <c r="H710" i="7"/>
  <c r="H709" i="7"/>
  <c r="H708" i="7"/>
  <c r="H707" i="7"/>
  <c r="H706" i="7"/>
  <c r="H705" i="7"/>
  <c r="H704" i="7"/>
  <c r="H703" i="7"/>
  <c r="H702" i="7"/>
  <c r="H701" i="7"/>
  <c r="H700" i="7"/>
  <c r="H699" i="7"/>
  <c r="H698" i="7"/>
  <c r="H697" i="7"/>
  <c r="H696" i="7"/>
  <c r="H695" i="7"/>
  <c r="H694" i="7"/>
  <c r="H693" i="7"/>
  <c r="H692" i="7"/>
  <c r="H691" i="7"/>
  <c r="H690" i="7"/>
  <c r="H689" i="7"/>
  <c r="H688" i="7"/>
  <c r="H687" i="7"/>
  <c r="H686" i="7"/>
  <c r="H685" i="7"/>
  <c r="H684" i="7"/>
  <c r="H683" i="7"/>
  <c r="H682" i="7"/>
  <c r="H681" i="7"/>
  <c r="H680" i="7"/>
  <c r="H679" i="7"/>
  <c r="H678" i="7"/>
  <c r="H677" i="7"/>
  <c r="H676" i="7"/>
  <c r="H675" i="7"/>
  <c r="H674" i="7"/>
  <c r="H673" i="7"/>
  <c r="H672" i="7"/>
  <c r="H671" i="7"/>
  <c r="H670" i="7"/>
  <c r="H669" i="7"/>
  <c r="H668" i="7"/>
  <c r="H667" i="7"/>
  <c r="H666" i="7"/>
  <c r="H665" i="7"/>
  <c r="H664" i="7"/>
  <c r="H663" i="7"/>
  <c r="H662" i="7"/>
  <c r="H661" i="7"/>
  <c r="H660" i="7"/>
  <c r="H659" i="7"/>
  <c r="H658" i="7"/>
  <c r="H657" i="7"/>
  <c r="H656" i="7"/>
  <c r="H655" i="7"/>
  <c r="H654" i="7"/>
  <c r="H653" i="7"/>
  <c r="H652" i="7"/>
  <c r="H651" i="7"/>
  <c r="H650" i="7"/>
  <c r="H649" i="7"/>
  <c r="H648" i="7"/>
  <c r="H647" i="7"/>
  <c r="H646" i="7"/>
  <c r="H645" i="7"/>
  <c r="H644" i="7"/>
  <c r="H643" i="7"/>
  <c r="H642" i="7"/>
  <c r="H641" i="7"/>
  <c r="H640" i="7"/>
  <c r="H639" i="7"/>
  <c r="H638" i="7"/>
  <c r="H637" i="7"/>
  <c r="H636" i="7"/>
  <c r="H635" i="7"/>
  <c r="H634" i="7"/>
  <c r="H633" i="7"/>
  <c r="H632" i="7"/>
  <c r="H631" i="7"/>
  <c r="H630" i="7"/>
  <c r="H629" i="7"/>
  <c r="H628" i="7"/>
  <c r="H627" i="7"/>
  <c r="H626" i="7"/>
  <c r="H625" i="7"/>
  <c r="H624" i="7"/>
  <c r="H623" i="7"/>
  <c r="H622" i="7"/>
  <c r="H621" i="7"/>
  <c r="H620" i="7"/>
  <c r="H619" i="7"/>
  <c r="H618" i="7"/>
  <c r="H617" i="7"/>
  <c r="H616" i="7"/>
  <c r="H615" i="7"/>
  <c r="H614" i="7"/>
  <c r="H613" i="7"/>
  <c r="H612" i="7"/>
  <c r="H611" i="7"/>
  <c r="H610" i="7"/>
  <c r="H609" i="7"/>
  <c r="H608" i="7"/>
  <c r="H607" i="7"/>
  <c r="H606" i="7"/>
  <c r="H605" i="7"/>
  <c r="H604" i="7"/>
  <c r="H603" i="7"/>
  <c r="H602" i="7"/>
  <c r="H601" i="7"/>
  <c r="H600" i="7"/>
  <c r="H599" i="7"/>
  <c r="H598" i="7"/>
  <c r="H597" i="7"/>
  <c r="H596" i="7"/>
  <c r="H595" i="7"/>
  <c r="H594" i="7"/>
  <c r="H593" i="7"/>
  <c r="H592" i="7"/>
  <c r="H591" i="7"/>
  <c r="H590" i="7"/>
  <c r="H589" i="7"/>
  <c r="H588" i="7"/>
  <c r="H587" i="7"/>
  <c r="H586" i="7"/>
  <c r="H585" i="7"/>
  <c r="H584" i="7"/>
  <c r="H583" i="7"/>
  <c r="H582" i="7"/>
  <c r="H581" i="7"/>
  <c r="H580" i="7"/>
  <c r="H579" i="7"/>
  <c r="H578" i="7"/>
  <c r="H577" i="7"/>
  <c r="H576" i="7"/>
  <c r="H575" i="7"/>
  <c r="H574" i="7"/>
  <c r="H573" i="7"/>
  <c r="H572" i="7"/>
  <c r="H571" i="7"/>
  <c r="H570" i="7"/>
  <c r="H569" i="7"/>
  <c r="H568" i="7"/>
  <c r="H567" i="7"/>
  <c r="H566" i="7"/>
  <c r="H565" i="7"/>
  <c r="H564" i="7"/>
  <c r="H563" i="7"/>
  <c r="H562" i="7"/>
  <c r="H561" i="7"/>
  <c r="H560" i="7"/>
  <c r="H559" i="7"/>
  <c r="H558" i="7"/>
  <c r="H557" i="7"/>
  <c r="H556" i="7"/>
  <c r="H555" i="7"/>
  <c r="H554" i="7"/>
  <c r="H553" i="7"/>
  <c r="H552" i="7"/>
  <c r="H551" i="7"/>
  <c r="H550" i="7"/>
  <c r="H549" i="7"/>
  <c r="H548" i="7"/>
  <c r="H547" i="7"/>
  <c r="H546" i="7"/>
  <c r="H545" i="7"/>
  <c r="H544" i="7"/>
  <c r="H543" i="7"/>
  <c r="H542" i="7"/>
  <c r="H541" i="7"/>
  <c r="H540" i="7"/>
  <c r="H539" i="7"/>
  <c r="H538" i="7"/>
  <c r="H537" i="7"/>
  <c r="H536" i="7"/>
  <c r="H535" i="7"/>
  <c r="H534" i="7"/>
  <c r="H533" i="7"/>
  <c r="H532" i="7"/>
  <c r="H531" i="7"/>
  <c r="H530" i="7"/>
  <c r="H529" i="7"/>
  <c r="H528" i="7"/>
  <c r="H527" i="7"/>
  <c r="H526" i="7"/>
  <c r="H525" i="7"/>
  <c r="H524" i="7"/>
  <c r="H523" i="7"/>
  <c r="H522" i="7"/>
  <c r="H521" i="7"/>
  <c r="H520" i="7"/>
  <c r="H519" i="7"/>
  <c r="H518" i="7"/>
  <c r="H517" i="7"/>
  <c r="H516" i="7"/>
  <c r="H515" i="7"/>
  <c r="H514" i="7"/>
  <c r="H513" i="7"/>
  <c r="H512" i="7"/>
  <c r="H511" i="7"/>
  <c r="H510" i="7"/>
  <c r="H509" i="7"/>
  <c r="H508" i="7"/>
  <c r="H507" i="7"/>
  <c r="H506" i="7"/>
  <c r="H505" i="7"/>
  <c r="H504" i="7"/>
  <c r="H503" i="7"/>
  <c r="H502" i="7"/>
  <c r="H501" i="7"/>
  <c r="H500" i="7"/>
  <c r="H499" i="7"/>
  <c r="H498" i="7"/>
  <c r="H497" i="7"/>
  <c r="H496" i="7"/>
  <c r="H495" i="7"/>
  <c r="H494" i="7"/>
  <c r="H493" i="7"/>
  <c r="H492" i="7"/>
  <c r="H491" i="7"/>
  <c r="H490" i="7"/>
  <c r="H489" i="7"/>
  <c r="H488" i="7"/>
  <c r="H487" i="7"/>
  <c r="H486" i="7"/>
  <c r="H485" i="7"/>
  <c r="H484" i="7"/>
  <c r="H483" i="7"/>
  <c r="H482" i="7"/>
  <c r="H481" i="7"/>
  <c r="H480" i="7"/>
  <c r="H479" i="7"/>
  <c r="H478" i="7"/>
  <c r="H477" i="7"/>
  <c r="H476" i="7"/>
  <c r="H475" i="7"/>
  <c r="H474" i="7"/>
  <c r="H473" i="7"/>
  <c r="H472" i="7"/>
  <c r="H471" i="7"/>
  <c r="H470" i="7"/>
  <c r="H469" i="7"/>
  <c r="H468" i="7"/>
  <c r="H467" i="7"/>
  <c r="H466" i="7"/>
  <c r="H465" i="7"/>
  <c r="H464" i="7"/>
  <c r="H463" i="7"/>
  <c r="H462" i="7"/>
  <c r="H461" i="7"/>
  <c r="H460" i="7"/>
  <c r="H459" i="7"/>
  <c r="H458" i="7"/>
  <c r="H457" i="7"/>
  <c r="H456" i="7"/>
  <c r="H455" i="7"/>
  <c r="H454" i="7"/>
  <c r="H453" i="7"/>
  <c r="H452" i="7"/>
  <c r="H451" i="7"/>
  <c r="H450" i="7"/>
  <c r="H449" i="7"/>
  <c r="H448" i="7"/>
  <c r="H447" i="7"/>
  <c r="H446" i="7"/>
  <c r="H445" i="7"/>
  <c r="H444" i="7"/>
  <c r="H443" i="7"/>
  <c r="H442" i="7"/>
  <c r="H441" i="7"/>
  <c r="H440" i="7"/>
  <c r="H439" i="7"/>
  <c r="H438" i="7"/>
  <c r="H437" i="7"/>
  <c r="H436" i="7"/>
  <c r="H435" i="7"/>
  <c r="H434" i="7"/>
  <c r="H433" i="7"/>
  <c r="H432" i="7"/>
  <c r="H431" i="7"/>
  <c r="H430" i="7"/>
  <c r="H429" i="7"/>
  <c r="H428" i="7"/>
  <c r="H427" i="7"/>
  <c r="H426" i="7"/>
  <c r="H425" i="7"/>
  <c r="H424" i="7"/>
  <c r="H423" i="7"/>
  <c r="H422" i="7"/>
  <c r="H421" i="7"/>
  <c r="H420" i="7"/>
  <c r="H419" i="7"/>
  <c r="H418" i="7"/>
  <c r="H417" i="7"/>
  <c r="H416" i="7"/>
  <c r="H415" i="7"/>
  <c r="H414" i="7"/>
  <c r="H413" i="7"/>
  <c r="H412" i="7"/>
  <c r="H411" i="7"/>
  <c r="H410" i="7"/>
  <c r="H409" i="7"/>
  <c r="H408" i="7"/>
  <c r="H407" i="7"/>
  <c r="H406" i="7"/>
  <c r="H405" i="7"/>
  <c r="H404" i="7"/>
  <c r="H403" i="7"/>
  <c r="H402" i="7"/>
  <c r="H401" i="7"/>
  <c r="H400" i="7"/>
  <c r="H399" i="7"/>
  <c r="H398" i="7"/>
  <c r="H397" i="7"/>
  <c r="H396" i="7"/>
  <c r="H395" i="7"/>
  <c r="H394" i="7"/>
  <c r="H393" i="7"/>
  <c r="H392" i="7"/>
  <c r="H391" i="7"/>
  <c r="H390" i="7"/>
  <c r="H389" i="7"/>
  <c r="H388" i="7"/>
  <c r="H387" i="7"/>
  <c r="H386" i="7"/>
  <c r="H385" i="7"/>
  <c r="H384" i="7"/>
  <c r="H383" i="7"/>
  <c r="H382" i="7"/>
  <c r="H381" i="7"/>
  <c r="H380" i="7"/>
  <c r="H379" i="7"/>
  <c r="H378" i="7"/>
  <c r="H377" i="7"/>
  <c r="H376" i="7"/>
  <c r="H375" i="7"/>
  <c r="H374" i="7"/>
  <c r="H373" i="7"/>
  <c r="H372" i="7"/>
  <c r="H371" i="7"/>
  <c r="H370" i="7"/>
  <c r="H369" i="7"/>
  <c r="H368" i="7"/>
  <c r="H367" i="7"/>
  <c r="H366" i="7"/>
  <c r="H365" i="7"/>
  <c r="H364" i="7"/>
  <c r="H363" i="7"/>
  <c r="H362" i="7"/>
  <c r="H361" i="7"/>
  <c r="H360" i="7"/>
  <c r="H359" i="7"/>
  <c r="H358" i="7"/>
  <c r="H357" i="7"/>
  <c r="H356" i="7"/>
  <c r="H355" i="7"/>
  <c r="H354" i="7"/>
  <c r="H353" i="7"/>
  <c r="H352" i="7"/>
  <c r="H351" i="7"/>
  <c r="H350" i="7"/>
  <c r="H349" i="7"/>
  <c r="H348" i="7"/>
  <c r="H347" i="7"/>
  <c r="H346" i="7"/>
  <c r="H345" i="7"/>
  <c r="H344" i="7"/>
  <c r="H343" i="7"/>
  <c r="H342" i="7"/>
  <c r="H341" i="7"/>
  <c r="H340" i="7"/>
  <c r="H339" i="7"/>
  <c r="H338" i="7"/>
  <c r="H337" i="7"/>
  <c r="H336" i="7"/>
  <c r="H335" i="7"/>
  <c r="H334" i="7"/>
  <c r="H333" i="7"/>
  <c r="H332" i="7"/>
  <c r="H331" i="7"/>
  <c r="H330" i="7"/>
  <c r="H329" i="7"/>
  <c r="H328" i="7"/>
  <c r="H327" i="7"/>
  <c r="H326" i="7"/>
  <c r="H325" i="7"/>
  <c r="H324" i="7"/>
  <c r="H323" i="7"/>
  <c r="H322" i="7"/>
  <c r="H321" i="7"/>
  <c r="H320" i="7"/>
  <c r="H319" i="7"/>
  <c r="H318" i="7"/>
  <c r="H317" i="7"/>
  <c r="H316" i="7"/>
  <c r="H315" i="7"/>
  <c r="H314" i="7"/>
  <c r="H313" i="7"/>
  <c r="H312" i="7"/>
  <c r="H311" i="7"/>
  <c r="H310" i="7"/>
  <c r="H309" i="7"/>
  <c r="H308" i="7"/>
  <c r="H307" i="7"/>
  <c r="H306" i="7"/>
  <c r="H305" i="7"/>
  <c r="H304" i="7"/>
  <c r="H303" i="7"/>
  <c r="H302" i="7"/>
  <c r="H301" i="7"/>
  <c r="H300" i="7"/>
  <c r="H299" i="7"/>
  <c r="H298" i="7"/>
  <c r="H297" i="7"/>
  <c r="H296" i="7"/>
  <c r="H295" i="7"/>
  <c r="H294" i="7"/>
  <c r="H293" i="7"/>
  <c r="H292" i="7"/>
  <c r="H291" i="7"/>
  <c r="H290" i="7"/>
  <c r="H289" i="7"/>
  <c r="H288" i="7"/>
  <c r="H287" i="7"/>
  <c r="H286" i="7"/>
  <c r="H285" i="7"/>
  <c r="H284" i="7"/>
  <c r="H283" i="7"/>
  <c r="H282" i="7"/>
  <c r="H281" i="7"/>
  <c r="H280" i="7"/>
  <c r="H279" i="7"/>
  <c r="H278" i="7"/>
  <c r="H277" i="7"/>
  <c r="H276" i="7"/>
  <c r="H275" i="7"/>
  <c r="H274" i="7"/>
  <c r="H273" i="7"/>
  <c r="H272" i="7"/>
  <c r="H271" i="7"/>
  <c r="H270" i="7"/>
  <c r="H269" i="7"/>
  <c r="H268" i="7"/>
  <c r="H267" i="7"/>
  <c r="H266" i="7"/>
  <c r="H265" i="7"/>
  <c r="H264" i="7"/>
  <c r="H263" i="7"/>
  <c r="H262" i="7"/>
  <c r="H261" i="7"/>
  <c r="H260" i="7"/>
  <c r="H259" i="7"/>
  <c r="H258" i="7"/>
  <c r="H257" i="7"/>
  <c r="H256" i="7"/>
  <c r="H255" i="7"/>
  <c r="H254" i="7"/>
  <c r="H253" i="7"/>
  <c r="H252" i="7"/>
  <c r="H251" i="7"/>
  <c r="H250" i="7"/>
  <c r="H249" i="7"/>
  <c r="H248" i="7"/>
  <c r="H247" i="7"/>
  <c r="H246" i="7"/>
  <c r="H245" i="7"/>
  <c r="H244" i="7"/>
  <c r="H243" i="7"/>
  <c r="H242" i="7"/>
  <c r="H241" i="7"/>
  <c r="H240" i="7"/>
  <c r="H239" i="7"/>
  <c r="H238" i="7"/>
  <c r="H237" i="7"/>
  <c r="H236" i="7"/>
  <c r="H235" i="7"/>
  <c r="H234" i="7"/>
  <c r="H233" i="7"/>
  <c r="H232" i="7"/>
  <c r="H231" i="7"/>
  <c r="H230" i="7"/>
  <c r="H229" i="7"/>
  <c r="H228" i="7"/>
  <c r="H227" i="7"/>
  <c r="H226" i="7"/>
  <c r="H225" i="7"/>
  <c r="H224" i="7"/>
  <c r="H223" i="7"/>
  <c r="H222" i="7"/>
  <c r="H221" i="7"/>
  <c r="H220" i="7"/>
  <c r="H219" i="7"/>
  <c r="H218" i="7"/>
  <c r="H217" i="7"/>
  <c r="H216" i="7"/>
  <c r="H215" i="7"/>
  <c r="H214" i="7"/>
  <c r="H213" i="7"/>
  <c r="H212" i="7"/>
  <c r="H211" i="7"/>
  <c r="H210" i="7"/>
  <c r="H209" i="7"/>
  <c r="H208" i="7"/>
  <c r="H207" i="7"/>
  <c r="H206" i="7"/>
  <c r="H205" i="7"/>
  <c r="H204" i="7"/>
  <c r="H203" i="7"/>
  <c r="H202" i="7"/>
  <c r="H201" i="7"/>
  <c r="H200" i="7"/>
  <c r="H199" i="7"/>
  <c r="H198" i="7"/>
  <c r="H197" i="7"/>
  <c r="H196" i="7"/>
  <c r="H195" i="7"/>
  <c r="H194" i="7"/>
  <c r="H193" i="7"/>
  <c r="H192" i="7"/>
  <c r="H191" i="7"/>
  <c r="H190" i="7"/>
  <c r="H189" i="7"/>
  <c r="H188" i="7"/>
  <c r="H187" i="7"/>
  <c r="H186" i="7"/>
  <c r="H185" i="7"/>
  <c r="H184" i="7"/>
  <c r="H183" i="7"/>
  <c r="H182" i="7"/>
  <c r="H181" i="7"/>
  <c r="H180" i="7"/>
  <c r="H179" i="7"/>
  <c r="H178" i="7"/>
  <c r="H177" i="7"/>
  <c r="H176" i="7"/>
  <c r="H175" i="7"/>
  <c r="H174" i="7"/>
  <c r="H173" i="7"/>
  <c r="H172" i="7"/>
  <c r="H171" i="7"/>
  <c r="H170" i="7"/>
  <c r="H169" i="7"/>
  <c r="H168" i="7"/>
  <c r="H167" i="7"/>
  <c r="H166" i="7"/>
  <c r="H165" i="7"/>
  <c r="H164" i="7"/>
  <c r="H163" i="7"/>
  <c r="H162" i="7"/>
  <c r="H161" i="7"/>
  <c r="H160" i="7"/>
  <c r="H159" i="7"/>
  <c r="H158" i="7"/>
  <c r="H157" i="7"/>
  <c r="H156" i="7"/>
  <c r="H155" i="7"/>
  <c r="H154" i="7"/>
  <c r="H153" i="7"/>
  <c r="H152" i="7"/>
  <c r="H151" i="7"/>
  <c r="H150" i="7"/>
  <c r="H149" i="7"/>
  <c r="H148" i="7"/>
  <c r="H147" i="7"/>
  <c r="H146" i="7"/>
  <c r="H145" i="7"/>
  <c r="H144" i="7"/>
  <c r="H143" i="7"/>
  <c r="H142" i="7"/>
  <c r="H141" i="7"/>
  <c r="H140" i="7"/>
  <c r="H139" i="7"/>
  <c r="H138" i="7"/>
  <c r="H137" i="7"/>
  <c r="H136" i="7"/>
  <c r="H135" i="7"/>
  <c r="H134" i="7"/>
  <c r="H133" i="7"/>
  <c r="H132" i="7"/>
  <c r="H131" i="7"/>
  <c r="H130" i="7"/>
  <c r="H129" i="7"/>
  <c r="H128" i="7"/>
  <c r="H127" i="7"/>
  <c r="H126" i="7"/>
  <c r="H125" i="7"/>
  <c r="H124" i="7"/>
  <c r="H123" i="7"/>
  <c r="H122" i="7"/>
  <c r="H121" i="7"/>
  <c r="H120" i="7"/>
  <c r="H119" i="7"/>
  <c r="H118" i="7"/>
  <c r="H117" i="7"/>
  <c r="H116" i="7"/>
  <c r="H115" i="7"/>
  <c r="H114" i="7"/>
  <c r="H113" i="7"/>
  <c r="H112" i="7"/>
  <c r="H111" i="7"/>
  <c r="H110" i="7"/>
  <c r="H109" i="7"/>
  <c r="H108" i="7"/>
  <c r="H107" i="7"/>
  <c r="H106" i="7"/>
  <c r="H105" i="7"/>
  <c r="H104" i="7"/>
  <c r="H103" i="7"/>
  <c r="H102" i="7"/>
  <c r="H101" i="7"/>
  <c r="H100" i="7"/>
  <c r="H99" i="7"/>
  <c r="H98" i="7"/>
  <c r="H97" i="7"/>
  <c r="H96" i="7"/>
  <c r="H95" i="7"/>
  <c r="H94" i="7"/>
  <c r="H93" i="7"/>
  <c r="H92" i="7"/>
  <c r="H91" i="7"/>
  <c r="H90" i="7"/>
  <c r="H89" i="7"/>
  <c r="H88" i="7"/>
  <c r="H87" i="7"/>
  <c r="H86" i="7"/>
  <c r="H85" i="7"/>
  <c r="H84" i="7"/>
  <c r="H83" i="7"/>
  <c r="H82" i="7"/>
  <c r="H81" i="7"/>
  <c r="H80" i="7"/>
  <c r="H79" i="7"/>
  <c r="H78" i="7"/>
  <c r="H77" i="7"/>
  <c r="H76" i="7"/>
  <c r="H75" i="7"/>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D2485" i="7"/>
  <c r="D2484" i="7"/>
  <c r="D2483" i="7"/>
  <c r="D2482" i="7"/>
  <c r="D2481" i="7"/>
  <c r="D2480" i="7"/>
  <c r="D2479" i="7"/>
  <c r="D2478" i="7"/>
  <c r="D2477" i="7"/>
  <c r="D2476" i="7"/>
  <c r="D2475" i="7"/>
  <c r="D2474" i="7"/>
  <c r="D2473" i="7"/>
  <c r="D2472" i="7"/>
  <c r="D2471" i="7"/>
  <c r="D2470" i="7"/>
  <c r="D2469" i="7"/>
  <c r="D2468" i="7"/>
  <c r="D2467" i="7"/>
  <c r="D2466" i="7"/>
  <c r="D2465" i="7"/>
  <c r="D2464" i="7"/>
  <c r="D2463" i="7"/>
  <c r="D2462" i="7"/>
  <c r="D2461" i="7"/>
  <c r="D2460" i="7"/>
  <c r="D2459" i="7"/>
  <c r="D2458" i="7"/>
  <c r="D2457" i="7"/>
  <c r="D2456" i="7"/>
  <c r="D2455" i="7"/>
  <c r="D2454" i="7"/>
  <c r="D2453" i="7"/>
  <c r="D2452" i="7"/>
  <c r="D2451" i="7"/>
  <c r="D2450" i="7"/>
  <c r="D2449" i="7"/>
  <c r="D2448" i="7"/>
  <c r="D2447" i="7"/>
  <c r="D2446" i="7"/>
  <c r="D2445" i="7"/>
  <c r="D2444" i="7"/>
  <c r="D2443" i="7"/>
  <c r="D2442" i="7"/>
  <c r="D2441" i="7"/>
  <c r="D2440" i="7"/>
  <c r="D2439" i="7"/>
  <c r="D2438" i="7"/>
  <c r="D2437" i="7"/>
  <c r="D2436" i="7"/>
  <c r="D2435" i="7"/>
  <c r="D2434" i="7"/>
  <c r="D2433" i="7"/>
  <c r="D2432" i="7"/>
  <c r="D2431" i="7"/>
  <c r="D2430" i="7"/>
  <c r="D2429" i="7"/>
  <c r="D2428" i="7"/>
  <c r="D2427" i="7"/>
  <c r="D2426" i="7"/>
  <c r="D2425" i="7"/>
  <c r="D2424" i="7"/>
  <c r="D2423" i="7"/>
  <c r="D2422" i="7"/>
  <c r="D2421" i="7"/>
  <c r="D2420" i="7"/>
  <c r="D2419" i="7"/>
  <c r="D2418" i="7"/>
  <c r="D2417" i="7"/>
  <c r="D2416" i="7"/>
  <c r="D2415" i="7"/>
  <c r="D2414" i="7"/>
  <c r="D2413" i="7"/>
  <c r="D2412" i="7"/>
  <c r="D2411" i="7"/>
  <c r="D2410" i="7"/>
  <c r="D2409" i="7"/>
  <c r="D2408" i="7"/>
  <c r="D2407" i="7"/>
  <c r="D2406" i="7"/>
  <c r="D2405" i="7"/>
  <c r="D2404" i="7"/>
  <c r="D2403" i="7"/>
  <c r="D2402" i="7"/>
  <c r="D2401" i="7"/>
  <c r="D2400" i="7"/>
  <c r="D2399" i="7"/>
  <c r="D2398" i="7"/>
  <c r="D2397" i="7"/>
  <c r="D2396" i="7"/>
  <c r="D2395" i="7"/>
  <c r="D2394" i="7"/>
  <c r="D2393" i="7"/>
  <c r="D2392" i="7"/>
  <c r="D2391" i="7"/>
  <c r="D2390" i="7"/>
  <c r="D2389" i="7"/>
  <c r="D2388" i="7"/>
  <c r="D2387" i="7"/>
  <c r="D2386" i="7"/>
  <c r="D2385" i="7"/>
  <c r="D2384" i="7"/>
  <c r="D2383" i="7"/>
  <c r="D2382" i="7"/>
  <c r="D2381" i="7"/>
  <c r="D2380" i="7"/>
  <c r="D2379" i="7"/>
  <c r="D2378" i="7"/>
  <c r="D2377" i="7"/>
  <c r="D2376" i="7"/>
  <c r="D2375" i="7"/>
  <c r="D2374" i="7"/>
  <c r="D2373" i="7"/>
  <c r="D2372" i="7"/>
  <c r="D2371" i="7"/>
  <c r="D2370" i="7"/>
  <c r="D2369" i="7"/>
  <c r="D2368" i="7"/>
  <c r="D2367" i="7"/>
  <c r="D2366" i="7"/>
  <c r="D2365" i="7"/>
  <c r="D2364" i="7"/>
  <c r="D2363" i="7"/>
  <c r="D2362" i="7"/>
  <c r="D2361" i="7"/>
  <c r="D2360" i="7"/>
  <c r="D2359" i="7"/>
  <c r="D2358" i="7"/>
  <c r="D2357" i="7"/>
  <c r="D2356" i="7"/>
  <c r="D2355" i="7"/>
  <c r="D2354" i="7"/>
  <c r="D2353" i="7"/>
  <c r="D2352" i="7"/>
  <c r="D2351" i="7"/>
  <c r="D2350" i="7"/>
  <c r="D2349" i="7"/>
  <c r="D2348" i="7"/>
  <c r="D2347" i="7"/>
  <c r="D2346" i="7"/>
  <c r="D2345" i="7"/>
  <c r="D2344" i="7"/>
  <c r="D2343" i="7"/>
  <c r="D2342" i="7"/>
  <c r="D2341" i="7"/>
  <c r="D2340" i="7"/>
  <c r="D2339" i="7"/>
  <c r="D2338" i="7"/>
  <c r="D2337" i="7"/>
  <c r="D2336" i="7"/>
  <c r="D2335" i="7"/>
  <c r="D2334" i="7"/>
  <c r="D2333" i="7"/>
  <c r="D2332" i="7"/>
  <c r="D2331" i="7"/>
  <c r="D2330" i="7"/>
  <c r="D2329" i="7"/>
  <c r="D2328" i="7"/>
  <c r="D2327" i="7"/>
  <c r="D2326" i="7"/>
  <c r="D2325" i="7"/>
  <c r="D2324" i="7"/>
  <c r="D2323" i="7"/>
  <c r="D2322" i="7"/>
  <c r="D2321" i="7"/>
  <c r="D2320" i="7"/>
  <c r="D2319" i="7"/>
  <c r="D2318" i="7"/>
  <c r="D2317" i="7"/>
  <c r="D2316" i="7"/>
  <c r="D2315" i="7"/>
  <c r="D2314" i="7"/>
  <c r="D2313" i="7"/>
  <c r="D2312" i="7"/>
  <c r="D2311" i="7"/>
  <c r="D2310" i="7"/>
  <c r="D2309" i="7"/>
  <c r="D2308" i="7"/>
  <c r="D2307" i="7"/>
  <c r="D2306" i="7"/>
  <c r="D2305" i="7"/>
  <c r="D2304" i="7"/>
  <c r="D2303" i="7"/>
  <c r="D2302" i="7"/>
  <c r="D2301" i="7"/>
  <c r="D2300" i="7"/>
  <c r="D2299" i="7"/>
  <c r="D2298" i="7"/>
  <c r="D2297" i="7"/>
  <c r="D2296" i="7"/>
  <c r="D2295" i="7"/>
  <c r="D2294" i="7"/>
  <c r="D2293" i="7"/>
  <c r="D2292" i="7"/>
  <c r="D2291" i="7"/>
  <c r="D2290" i="7"/>
  <c r="D2289" i="7"/>
  <c r="D2288" i="7"/>
  <c r="D2287" i="7"/>
  <c r="D2286" i="7"/>
  <c r="D2285" i="7"/>
  <c r="D2284" i="7"/>
  <c r="D2283" i="7"/>
  <c r="D2282" i="7"/>
  <c r="D2281" i="7"/>
  <c r="D2280" i="7"/>
  <c r="D2279" i="7"/>
  <c r="D2278" i="7"/>
  <c r="D2277" i="7"/>
  <c r="D2276" i="7"/>
  <c r="D2275" i="7"/>
  <c r="D2274" i="7"/>
  <c r="D2273" i="7"/>
  <c r="D2272" i="7"/>
  <c r="D2271" i="7"/>
  <c r="D2270" i="7"/>
  <c r="D2269" i="7"/>
  <c r="D2268" i="7"/>
  <c r="D2267" i="7"/>
  <c r="D2266" i="7"/>
  <c r="D2265" i="7"/>
  <c r="D2264" i="7"/>
  <c r="D2263" i="7"/>
  <c r="D2262" i="7"/>
  <c r="D2261" i="7"/>
  <c r="D2260" i="7"/>
  <c r="D2259" i="7"/>
  <c r="D2258" i="7"/>
  <c r="D2257" i="7"/>
  <c r="D2256" i="7"/>
  <c r="D2255" i="7"/>
  <c r="D2254" i="7"/>
  <c r="D2253" i="7"/>
  <c r="D2252" i="7"/>
  <c r="D2251" i="7"/>
  <c r="D2250" i="7"/>
  <c r="D2249" i="7"/>
  <c r="D2248" i="7"/>
  <c r="D2247" i="7"/>
  <c r="D2246" i="7"/>
  <c r="D2245" i="7"/>
  <c r="D2244" i="7"/>
  <c r="D2243" i="7"/>
  <c r="D2242" i="7"/>
  <c r="D2241" i="7"/>
  <c r="D2240" i="7"/>
  <c r="D2239" i="7"/>
  <c r="D2238" i="7"/>
  <c r="D2237" i="7"/>
  <c r="D2236" i="7"/>
  <c r="D2235" i="7"/>
  <c r="D2234" i="7"/>
  <c r="D2233" i="7"/>
  <c r="D2232" i="7"/>
  <c r="D2231" i="7"/>
  <c r="D2230" i="7"/>
  <c r="D2229" i="7"/>
  <c r="D2228" i="7"/>
  <c r="D2227" i="7"/>
  <c r="D2226" i="7"/>
  <c r="D2225" i="7"/>
  <c r="D2224" i="7"/>
  <c r="D2223" i="7"/>
  <c r="D2222" i="7"/>
  <c r="D2221" i="7"/>
  <c r="D2220" i="7"/>
  <c r="D2219" i="7"/>
  <c r="D2218" i="7"/>
  <c r="D2217" i="7"/>
  <c r="D2216" i="7"/>
  <c r="D2215" i="7"/>
  <c r="D2214" i="7"/>
  <c r="D2213" i="7"/>
  <c r="D2212" i="7"/>
  <c r="D2211" i="7"/>
  <c r="D2210" i="7"/>
  <c r="D2209" i="7"/>
  <c r="D2208" i="7"/>
  <c r="D2207" i="7"/>
  <c r="D2206" i="7"/>
  <c r="D2205" i="7"/>
  <c r="D2204" i="7"/>
  <c r="D2203" i="7"/>
  <c r="D2202" i="7"/>
  <c r="D2201" i="7"/>
  <c r="D2200" i="7"/>
  <c r="D2199" i="7"/>
  <c r="D2198" i="7"/>
  <c r="D2197" i="7"/>
  <c r="D2196" i="7"/>
  <c r="D2195" i="7"/>
  <c r="D2194" i="7"/>
  <c r="D2193" i="7"/>
  <c r="D2192" i="7"/>
  <c r="D2191" i="7"/>
  <c r="D2190" i="7"/>
  <c r="D2189" i="7"/>
  <c r="D2188" i="7"/>
  <c r="D2187" i="7"/>
  <c r="D2186" i="7"/>
  <c r="D2185" i="7"/>
  <c r="D2184" i="7"/>
  <c r="D2183" i="7"/>
  <c r="D2182" i="7"/>
  <c r="D2181" i="7"/>
  <c r="D2180" i="7"/>
  <c r="D2179" i="7"/>
  <c r="D2178" i="7"/>
  <c r="D2177" i="7"/>
  <c r="D2176" i="7"/>
  <c r="D2175" i="7"/>
  <c r="D2174" i="7"/>
  <c r="D2173" i="7"/>
  <c r="D2172" i="7"/>
  <c r="D2171" i="7"/>
  <c r="D2170" i="7"/>
  <c r="D2169" i="7"/>
  <c r="D2168" i="7"/>
  <c r="D2167" i="7"/>
  <c r="D2166" i="7"/>
  <c r="D2165" i="7"/>
  <c r="D2164" i="7"/>
  <c r="D2163" i="7"/>
  <c r="D2162" i="7"/>
  <c r="D2161" i="7"/>
  <c r="D2160" i="7"/>
  <c r="D2159" i="7"/>
  <c r="D2158" i="7"/>
  <c r="D2157" i="7"/>
  <c r="D2156" i="7"/>
  <c r="D2155" i="7"/>
  <c r="D2154" i="7"/>
  <c r="D2153" i="7"/>
  <c r="D2152" i="7"/>
  <c r="D2151" i="7"/>
  <c r="D2150" i="7"/>
  <c r="D2149" i="7"/>
  <c r="D2148" i="7"/>
  <c r="D2147" i="7"/>
  <c r="D2146" i="7"/>
  <c r="D2145" i="7"/>
  <c r="D2144" i="7"/>
  <c r="D2143" i="7"/>
  <c r="D2142" i="7"/>
  <c r="D2141" i="7"/>
  <c r="D2140" i="7"/>
  <c r="D2139" i="7"/>
  <c r="D2138" i="7"/>
  <c r="D2137" i="7"/>
  <c r="D2136" i="7"/>
  <c r="D2135" i="7"/>
  <c r="D2134" i="7"/>
  <c r="D2133" i="7"/>
  <c r="D2132" i="7"/>
  <c r="D2131" i="7"/>
  <c r="D2130" i="7"/>
  <c r="D2129" i="7"/>
  <c r="D2128" i="7"/>
  <c r="D2127" i="7"/>
  <c r="D2126" i="7"/>
  <c r="D2125" i="7"/>
  <c r="D2124" i="7"/>
  <c r="D2123" i="7"/>
  <c r="D2122" i="7"/>
  <c r="D2121" i="7"/>
  <c r="D2120" i="7"/>
  <c r="D2119" i="7"/>
  <c r="D2118" i="7"/>
  <c r="D2117" i="7"/>
  <c r="D2116" i="7"/>
  <c r="D2115" i="7"/>
  <c r="D2114" i="7"/>
  <c r="D2113" i="7"/>
  <c r="D2112" i="7"/>
  <c r="D2111" i="7"/>
  <c r="D2110" i="7"/>
  <c r="D2109" i="7"/>
  <c r="D2108" i="7"/>
  <c r="D2107" i="7"/>
  <c r="D2106" i="7"/>
  <c r="D2105" i="7"/>
  <c r="D2104" i="7"/>
  <c r="D2103" i="7"/>
  <c r="D2102" i="7"/>
  <c r="D2101" i="7"/>
  <c r="D2100" i="7"/>
  <c r="D2099" i="7"/>
  <c r="D2098" i="7"/>
  <c r="D2097" i="7"/>
  <c r="D2096" i="7"/>
  <c r="D2095" i="7"/>
  <c r="D2094" i="7"/>
  <c r="D2093" i="7"/>
  <c r="D2092" i="7"/>
  <c r="D2091" i="7"/>
  <c r="D2090" i="7"/>
  <c r="D2089" i="7"/>
  <c r="D2088" i="7"/>
  <c r="D2087" i="7"/>
  <c r="D2086" i="7"/>
  <c r="D2085" i="7"/>
  <c r="D2084" i="7"/>
  <c r="D2083" i="7"/>
  <c r="D2082" i="7"/>
  <c r="D2081" i="7"/>
  <c r="D2080" i="7"/>
  <c r="D2079" i="7"/>
  <c r="D2078" i="7"/>
  <c r="D2077" i="7"/>
  <c r="D2076" i="7"/>
  <c r="D2075" i="7"/>
  <c r="D2074" i="7"/>
  <c r="D2073" i="7"/>
  <c r="D2072" i="7"/>
  <c r="D2071" i="7"/>
  <c r="D2070" i="7"/>
  <c r="D2069" i="7"/>
  <c r="D2068" i="7"/>
  <c r="D2067" i="7"/>
  <c r="D2066" i="7"/>
  <c r="D2065" i="7"/>
  <c r="D2064" i="7"/>
  <c r="D2063" i="7"/>
  <c r="D2062" i="7"/>
  <c r="D2061" i="7"/>
  <c r="D2060" i="7"/>
  <c r="D2059" i="7"/>
  <c r="D2058" i="7"/>
  <c r="D2057" i="7"/>
  <c r="D2056" i="7"/>
  <c r="D2055" i="7"/>
  <c r="D2054" i="7"/>
  <c r="D2053" i="7"/>
  <c r="D2052" i="7"/>
  <c r="D2051" i="7"/>
  <c r="D2050" i="7"/>
  <c r="D2049" i="7"/>
  <c r="D2048" i="7"/>
  <c r="D2047" i="7"/>
  <c r="D2046" i="7"/>
  <c r="D2045" i="7"/>
  <c r="D2044" i="7"/>
  <c r="D2043" i="7"/>
  <c r="D2042" i="7"/>
  <c r="D2041" i="7"/>
  <c r="D2040" i="7"/>
  <c r="D2039" i="7"/>
  <c r="D2038" i="7"/>
  <c r="D2037" i="7"/>
  <c r="D2036" i="7"/>
  <c r="D2035" i="7"/>
  <c r="D2034" i="7"/>
  <c r="D2033" i="7"/>
  <c r="D2032" i="7"/>
  <c r="D2031" i="7"/>
  <c r="D2030" i="7"/>
  <c r="D2029" i="7"/>
  <c r="D2028" i="7"/>
  <c r="D2027" i="7"/>
  <c r="D2026" i="7"/>
  <c r="D2025" i="7"/>
  <c r="D2024" i="7"/>
  <c r="D2023" i="7"/>
  <c r="D2022" i="7"/>
  <c r="D2021" i="7"/>
  <c r="D2020" i="7"/>
  <c r="D2019" i="7"/>
  <c r="D2018" i="7"/>
  <c r="D2017" i="7"/>
  <c r="D2016" i="7"/>
  <c r="D2015" i="7"/>
  <c r="D2014" i="7"/>
  <c r="D2013" i="7"/>
  <c r="D2012" i="7"/>
  <c r="D2011" i="7"/>
  <c r="D2010" i="7"/>
  <c r="D2009" i="7"/>
  <c r="D2008" i="7"/>
  <c r="D2007" i="7"/>
  <c r="D2006" i="7"/>
  <c r="D2005" i="7"/>
  <c r="D2004" i="7"/>
  <c r="D2003" i="7"/>
  <c r="D2002" i="7"/>
  <c r="D2001" i="7"/>
  <c r="D2000" i="7"/>
  <c r="D1999" i="7"/>
  <c r="D1998" i="7"/>
  <c r="D1997" i="7"/>
  <c r="D1996" i="7"/>
  <c r="D1995" i="7"/>
  <c r="D1994" i="7"/>
  <c r="D1993" i="7"/>
  <c r="D1992" i="7"/>
  <c r="D1991" i="7"/>
  <c r="D1990" i="7"/>
  <c r="D1989" i="7"/>
  <c r="D1988" i="7"/>
  <c r="D1987" i="7"/>
  <c r="D1986" i="7"/>
  <c r="D1985" i="7"/>
  <c r="D1984" i="7"/>
  <c r="D1983" i="7"/>
  <c r="D1982" i="7"/>
  <c r="D1981" i="7"/>
  <c r="D1980" i="7"/>
  <c r="D1979" i="7"/>
  <c r="D1978" i="7"/>
  <c r="D1977" i="7"/>
  <c r="D1976" i="7"/>
  <c r="D1975" i="7"/>
  <c r="D1974" i="7"/>
  <c r="D1973" i="7"/>
  <c r="D1972" i="7"/>
  <c r="D1971" i="7"/>
  <c r="D1970" i="7"/>
  <c r="D1969" i="7"/>
  <c r="D1968" i="7"/>
  <c r="D1967" i="7"/>
  <c r="D1966" i="7"/>
  <c r="D1965" i="7"/>
  <c r="D1964" i="7"/>
  <c r="D1963" i="7"/>
  <c r="D1962" i="7"/>
  <c r="D1961" i="7"/>
  <c r="D1960" i="7"/>
  <c r="D1959" i="7"/>
  <c r="D1958" i="7"/>
  <c r="D1957" i="7"/>
  <c r="D1956" i="7"/>
  <c r="D1955" i="7"/>
  <c r="D1954" i="7"/>
  <c r="D1953" i="7"/>
  <c r="D1952" i="7"/>
  <c r="D1951" i="7"/>
  <c r="D1950" i="7"/>
  <c r="D1949" i="7"/>
  <c r="D1948" i="7"/>
  <c r="D1947" i="7"/>
  <c r="D1946" i="7"/>
  <c r="D1945" i="7"/>
  <c r="D1944" i="7"/>
  <c r="D1943" i="7"/>
  <c r="D1942" i="7"/>
  <c r="D1941" i="7"/>
  <c r="D1940" i="7"/>
  <c r="D1939" i="7"/>
  <c r="D1938" i="7"/>
  <c r="D1937" i="7"/>
  <c r="D1936" i="7"/>
  <c r="D1935" i="7"/>
  <c r="D1934" i="7"/>
  <c r="D1933" i="7"/>
  <c r="D1932" i="7"/>
  <c r="D1931" i="7"/>
  <c r="D1930" i="7"/>
  <c r="D1929" i="7"/>
  <c r="D1928" i="7"/>
  <c r="D1927" i="7"/>
  <c r="D1926" i="7"/>
  <c r="D1925" i="7"/>
  <c r="D1924" i="7"/>
  <c r="D1923" i="7"/>
  <c r="D1922" i="7"/>
  <c r="D1921" i="7"/>
  <c r="D1920" i="7"/>
  <c r="D1919" i="7"/>
  <c r="D1918" i="7"/>
  <c r="D1917" i="7"/>
  <c r="D1916" i="7"/>
  <c r="D1915" i="7"/>
  <c r="D1914" i="7"/>
  <c r="D1913" i="7"/>
  <c r="D1912" i="7"/>
  <c r="D1911" i="7"/>
  <c r="D1910" i="7"/>
  <c r="D1909" i="7"/>
  <c r="D1908" i="7"/>
  <c r="D1907" i="7"/>
  <c r="D1906" i="7"/>
  <c r="D1905" i="7"/>
  <c r="D1904" i="7"/>
  <c r="D1903" i="7"/>
  <c r="D1902" i="7"/>
  <c r="D1901" i="7"/>
  <c r="D1900" i="7"/>
  <c r="D1899" i="7"/>
  <c r="D1898" i="7"/>
  <c r="D1897" i="7"/>
  <c r="D1896" i="7"/>
  <c r="D1895" i="7"/>
  <c r="D1894" i="7"/>
  <c r="D1893" i="7"/>
  <c r="D1892" i="7"/>
  <c r="D1891" i="7"/>
  <c r="D1890" i="7"/>
  <c r="D1889" i="7"/>
  <c r="D1888" i="7"/>
  <c r="D1887" i="7"/>
  <c r="D1886" i="7"/>
  <c r="D1885" i="7"/>
  <c r="D1884" i="7"/>
  <c r="D1883" i="7"/>
  <c r="D1882" i="7"/>
  <c r="D1881" i="7"/>
  <c r="D1880" i="7"/>
  <c r="D1879" i="7"/>
  <c r="D1878" i="7"/>
  <c r="D1877" i="7"/>
  <c r="D1876" i="7"/>
  <c r="D1875" i="7"/>
  <c r="D1874" i="7"/>
  <c r="D1873" i="7"/>
  <c r="D1872" i="7"/>
  <c r="D1871" i="7"/>
  <c r="D1870" i="7"/>
  <c r="D1869" i="7"/>
  <c r="D1868" i="7"/>
  <c r="D1867" i="7"/>
  <c r="D1866" i="7"/>
  <c r="D1865" i="7"/>
  <c r="D1864" i="7"/>
  <c r="D1863" i="7"/>
  <c r="D1862" i="7"/>
  <c r="D1861" i="7"/>
  <c r="D1860" i="7"/>
  <c r="D1859" i="7"/>
  <c r="D1858" i="7"/>
  <c r="D1857" i="7"/>
  <c r="D1856" i="7"/>
  <c r="D1855" i="7"/>
  <c r="D1854" i="7"/>
  <c r="D1853" i="7"/>
  <c r="D1852" i="7"/>
  <c r="D1851" i="7"/>
  <c r="D1850" i="7"/>
  <c r="D1849" i="7"/>
  <c r="D1848" i="7"/>
  <c r="D1847" i="7"/>
  <c r="D1846" i="7"/>
  <c r="D1845" i="7"/>
  <c r="D1844" i="7"/>
  <c r="D1843" i="7"/>
  <c r="D1842" i="7"/>
  <c r="D1841" i="7"/>
  <c r="D1840" i="7"/>
  <c r="D1839" i="7"/>
  <c r="D1838" i="7"/>
  <c r="D1837" i="7"/>
  <c r="D1836" i="7"/>
  <c r="D1835" i="7"/>
  <c r="D1834" i="7"/>
  <c r="D1833" i="7"/>
  <c r="D1832" i="7"/>
  <c r="D1831" i="7"/>
  <c r="D1830" i="7"/>
  <c r="D1829" i="7"/>
  <c r="D1828" i="7"/>
  <c r="D1827" i="7"/>
  <c r="D1826" i="7"/>
  <c r="D1825" i="7"/>
  <c r="D1824" i="7"/>
  <c r="D1823" i="7"/>
  <c r="D1822" i="7"/>
  <c r="D1821" i="7"/>
  <c r="D1820" i="7"/>
  <c r="D1819" i="7"/>
  <c r="D1818" i="7"/>
  <c r="D1817" i="7"/>
  <c r="D1816" i="7"/>
  <c r="D1815" i="7"/>
  <c r="D1814" i="7"/>
  <c r="D1813" i="7"/>
  <c r="D1812" i="7"/>
  <c r="D1811" i="7"/>
  <c r="D1810" i="7"/>
  <c r="D1809" i="7"/>
  <c r="D1808" i="7"/>
  <c r="D1807" i="7"/>
  <c r="D1806" i="7"/>
  <c r="D1805" i="7"/>
  <c r="D1804" i="7"/>
  <c r="D1803" i="7"/>
  <c r="D1802" i="7"/>
  <c r="D1801" i="7"/>
  <c r="D1800" i="7"/>
  <c r="D1799" i="7"/>
  <c r="D1798" i="7"/>
  <c r="D1797" i="7"/>
  <c r="D1796" i="7"/>
  <c r="D1795" i="7"/>
  <c r="D1794" i="7"/>
  <c r="D1793" i="7"/>
  <c r="D1792" i="7"/>
  <c r="D1791" i="7"/>
  <c r="D1790" i="7"/>
  <c r="D1789" i="7"/>
  <c r="D1788" i="7"/>
  <c r="D1787" i="7"/>
  <c r="D1786" i="7"/>
  <c r="D1785" i="7"/>
  <c r="D1784" i="7"/>
  <c r="D1783" i="7"/>
  <c r="D1782" i="7"/>
  <c r="D1781" i="7"/>
  <c r="D1780" i="7"/>
  <c r="D1779" i="7"/>
  <c r="D1778" i="7"/>
  <c r="D1777" i="7"/>
  <c r="D1776" i="7"/>
  <c r="D1775" i="7"/>
  <c r="D1774" i="7"/>
  <c r="D1773" i="7"/>
  <c r="D1772" i="7"/>
  <c r="D1771" i="7"/>
  <c r="D1770" i="7"/>
  <c r="D1769" i="7"/>
  <c r="D1768" i="7"/>
  <c r="D1767" i="7"/>
  <c r="D1766" i="7"/>
  <c r="D1765" i="7"/>
  <c r="D1764" i="7"/>
  <c r="D1763" i="7"/>
  <c r="D1762" i="7"/>
  <c r="D1761" i="7"/>
  <c r="D1760" i="7"/>
  <c r="D1759" i="7"/>
  <c r="D1758" i="7"/>
  <c r="D1757" i="7"/>
  <c r="D1756" i="7"/>
  <c r="D1755" i="7"/>
  <c r="D1754" i="7"/>
  <c r="D1753" i="7"/>
  <c r="D1752" i="7"/>
  <c r="D1751" i="7"/>
  <c r="D1750" i="7"/>
  <c r="D1749" i="7"/>
  <c r="D1748" i="7"/>
  <c r="D1747" i="7"/>
  <c r="D1746" i="7"/>
  <c r="D1745" i="7"/>
  <c r="D1744" i="7"/>
  <c r="D1743" i="7"/>
  <c r="D1742" i="7"/>
  <c r="D1741" i="7"/>
  <c r="D1740" i="7"/>
  <c r="D1739" i="7"/>
  <c r="D1738" i="7"/>
  <c r="D1737" i="7"/>
  <c r="D1736" i="7"/>
  <c r="D1735" i="7"/>
  <c r="D1734" i="7"/>
  <c r="D1733" i="7"/>
  <c r="D1732" i="7"/>
  <c r="D1731" i="7"/>
  <c r="D1730" i="7"/>
  <c r="D1729" i="7"/>
  <c r="D1728" i="7"/>
  <c r="D1727" i="7"/>
  <c r="D1726" i="7"/>
  <c r="D1725" i="7"/>
  <c r="D1724" i="7"/>
  <c r="D1723" i="7"/>
  <c r="D1722" i="7"/>
  <c r="D1721" i="7"/>
  <c r="D1720" i="7"/>
  <c r="D1719" i="7"/>
  <c r="D1718" i="7"/>
  <c r="D1717" i="7"/>
  <c r="D1716" i="7"/>
  <c r="D1715" i="7"/>
  <c r="D1714" i="7"/>
  <c r="D1713" i="7"/>
  <c r="D1712" i="7"/>
  <c r="D1711" i="7"/>
  <c r="D1710" i="7"/>
  <c r="D1709" i="7"/>
  <c r="D1708" i="7"/>
  <c r="D1707" i="7"/>
  <c r="D1706" i="7"/>
  <c r="D1705" i="7"/>
  <c r="D1704" i="7"/>
  <c r="D1703" i="7"/>
  <c r="D1702" i="7"/>
  <c r="D1701" i="7"/>
  <c r="D1700" i="7"/>
  <c r="D1699" i="7"/>
  <c r="D1698" i="7"/>
  <c r="D1697" i="7"/>
  <c r="D1696" i="7"/>
  <c r="D1695" i="7"/>
  <c r="D1694" i="7"/>
  <c r="D1693" i="7"/>
  <c r="D1692" i="7"/>
  <c r="D1691" i="7"/>
  <c r="D1690" i="7"/>
  <c r="D1689" i="7"/>
  <c r="D1688" i="7"/>
  <c r="D1687" i="7"/>
  <c r="D1686" i="7"/>
  <c r="D1685" i="7"/>
  <c r="D1684" i="7"/>
  <c r="D1683" i="7"/>
  <c r="D1682" i="7"/>
  <c r="D1681" i="7"/>
  <c r="D1680" i="7"/>
  <c r="D1679" i="7"/>
  <c r="D1678" i="7"/>
  <c r="D1677" i="7"/>
  <c r="D1676" i="7"/>
  <c r="D1675" i="7"/>
  <c r="D1674" i="7"/>
  <c r="D1673" i="7"/>
  <c r="D1672" i="7"/>
  <c r="D1671" i="7"/>
  <c r="D1670" i="7"/>
  <c r="D1669" i="7"/>
  <c r="D1668" i="7"/>
  <c r="D1667" i="7"/>
  <c r="D1666" i="7"/>
  <c r="D1665" i="7"/>
  <c r="D1664" i="7"/>
  <c r="D1663" i="7"/>
  <c r="D1662" i="7"/>
  <c r="D1661" i="7"/>
  <c r="D1660" i="7"/>
  <c r="D1659" i="7"/>
  <c r="D1658" i="7"/>
  <c r="D1657" i="7"/>
  <c r="D1656" i="7"/>
  <c r="D1655" i="7"/>
  <c r="D1654" i="7"/>
  <c r="D1653" i="7"/>
  <c r="D1652" i="7"/>
  <c r="D1651" i="7"/>
  <c r="D1650" i="7"/>
  <c r="D1649" i="7"/>
  <c r="D1648" i="7"/>
  <c r="D1647" i="7"/>
  <c r="D1646" i="7"/>
  <c r="D1645" i="7"/>
  <c r="D1644" i="7"/>
  <c r="D1643" i="7"/>
  <c r="D1642" i="7"/>
  <c r="D1641" i="7"/>
  <c r="D1640" i="7"/>
  <c r="D1639" i="7"/>
  <c r="D1638" i="7"/>
  <c r="D1637" i="7"/>
  <c r="D1636" i="7"/>
  <c r="D1635" i="7"/>
  <c r="D1634" i="7"/>
  <c r="D1633" i="7"/>
  <c r="D1632" i="7"/>
  <c r="D1631" i="7"/>
  <c r="D1630" i="7"/>
  <c r="D1629" i="7"/>
  <c r="D1628" i="7"/>
  <c r="D1627" i="7"/>
  <c r="D1626" i="7"/>
  <c r="D1625" i="7"/>
  <c r="D1624" i="7"/>
  <c r="D1623" i="7"/>
  <c r="D1622" i="7"/>
  <c r="D1621" i="7"/>
  <c r="D1620" i="7"/>
  <c r="D1619" i="7"/>
  <c r="D1618" i="7"/>
  <c r="D1617" i="7"/>
  <c r="D1616" i="7"/>
  <c r="D1615" i="7"/>
  <c r="D1614" i="7"/>
  <c r="D1613" i="7"/>
  <c r="D1612" i="7"/>
  <c r="D1611" i="7"/>
  <c r="D1610" i="7"/>
  <c r="D1609" i="7"/>
  <c r="D1608" i="7"/>
  <c r="D1607" i="7"/>
  <c r="D1606" i="7"/>
  <c r="D1605" i="7"/>
  <c r="D1604" i="7"/>
  <c r="D1603" i="7"/>
  <c r="D1602" i="7"/>
  <c r="D1601" i="7"/>
  <c r="D1600" i="7"/>
  <c r="D1599" i="7"/>
  <c r="D1598" i="7"/>
  <c r="D1597" i="7"/>
  <c r="D1596" i="7"/>
  <c r="D1595" i="7"/>
  <c r="D1594" i="7"/>
  <c r="D1593" i="7"/>
  <c r="D1592" i="7"/>
  <c r="D1591" i="7"/>
  <c r="D1590" i="7"/>
  <c r="D1589" i="7"/>
  <c r="D1588" i="7"/>
  <c r="D1587" i="7"/>
  <c r="D1586" i="7"/>
  <c r="D1585" i="7"/>
  <c r="D1584" i="7"/>
  <c r="D1583" i="7"/>
  <c r="D1582" i="7"/>
  <c r="D1581" i="7"/>
  <c r="D1580" i="7"/>
  <c r="D1579" i="7"/>
  <c r="D1578" i="7"/>
  <c r="D1577" i="7"/>
  <c r="D1576" i="7"/>
  <c r="D1575" i="7"/>
  <c r="D1574" i="7"/>
  <c r="D1573" i="7"/>
  <c r="D1572" i="7"/>
  <c r="D1571" i="7"/>
  <c r="D1570" i="7"/>
  <c r="D1569" i="7"/>
  <c r="D1568" i="7"/>
  <c r="D1567" i="7"/>
  <c r="D1566" i="7"/>
  <c r="D1565" i="7"/>
  <c r="D1564" i="7"/>
  <c r="D1563" i="7"/>
  <c r="D1562" i="7"/>
  <c r="D1561" i="7"/>
  <c r="D1560" i="7"/>
  <c r="D1559" i="7"/>
  <c r="D1558" i="7"/>
  <c r="D1557" i="7"/>
  <c r="D1556" i="7"/>
  <c r="D1555" i="7"/>
  <c r="D1554" i="7"/>
  <c r="D1553" i="7"/>
  <c r="D1552" i="7"/>
  <c r="D1551" i="7"/>
  <c r="D1550" i="7"/>
  <c r="D1549" i="7"/>
  <c r="D1548" i="7"/>
  <c r="D1547" i="7"/>
  <c r="D1546" i="7"/>
  <c r="D1545" i="7"/>
  <c r="D1544" i="7"/>
  <c r="D1543" i="7"/>
  <c r="D1542" i="7"/>
  <c r="D1541" i="7"/>
  <c r="D1540" i="7"/>
  <c r="D1539" i="7"/>
  <c r="D1538" i="7"/>
  <c r="D1537" i="7"/>
  <c r="D1536" i="7"/>
  <c r="D1535" i="7"/>
  <c r="D1534" i="7"/>
  <c r="D1533" i="7"/>
  <c r="D1532" i="7"/>
  <c r="D1531" i="7"/>
  <c r="D1530" i="7"/>
  <c r="D1529" i="7"/>
  <c r="D1528" i="7"/>
  <c r="D1527" i="7"/>
  <c r="D1526" i="7"/>
  <c r="D1525" i="7"/>
  <c r="D1524" i="7"/>
  <c r="D1523" i="7"/>
  <c r="D1522" i="7"/>
  <c r="D1521" i="7"/>
  <c r="D1520" i="7"/>
  <c r="D1519" i="7"/>
  <c r="D1518" i="7"/>
  <c r="D1517" i="7"/>
  <c r="D1516" i="7"/>
  <c r="D1515" i="7"/>
  <c r="D1514" i="7"/>
  <c r="D1513" i="7"/>
  <c r="D1512" i="7"/>
  <c r="D1511" i="7"/>
  <c r="D1510" i="7"/>
  <c r="D1509" i="7"/>
  <c r="D1508" i="7"/>
  <c r="D1507" i="7"/>
  <c r="D1506" i="7"/>
  <c r="D1505" i="7"/>
  <c r="D1504" i="7"/>
  <c r="D1503" i="7"/>
  <c r="D1502" i="7"/>
  <c r="D1501" i="7"/>
  <c r="D1500" i="7"/>
  <c r="D1499" i="7"/>
  <c r="D1498" i="7"/>
  <c r="D1497" i="7"/>
  <c r="D1496" i="7"/>
  <c r="D1495" i="7"/>
  <c r="D1494" i="7"/>
  <c r="D1493" i="7"/>
  <c r="D1492" i="7"/>
  <c r="D1491" i="7"/>
  <c r="D1490" i="7"/>
  <c r="D1489" i="7"/>
  <c r="D1488" i="7"/>
  <c r="D1487" i="7"/>
  <c r="D1486" i="7"/>
  <c r="D1485" i="7"/>
  <c r="D1484" i="7"/>
  <c r="D1483" i="7"/>
  <c r="D1482" i="7"/>
  <c r="D1481" i="7"/>
  <c r="D1480" i="7"/>
  <c r="D1479" i="7"/>
  <c r="D1478" i="7"/>
  <c r="D1477" i="7"/>
  <c r="D1476" i="7"/>
  <c r="D1475" i="7"/>
  <c r="D1474" i="7"/>
  <c r="D1473" i="7"/>
  <c r="D1472" i="7"/>
  <c r="D1471" i="7"/>
  <c r="D1470" i="7"/>
  <c r="D1469" i="7"/>
  <c r="D1468" i="7"/>
  <c r="D1467" i="7"/>
  <c r="D1466" i="7"/>
  <c r="D1465" i="7"/>
  <c r="D1464" i="7"/>
  <c r="D1463" i="7"/>
  <c r="D1462" i="7"/>
  <c r="D1461" i="7"/>
  <c r="D1460" i="7"/>
  <c r="D1459" i="7"/>
  <c r="D1458" i="7"/>
  <c r="D1457" i="7"/>
  <c r="D1456" i="7"/>
  <c r="D1455" i="7"/>
  <c r="D1454" i="7"/>
  <c r="D1453" i="7"/>
  <c r="D1452" i="7"/>
  <c r="D1451" i="7"/>
  <c r="D1450" i="7"/>
  <c r="D1449" i="7"/>
  <c r="D1448" i="7"/>
  <c r="D1447" i="7"/>
  <c r="D1446" i="7"/>
  <c r="D1445" i="7"/>
  <c r="D1444" i="7"/>
  <c r="D1443" i="7"/>
  <c r="D1442" i="7"/>
  <c r="D1441" i="7"/>
  <c r="D1440" i="7"/>
  <c r="D1439" i="7"/>
  <c r="D1438" i="7"/>
  <c r="D1437" i="7"/>
  <c r="D1436" i="7"/>
  <c r="D1435" i="7"/>
  <c r="D1434" i="7"/>
  <c r="D1433" i="7"/>
  <c r="D1432" i="7"/>
  <c r="D1431" i="7"/>
  <c r="D1430" i="7"/>
  <c r="D1429" i="7"/>
  <c r="D1428" i="7"/>
  <c r="D1427" i="7"/>
  <c r="D1426" i="7"/>
  <c r="D1425" i="7"/>
  <c r="D1424" i="7"/>
  <c r="D1423" i="7"/>
  <c r="D1422" i="7"/>
  <c r="D1421" i="7"/>
  <c r="D1420" i="7"/>
  <c r="D1419" i="7"/>
  <c r="D1418" i="7"/>
  <c r="D1417" i="7"/>
  <c r="D1416" i="7"/>
  <c r="D1415" i="7"/>
  <c r="D1414" i="7"/>
  <c r="D1413" i="7"/>
  <c r="D1412" i="7"/>
  <c r="D1411" i="7"/>
  <c r="D1410" i="7"/>
  <c r="D1409" i="7"/>
  <c r="D1408" i="7"/>
  <c r="D1407" i="7"/>
  <c r="D1406" i="7"/>
  <c r="D1405" i="7"/>
  <c r="D1404" i="7"/>
  <c r="D1403" i="7"/>
  <c r="D1402" i="7"/>
  <c r="D1401" i="7"/>
  <c r="D1400" i="7"/>
  <c r="D1399" i="7"/>
  <c r="D1398" i="7"/>
  <c r="D1397" i="7"/>
  <c r="D1396" i="7"/>
  <c r="D1395" i="7"/>
  <c r="D1394" i="7"/>
  <c r="D1393" i="7"/>
  <c r="D1392" i="7"/>
  <c r="D1391" i="7"/>
  <c r="D1390" i="7"/>
  <c r="D1389" i="7"/>
  <c r="D1388" i="7"/>
  <c r="D1387" i="7"/>
  <c r="D1386" i="7"/>
  <c r="D1385" i="7"/>
  <c r="D1384" i="7"/>
  <c r="D1383" i="7"/>
  <c r="D1382" i="7"/>
  <c r="D1381" i="7"/>
  <c r="D1380" i="7"/>
  <c r="D1379" i="7"/>
  <c r="D1378" i="7"/>
  <c r="D1377" i="7"/>
  <c r="D1376" i="7"/>
  <c r="D1375" i="7"/>
  <c r="D1374" i="7"/>
  <c r="D1373" i="7"/>
  <c r="D1372" i="7"/>
  <c r="D1371" i="7"/>
  <c r="D1370" i="7"/>
  <c r="D1369" i="7"/>
  <c r="D1368" i="7"/>
  <c r="D1367" i="7"/>
  <c r="D1366" i="7"/>
  <c r="D1365" i="7"/>
  <c r="D1364" i="7"/>
  <c r="D1363" i="7"/>
  <c r="D1362" i="7"/>
  <c r="D1361" i="7"/>
  <c r="D1360" i="7"/>
  <c r="D1359" i="7"/>
  <c r="D1358" i="7"/>
  <c r="D1357" i="7"/>
  <c r="D1356" i="7"/>
  <c r="D1355" i="7"/>
  <c r="D1354" i="7"/>
  <c r="D1353" i="7"/>
  <c r="D1352" i="7"/>
  <c r="D1351" i="7"/>
  <c r="D1350" i="7"/>
  <c r="D1349" i="7"/>
  <c r="D1348" i="7"/>
  <c r="D1347" i="7"/>
  <c r="D1346" i="7"/>
  <c r="D1345" i="7"/>
  <c r="D1344" i="7"/>
  <c r="D1343" i="7"/>
  <c r="D1342" i="7"/>
  <c r="D1341" i="7"/>
  <c r="D1340" i="7"/>
  <c r="D1339" i="7"/>
  <c r="D1338" i="7"/>
  <c r="D1337" i="7"/>
  <c r="D1336" i="7"/>
  <c r="D1335" i="7"/>
  <c r="D1334" i="7"/>
  <c r="D1333" i="7"/>
  <c r="D1332" i="7"/>
  <c r="D1331" i="7"/>
  <c r="D1330" i="7"/>
  <c r="D1329" i="7"/>
  <c r="D1328" i="7"/>
  <c r="D1327" i="7"/>
  <c r="D1326" i="7"/>
  <c r="D1325" i="7"/>
  <c r="D1324" i="7"/>
  <c r="D1323" i="7"/>
  <c r="D1322" i="7"/>
  <c r="D1321" i="7"/>
  <c r="D1320" i="7"/>
  <c r="D1319" i="7"/>
  <c r="D1318" i="7"/>
  <c r="D1317" i="7"/>
  <c r="D1316" i="7"/>
  <c r="D1315" i="7"/>
  <c r="D1314" i="7"/>
  <c r="D1313" i="7"/>
  <c r="D1312" i="7"/>
  <c r="D1311" i="7"/>
  <c r="D1310" i="7"/>
  <c r="D1309" i="7"/>
  <c r="D1308" i="7"/>
  <c r="D1307" i="7"/>
  <c r="D1306" i="7"/>
  <c r="D1305" i="7"/>
  <c r="D1304" i="7"/>
  <c r="D1303" i="7"/>
  <c r="D1302" i="7"/>
  <c r="D1301" i="7"/>
  <c r="D1300" i="7"/>
  <c r="D1299" i="7"/>
  <c r="D1298" i="7"/>
  <c r="D1297" i="7"/>
  <c r="D1296" i="7"/>
  <c r="D1295" i="7"/>
  <c r="D1294" i="7"/>
  <c r="D1293" i="7"/>
  <c r="D1292" i="7"/>
  <c r="D1291" i="7"/>
  <c r="D1290" i="7"/>
  <c r="D1289" i="7"/>
  <c r="D1288" i="7"/>
  <c r="D1287" i="7"/>
  <c r="D1286" i="7"/>
  <c r="D1285" i="7"/>
  <c r="D1284" i="7"/>
  <c r="D1283" i="7"/>
  <c r="D1282" i="7"/>
  <c r="D1281" i="7"/>
  <c r="D1280" i="7"/>
  <c r="D1279" i="7"/>
  <c r="D1278" i="7"/>
  <c r="D1277" i="7"/>
  <c r="D1276" i="7"/>
  <c r="D1275" i="7"/>
  <c r="D1274" i="7"/>
  <c r="D1273" i="7"/>
  <c r="D1272" i="7"/>
  <c r="D1271" i="7"/>
  <c r="D1270" i="7"/>
  <c r="D1269" i="7"/>
  <c r="D1268" i="7"/>
  <c r="D1267" i="7"/>
  <c r="D1266" i="7"/>
  <c r="D1265" i="7"/>
  <c r="D1264" i="7"/>
  <c r="D1263" i="7"/>
  <c r="D1262" i="7"/>
  <c r="D1261" i="7"/>
  <c r="D1260" i="7"/>
  <c r="D1259" i="7"/>
  <c r="D1258" i="7"/>
  <c r="D1257" i="7"/>
  <c r="D1256" i="7"/>
  <c r="D1255" i="7"/>
  <c r="D1254" i="7"/>
  <c r="D1253" i="7"/>
  <c r="D1252" i="7"/>
  <c r="D1251" i="7"/>
  <c r="D1250" i="7"/>
  <c r="D1249" i="7"/>
  <c r="D1248" i="7"/>
  <c r="D1247" i="7"/>
  <c r="D1246" i="7"/>
  <c r="D1245" i="7"/>
  <c r="D1244" i="7"/>
  <c r="D1243" i="7"/>
  <c r="D1242" i="7"/>
  <c r="D1241" i="7"/>
  <c r="D1240" i="7"/>
  <c r="D1239" i="7"/>
  <c r="D1238" i="7"/>
  <c r="D1237" i="7"/>
  <c r="D1236" i="7"/>
  <c r="D1235" i="7"/>
  <c r="D1234" i="7"/>
  <c r="D1233" i="7"/>
  <c r="D1232" i="7"/>
  <c r="D1231" i="7"/>
  <c r="D1230" i="7"/>
  <c r="D1229" i="7"/>
  <c r="D1228" i="7"/>
  <c r="D1227" i="7"/>
  <c r="D1226" i="7"/>
  <c r="D1225" i="7"/>
  <c r="D1224" i="7"/>
  <c r="D1223" i="7"/>
  <c r="D1222" i="7"/>
  <c r="D1221" i="7"/>
  <c r="D1220" i="7"/>
  <c r="D1219" i="7"/>
  <c r="D1218" i="7"/>
  <c r="D1217" i="7"/>
  <c r="D1216" i="7"/>
  <c r="D1215" i="7"/>
  <c r="D1214" i="7"/>
  <c r="D1213" i="7"/>
  <c r="D1212" i="7"/>
  <c r="D1211" i="7"/>
  <c r="D1210" i="7"/>
  <c r="D1209" i="7"/>
  <c r="D1208" i="7"/>
  <c r="D1207" i="7"/>
  <c r="D1206" i="7"/>
  <c r="D1205" i="7"/>
  <c r="D1204" i="7"/>
  <c r="D1203" i="7"/>
  <c r="D1202" i="7"/>
  <c r="D1201" i="7"/>
  <c r="D1200" i="7"/>
  <c r="D1199" i="7"/>
  <c r="D1198" i="7"/>
  <c r="D1197" i="7"/>
  <c r="D1196" i="7"/>
  <c r="D1195" i="7"/>
  <c r="D1194" i="7"/>
  <c r="D1193" i="7"/>
  <c r="D1192" i="7"/>
  <c r="D1191" i="7"/>
  <c r="D1190" i="7"/>
  <c r="D1189" i="7"/>
  <c r="D1188" i="7"/>
  <c r="D1187" i="7"/>
  <c r="D1186" i="7"/>
  <c r="D1185" i="7"/>
  <c r="D1184" i="7"/>
  <c r="D1183" i="7"/>
  <c r="D1182" i="7"/>
  <c r="D1181" i="7"/>
  <c r="D1180" i="7"/>
  <c r="D1179" i="7"/>
  <c r="D1178" i="7"/>
  <c r="D1177" i="7"/>
  <c r="D1176" i="7"/>
  <c r="D1175" i="7"/>
  <c r="D1174" i="7"/>
  <c r="D1173" i="7"/>
  <c r="D1172" i="7"/>
  <c r="D1171" i="7"/>
  <c r="D1170" i="7"/>
  <c r="D1169" i="7"/>
  <c r="D1168" i="7"/>
  <c r="D1167" i="7"/>
  <c r="D1166" i="7"/>
  <c r="D1165" i="7"/>
  <c r="D1164" i="7"/>
  <c r="D1163" i="7"/>
  <c r="D1162" i="7"/>
  <c r="D1161" i="7"/>
  <c r="D1160" i="7"/>
  <c r="D1159" i="7"/>
  <c r="D1158" i="7"/>
  <c r="D1157" i="7"/>
  <c r="D1156" i="7"/>
  <c r="D1155" i="7"/>
  <c r="D1154" i="7"/>
  <c r="D1153" i="7"/>
  <c r="D1152" i="7"/>
  <c r="D1151" i="7"/>
  <c r="D1150" i="7"/>
  <c r="D1149" i="7"/>
  <c r="D1148" i="7"/>
  <c r="D1147" i="7"/>
  <c r="D1146" i="7"/>
  <c r="D1145" i="7"/>
  <c r="D1144" i="7"/>
  <c r="D1143" i="7"/>
  <c r="D1142" i="7"/>
  <c r="D1141" i="7"/>
  <c r="D1140" i="7"/>
  <c r="D1139" i="7"/>
  <c r="D1138" i="7"/>
  <c r="D1137" i="7"/>
  <c r="D1136" i="7"/>
  <c r="D1135" i="7"/>
  <c r="D1134" i="7"/>
  <c r="D1133" i="7"/>
  <c r="D1132" i="7"/>
  <c r="D1131" i="7"/>
  <c r="D1130" i="7"/>
  <c r="D1129" i="7"/>
  <c r="D1128" i="7"/>
  <c r="D1127" i="7"/>
  <c r="D1126" i="7"/>
  <c r="D1125" i="7"/>
  <c r="D1124" i="7"/>
  <c r="D1123" i="7"/>
  <c r="D1122" i="7"/>
  <c r="D1121" i="7"/>
  <c r="D1120" i="7"/>
  <c r="D1119" i="7"/>
  <c r="D1118" i="7"/>
  <c r="D1117" i="7"/>
  <c r="D1116" i="7"/>
  <c r="D1115" i="7"/>
  <c r="D1114" i="7"/>
  <c r="D1113" i="7"/>
  <c r="D1112" i="7"/>
  <c r="D1111" i="7"/>
  <c r="D1110" i="7"/>
  <c r="D1109" i="7"/>
  <c r="D1108" i="7"/>
  <c r="D1107" i="7"/>
  <c r="D1106" i="7"/>
  <c r="D1105" i="7"/>
  <c r="D1104" i="7"/>
  <c r="D1103" i="7"/>
  <c r="D1102" i="7"/>
  <c r="D1101" i="7"/>
  <c r="D1100" i="7"/>
  <c r="D1099" i="7"/>
  <c r="D1098" i="7"/>
  <c r="D1097" i="7"/>
  <c r="D1096" i="7"/>
  <c r="D1095" i="7"/>
  <c r="D1094" i="7"/>
  <c r="D1093" i="7"/>
  <c r="D1092" i="7"/>
  <c r="D1091" i="7"/>
  <c r="D1090" i="7"/>
  <c r="D1089" i="7"/>
  <c r="D1088" i="7"/>
  <c r="D1087" i="7"/>
  <c r="D1086" i="7"/>
  <c r="D1085" i="7"/>
  <c r="D1084" i="7"/>
  <c r="D1083" i="7"/>
  <c r="D1082" i="7"/>
  <c r="D1081" i="7"/>
  <c r="D1080" i="7"/>
  <c r="D1079" i="7"/>
  <c r="D1078" i="7"/>
  <c r="D1077" i="7"/>
  <c r="D1076" i="7"/>
  <c r="D1075" i="7"/>
  <c r="D1074" i="7"/>
  <c r="D1073" i="7"/>
  <c r="D1072" i="7"/>
  <c r="D1071" i="7"/>
  <c r="D1070" i="7"/>
  <c r="D1069" i="7"/>
  <c r="D1068" i="7"/>
  <c r="D1067" i="7"/>
  <c r="D1066" i="7"/>
  <c r="D1065" i="7"/>
  <c r="D1064" i="7"/>
  <c r="D1063" i="7"/>
  <c r="D1062" i="7"/>
  <c r="D1061" i="7"/>
  <c r="D1060" i="7"/>
  <c r="D1059" i="7"/>
  <c r="D1058" i="7"/>
  <c r="D1057" i="7"/>
  <c r="D1056" i="7"/>
  <c r="D1055" i="7"/>
  <c r="D1054" i="7"/>
  <c r="D1053" i="7"/>
  <c r="D1052" i="7"/>
  <c r="D1051" i="7"/>
  <c r="D1050" i="7"/>
  <c r="D1049" i="7"/>
  <c r="D1048" i="7"/>
  <c r="D1047" i="7"/>
  <c r="D1046" i="7"/>
  <c r="D1045" i="7"/>
  <c r="D1044" i="7"/>
  <c r="D1043" i="7"/>
  <c r="D1042" i="7"/>
  <c r="D1041" i="7"/>
  <c r="D1040" i="7"/>
  <c r="D1039" i="7"/>
  <c r="D1038" i="7"/>
  <c r="D1037" i="7"/>
  <c r="D1036" i="7"/>
  <c r="D1035" i="7"/>
  <c r="D1034" i="7"/>
  <c r="D1033" i="7"/>
  <c r="D1032" i="7"/>
  <c r="D1031" i="7"/>
  <c r="D1030" i="7"/>
  <c r="D1029" i="7"/>
  <c r="D1028" i="7"/>
  <c r="D1027" i="7"/>
  <c r="D1026" i="7"/>
  <c r="D1025" i="7"/>
  <c r="D1024" i="7"/>
  <c r="D1023" i="7"/>
  <c r="D1022" i="7"/>
  <c r="D1021" i="7"/>
  <c r="D1020" i="7"/>
  <c r="D1019" i="7"/>
  <c r="D1018" i="7"/>
  <c r="D1017" i="7"/>
  <c r="D1016" i="7"/>
  <c r="D1015" i="7"/>
  <c r="D1014" i="7"/>
  <c r="D1013" i="7"/>
  <c r="D1012" i="7"/>
  <c r="D1011" i="7"/>
  <c r="D1010" i="7"/>
  <c r="D1009" i="7"/>
  <c r="D1008" i="7"/>
  <c r="D1007" i="7"/>
  <c r="D1006" i="7"/>
  <c r="D1005" i="7"/>
  <c r="D1004" i="7"/>
  <c r="D1003" i="7"/>
  <c r="D1002" i="7"/>
  <c r="D1001" i="7"/>
  <c r="D1000" i="7"/>
  <c r="D999" i="7"/>
  <c r="D998" i="7"/>
  <c r="D997" i="7"/>
  <c r="D996" i="7"/>
  <c r="D995" i="7"/>
  <c r="D994" i="7"/>
  <c r="D993" i="7"/>
  <c r="D992" i="7"/>
  <c r="D991" i="7"/>
  <c r="D990" i="7"/>
  <c r="D989" i="7"/>
  <c r="D988" i="7"/>
  <c r="D987" i="7"/>
  <c r="D986" i="7"/>
  <c r="D985" i="7"/>
  <c r="D984" i="7"/>
  <c r="D983" i="7"/>
  <c r="D982" i="7"/>
  <c r="D981" i="7"/>
  <c r="D980" i="7"/>
  <c r="D979" i="7"/>
  <c r="D978" i="7"/>
  <c r="D977" i="7"/>
  <c r="D976" i="7"/>
  <c r="D975" i="7"/>
  <c r="D974" i="7"/>
  <c r="D973" i="7"/>
  <c r="D972" i="7"/>
  <c r="D971" i="7"/>
  <c r="D970" i="7"/>
  <c r="D969" i="7"/>
  <c r="D968" i="7"/>
  <c r="D967" i="7"/>
  <c r="D966" i="7"/>
  <c r="D965" i="7"/>
  <c r="D964" i="7"/>
  <c r="D963" i="7"/>
  <c r="D962" i="7"/>
  <c r="D961" i="7"/>
  <c r="D960" i="7"/>
  <c r="D959" i="7"/>
  <c r="D958" i="7"/>
  <c r="D957" i="7"/>
  <c r="D956" i="7"/>
  <c r="D955" i="7"/>
  <c r="D954" i="7"/>
  <c r="D953" i="7"/>
  <c r="D952" i="7"/>
  <c r="D951" i="7"/>
  <c r="D950" i="7"/>
  <c r="D949" i="7"/>
  <c r="D948" i="7"/>
  <c r="D947" i="7"/>
  <c r="D946" i="7"/>
  <c r="D945" i="7"/>
  <c r="D944" i="7"/>
  <c r="D943" i="7"/>
  <c r="D942" i="7"/>
  <c r="D941" i="7"/>
  <c r="D940" i="7"/>
  <c r="D939" i="7"/>
  <c r="D938" i="7"/>
  <c r="D937" i="7"/>
  <c r="D936" i="7"/>
  <c r="D935" i="7"/>
  <c r="D934" i="7"/>
  <c r="D933" i="7"/>
  <c r="D932" i="7"/>
  <c r="D931" i="7"/>
  <c r="D930" i="7"/>
  <c r="D929" i="7"/>
  <c r="D928" i="7"/>
  <c r="D927" i="7"/>
  <c r="D926" i="7"/>
  <c r="D925" i="7"/>
  <c r="D924" i="7"/>
  <c r="D923" i="7"/>
  <c r="D922" i="7"/>
  <c r="D921" i="7"/>
  <c r="D920" i="7"/>
  <c r="D919" i="7"/>
  <c r="D918" i="7"/>
  <c r="D917" i="7"/>
  <c r="D916" i="7"/>
  <c r="D915" i="7"/>
  <c r="D914" i="7"/>
  <c r="D913" i="7"/>
  <c r="D912" i="7"/>
  <c r="D911" i="7"/>
  <c r="D910" i="7"/>
  <c r="D909" i="7"/>
  <c r="D908" i="7"/>
  <c r="D907" i="7"/>
  <c r="D906" i="7"/>
  <c r="D905" i="7"/>
  <c r="D904" i="7"/>
  <c r="D903" i="7"/>
  <c r="D902" i="7"/>
  <c r="D901" i="7"/>
  <c r="D900" i="7"/>
  <c r="D899" i="7"/>
  <c r="D898" i="7"/>
  <c r="D897" i="7"/>
  <c r="D896" i="7"/>
  <c r="D895" i="7"/>
  <c r="D894" i="7"/>
  <c r="D893" i="7"/>
  <c r="D892" i="7"/>
  <c r="D891" i="7"/>
  <c r="D890" i="7"/>
  <c r="D889" i="7"/>
  <c r="D888" i="7"/>
  <c r="D887" i="7"/>
  <c r="D886" i="7"/>
  <c r="D885" i="7"/>
  <c r="D884" i="7"/>
  <c r="D883" i="7"/>
  <c r="D882" i="7"/>
  <c r="D881" i="7"/>
  <c r="D880" i="7"/>
  <c r="D879" i="7"/>
  <c r="D878" i="7"/>
  <c r="D877" i="7"/>
  <c r="D876" i="7"/>
  <c r="D875" i="7"/>
  <c r="D874" i="7"/>
  <c r="D873" i="7"/>
  <c r="D872" i="7"/>
  <c r="D871" i="7"/>
  <c r="D870" i="7"/>
  <c r="D869" i="7"/>
  <c r="D868" i="7"/>
  <c r="D867" i="7"/>
  <c r="D866" i="7"/>
  <c r="D865" i="7"/>
  <c r="D864" i="7"/>
  <c r="D863" i="7"/>
  <c r="D862" i="7"/>
  <c r="D861" i="7"/>
  <c r="D860" i="7"/>
  <c r="D859" i="7"/>
  <c r="D858" i="7"/>
  <c r="D857" i="7"/>
  <c r="D856" i="7"/>
  <c r="D855" i="7"/>
  <c r="D854" i="7"/>
  <c r="D853" i="7"/>
  <c r="D852" i="7"/>
  <c r="D851" i="7"/>
  <c r="D850" i="7"/>
  <c r="D849" i="7"/>
  <c r="D848" i="7"/>
  <c r="D847" i="7"/>
  <c r="D846" i="7"/>
  <c r="D845" i="7"/>
  <c r="D844" i="7"/>
  <c r="D843" i="7"/>
  <c r="D842" i="7"/>
  <c r="D841" i="7"/>
  <c r="D840" i="7"/>
  <c r="D839" i="7"/>
  <c r="D838" i="7"/>
  <c r="D837" i="7"/>
  <c r="D836" i="7"/>
  <c r="D835" i="7"/>
  <c r="D834" i="7"/>
  <c r="D833" i="7"/>
  <c r="D832" i="7"/>
  <c r="D831" i="7"/>
  <c r="D830" i="7"/>
  <c r="D829" i="7"/>
  <c r="D828" i="7"/>
  <c r="D827" i="7"/>
  <c r="D826" i="7"/>
  <c r="D825" i="7"/>
  <c r="D824" i="7"/>
  <c r="D823" i="7"/>
  <c r="D822" i="7"/>
  <c r="D821" i="7"/>
  <c r="D820" i="7"/>
  <c r="D819" i="7"/>
  <c r="D818" i="7"/>
  <c r="D817" i="7"/>
  <c r="D816" i="7"/>
  <c r="D815" i="7"/>
  <c r="D814" i="7"/>
  <c r="D813" i="7"/>
  <c r="D812" i="7"/>
  <c r="D811" i="7"/>
  <c r="D810" i="7"/>
  <c r="D809" i="7"/>
  <c r="D808" i="7"/>
  <c r="D807" i="7"/>
  <c r="D806" i="7"/>
  <c r="D805" i="7"/>
  <c r="D804" i="7"/>
  <c r="D803" i="7"/>
  <c r="D802" i="7"/>
  <c r="D801" i="7"/>
  <c r="D800" i="7"/>
  <c r="D799" i="7"/>
  <c r="D798" i="7"/>
  <c r="D797" i="7"/>
  <c r="D796" i="7"/>
  <c r="D795" i="7"/>
  <c r="D794" i="7"/>
  <c r="D793" i="7"/>
  <c r="D792" i="7"/>
  <c r="D791" i="7"/>
  <c r="D790" i="7"/>
  <c r="D789" i="7"/>
  <c r="D788" i="7"/>
  <c r="D787" i="7"/>
  <c r="D786" i="7"/>
  <c r="D785" i="7"/>
  <c r="D784" i="7"/>
  <c r="D783" i="7"/>
  <c r="D782" i="7"/>
  <c r="D781" i="7"/>
  <c r="D780" i="7"/>
  <c r="D779" i="7"/>
  <c r="D778" i="7"/>
  <c r="D777" i="7"/>
  <c r="D776" i="7"/>
  <c r="D775" i="7"/>
  <c r="D774" i="7"/>
  <c r="D773" i="7"/>
  <c r="D772" i="7"/>
  <c r="D771" i="7"/>
  <c r="D770" i="7"/>
  <c r="D769" i="7"/>
  <c r="D768" i="7"/>
  <c r="D767" i="7"/>
  <c r="D766" i="7"/>
  <c r="D765" i="7"/>
  <c r="D764" i="7"/>
  <c r="D763" i="7"/>
  <c r="D762" i="7"/>
  <c r="D761" i="7"/>
  <c r="D760" i="7"/>
  <c r="D759" i="7"/>
  <c r="D758" i="7"/>
  <c r="D757" i="7"/>
  <c r="D756" i="7"/>
  <c r="D755" i="7"/>
  <c r="D754" i="7"/>
  <c r="D753" i="7"/>
  <c r="D752" i="7"/>
  <c r="D751" i="7"/>
  <c r="D750" i="7"/>
  <c r="D749" i="7"/>
  <c r="D748" i="7"/>
  <c r="D747" i="7"/>
  <c r="D746" i="7"/>
  <c r="D745" i="7"/>
  <c r="D744" i="7"/>
  <c r="D743" i="7"/>
  <c r="D742" i="7"/>
  <c r="D741" i="7"/>
  <c r="D740" i="7"/>
  <c r="D739" i="7"/>
  <c r="D738" i="7"/>
  <c r="D737" i="7"/>
  <c r="D736" i="7"/>
  <c r="D735" i="7"/>
  <c r="D734" i="7"/>
  <c r="D733" i="7"/>
  <c r="D732" i="7"/>
  <c r="D731" i="7"/>
  <c r="D730" i="7"/>
  <c r="D729" i="7"/>
  <c r="D728" i="7"/>
  <c r="D727" i="7"/>
  <c r="D726" i="7"/>
  <c r="D725" i="7"/>
  <c r="D724" i="7"/>
  <c r="D723" i="7"/>
  <c r="D722" i="7"/>
  <c r="D721" i="7"/>
  <c r="D720" i="7"/>
  <c r="D719" i="7"/>
  <c r="D718" i="7"/>
  <c r="D717" i="7"/>
  <c r="D716" i="7"/>
  <c r="D715" i="7"/>
  <c r="D714" i="7"/>
  <c r="D713" i="7"/>
  <c r="D712" i="7"/>
  <c r="D711" i="7"/>
  <c r="D710" i="7"/>
  <c r="D709" i="7"/>
  <c r="D708" i="7"/>
  <c r="D707" i="7"/>
  <c r="D706" i="7"/>
  <c r="D705" i="7"/>
  <c r="D704" i="7"/>
  <c r="D703" i="7"/>
  <c r="D702" i="7"/>
  <c r="D701" i="7"/>
  <c r="D700" i="7"/>
  <c r="D699" i="7"/>
  <c r="D698" i="7"/>
  <c r="D697" i="7"/>
  <c r="D696" i="7"/>
  <c r="D695" i="7"/>
  <c r="D694" i="7"/>
  <c r="D693" i="7"/>
  <c r="D692" i="7"/>
  <c r="D691" i="7"/>
  <c r="D690" i="7"/>
  <c r="D689" i="7"/>
  <c r="D688" i="7"/>
  <c r="D687" i="7"/>
  <c r="D686" i="7"/>
  <c r="D685" i="7"/>
  <c r="D684" i="7"/>
  <c r="D683" i="7"/>
  <c r="D682" i="7"/>
  <c r="D681" i="7"/>
  <c r="D680" i="7"/>
  <c r="D679" i="7"/>
  <c r="D678" i="7"/>
  <c r="D677" i="7"/>
  <c r="D676" i="7"/>
  <c r="D675" i="7"/>
  <c r="D674" i="7"/>
  <c r="D673" i="7"/>
  <c r="D672" i="7"/>
  <c r="D671" i="7"/>
  <c r="D670" i="7"/>
  <c r="D669" i="7"/>
  <c r="D668" i="7"/>
  <c r="D667" i="7"/>
  <c r="D666" i="7"/>
  <c r="D665" i="7"/>
  <c r="D664" i="7"/>
  <c r="D663" i="7"/>
  <c r="D662" i="7"/>
  <c r="D661" i="7"/>
  <c r="D660" i="7"/>
  <c r="D659" i="7"/>
  <c r="D658" i="7"/>
  <c r="D657" i="7"/>
  <c r="D656" i="7"/>
  <c r="D655" i="7"/>
  <c r="D654" i="7"/>
  <c r="D653" i="7"/>
  <c r="D652" i="7"/>
  <c r="D651" i="7"/>
  <c r="D650" i="7"/>
  <c r="D649" i="7"/>
  <c r="D648" i="7"/>
  <c r="D647" i="7"/>
  <c r="D646" i="7"/>
  <c r="D645" i="7"/>
  <c r="D644" i="7"/>
  <c r="D643" i="7"/>
  <c r="D642" i="7"/>
  <c r="D641" i="7"/>
  <c r="D640" i="7"/>
  <c r="D639" i="7"/>
  <c r="D638" i="7"/>
  <c r="D637" i="7"/>
  <c r="D636" i="7"/>
  <c r="D635" i="7"/>
  <c r="D634" i="7"/>
  <c r="D633" i="7"/>
  <c r="D632" i="7"/>
  <c r="D631" i="7"/>
  <c r="D630" i="7"/>
  <c r="D629" i="7"/>
  <c r="D628" i="7"/>
  <c r="D627" i="7"/>
  <c r="D626" i="7"/>
  <c r="D625" i="7"/>
  <c r="D624" i="7"/>
  <c r="D623" i="7"/>
  <c r="D622" i="7"/>
  <c r="D621" i="7"/>
  <c r="D620" i="7"/>
  <c r="D619" i="7"/>
  <c r="D618" i="7"/>
  <c r="D617" i="7"/>
  <c r="D616" i="7"/>
  <c r="D615" i="7"/>
  <c r="D614" i="7"/>
  <c r="D613" i="7"/>
  <c r="D612" i="7"/>
  <c r="D611" i="7"/>
  <c r="D610" i="7"/>
  <c r="D609" i="7"/>
  <c r="D608" i="7"/>
  <c r="D607" i="7"/>
  <c r="D606" i="7"/>
  <c r="D605" i="7"/>
  <c r="D604" i="7"/>
  <c r="D603" i="7"/>
  <c r="D602" i="7"/>
  <c r="D601" i="7"/>
  <c r="D600" i="7"/>
  <c r="D599" i="7"/>
  <c r="D598" i="7"/>
  <c r="D597" i="7"/>
  <c r="D596" i="7"/>
  <c r="D595" i="7"/>
  <c r="D594" i="7"/>
  <c r="D593" i="7"/>
  <c r="D592" i="7"/>
  <c r="D591" i="7"/>
  <c r="D590" i="7"/>
  <c r="D589" i="7"/>
  <c r="D588" i="7"/>
  <c r="D587" i="7"/>
  <c r="D586" i="7"/>
  <c r="D585" i="7"/>
  <c r="D584" i="7"/>
  <c r="D583" i="7"/>
  <c r="D582" i="7"/>
  <c r="D581" i="7"/>
  <c r="D580" i="7"/>
  <c r="D579" i="7"/>
  <c r="D578" i="7"/>
  <c r="D577" i="7"/>
  <c r="D576" i="7"/>
  <c r="D575" i="7"/>
  <c r="D574" i="7"/>
  <c r="D573" i="7"/>
  <c r="D572" i="7"/>
  <c r="D571" i="7"/>
  <c r="D570" i="7"/>
  <c r="D569" i="7"/>
  <c r="D568" i="7"/>
  <c r="D567" i="7"/>
  <c r="D566" i="7"/>
  <c r="D565" i="7"/>
  <c r="D564" i="7"/>
  <c r="D563" i="7"/>
  <c r="D562" i="7"/>
  <c r="D561" i="7"/>
  <c r="D560" i="7"/>
  <c r="D559" i="7"/>
  <c r="D558" i="7"/>
  <c r="D557" i="7"/>
  <c r="D556" i="7"/>
  <c r="D555" i="7"/>
  <c r="D554" i="7"/>
  <c r="D553" i="7"/>
  <c r="D552" i="7"/>
  <c r="D551" i="7"/>
  <c r="D550" i="7"/>
  <c r="D549" i="7"/>
  <c r="D548" i="7"/>
  <c r="D547" i="7"/>
  <c r="D546" i="7"/>
  <c r="D545" i="7"/>
  <c r="D544" i="7"/>
  <c r="D543" i="7"/>
  <c r="D542" i="7"/>
  <c r="D541" i="7"/>
  <c r="D540" i="7"/>
  <c r="D539" i="7"/>
  <c r="D538" i="7"/>
  <c r="D537" i="7"/>
  <c r="D536" i="7"/>
  <c r="D535" i="7"/>
  <c r="D534" i="7"/>
  <c r="D533" i="7"/>
  <c r="D532" i="7"/>
  <c r="D531" i="7"/>
  <c r="D530" i="7"/>
  <c r="D529" i="7"/>
  <c r="D528" i="7"/>
  <c r="D527" i="7"/>
  <c r="D526" i="7"/>
  <c r="D525" i="7"/>
  <c r="D524" i="7"/>
  <c r="D523" i="7"/>
  <c r="D522" i="7"/>
  <c r="D521" i="7"/>
  <c r="D520" i="7"/>
  <c r="D519" i="7"/>
  <c r="D518" i="7"/>
  <c r="D517" i="7"/>
  <c r="D516" i="7"/>
  <c r="D515" i="7"/>
  <c r="D514" i="7"/>
  <c r="D513" i="7"/>
  <c r="D512" i="7"/>
  <c r="D511" i="7"/>
  <c r="D510" i="7"/>
  <c r="D509" i="7"/>
  <c r="D508" i="7"/>
  <c r="D507" i="7"/>
  <c r="D506" i="7"/>
  <c r="D505" i="7"/>
  <c r="D504" i="7"/>
  <c r="D503" i="7"/>
  <c r="D502" i="7"/>
  <c r="D501" i="7"/>
  <c r="D500" i="7"/>
  <c r="D499" i="7"/>
  <c r="D498" i="7"/>
  <c r="D497" i="7"/>
  <c r="D496" i="7"/>
  <c r="D495" i="7"/>
  <c r="D494" i="7"/>
  <c r="D493" i="7"/>
  <c r="D492" i="7"/>
  <c r="D491" i="7"/>
  <c r="D490" i="7"/>
  <c r="D489" i="7"/>
  <c r="D488" i="7"/>
  <c r="D487" i="7"/>
  <c r="D486" i="7"/>
  <c r="D485" i="7"/>
  <c r="D484" i="7"/>
  <c r="D483" i="7"/>
  <c r="D482" i="7"/>
  <c r="D481" i="7"/>
  <c r="D480" i="7"/>
  <c r="D479" i="7"/>
  <c r="D478" i="7"/>
  <c r="D477" i="7"/>
  <c r="D476" i="7"/>
  <c r="D475" i="7"/>
  <c r="D474" i="7"/>
  <c r="D473" i="7"/>
  <c r="D472" i="7"/>
  <c r="D471" i="7"/>
  <c r="D470" i="7"/>
  <c r="D469" i="7"/>
  <c r="D468" i="7"/>
  <c r="D467" i="7"/>
  <c r="D466" i="7"/>
  <c r="D465" i="7"/>
  <c r="D464" i="7"/>
  <c r="D463" i="7"/>
  <c r="D462" i="7"/>
  <c r="D461" i="7"/>
  <c r="D460" i="7"/>
  <c r="D459" i="7"/>
  <c r="D458" i="7"/>
  <c r="D457" i="7"/>
  <c r="D456" i="7"/>
  <c r="D455" i="7"/>
  <c r="D454" i="7"/>
  <c r="D453" i="7"/>
  <c r="D452" i="7"/>
  <c r="D451" i="7"/>
  <c r="D450" i="7"/>
  <c r="D449" i="7"/>
  <c r="D448" i="7"/>
  <c r="D447" i="7"/>
  <c r="D446" i="7"/>
  <c r="D445" i="7"/>
  <c r="D444" i="7"/>
  <c r="D443" i="7"/>
  <c r="D442" i="7"/>
  <c r="D441" i="7"/>
  <c r="D440" i="7"/>
  <c r="D439" i="7"/>
  <c r="D438" i="7"/>
  <c r="D437" i="7"/>
  <c r="D436" i="7"/>
  <c r="D435" i="7"/>
  <c r="D434" i="7"/>
  <c r="D433" i="7"/>
  <c r="D432" i="7"/>
  <c r="D431" i="7"/>
  <c r="D430" i="7"/>
  <c r="D429" i="7"/>
  <c r="D428" i="7"/>
  <c r="D427" i="7"/>
  <c r="D426" i="7"/>
  <c r="D425" i="7"/>
  <c r="D424" i="7"/>
  <c r="D423" i="7"/>
  <c r="D422" i="7"/>
  <c r="D421" i="7"/>
  <c r="D420" i="7"/>
  <c r="D419" i="7"/>
  <c r="D418" i="7"/>
  <c r="D417" i="7"/>
  <c r="D416" i="7"/>
  <c r="D415" i="7"/>
  <c r="D414" i="7"/>
  <c r="D413" i="7"/>
  <c r="D412" i="7"/>
  <c r="D411" i="7"/>
  <c r="D410" i="7"/>
  <c r="D409" i="7"/>
  <c r="D408" i="7"/>
  <c r="D407" i="7"/>
  <c r="D406" i="7"/>
  <c r="D405" i="7"/>
  <c r="D404" i="7"/>
  <c r="D403" i="7"/>
  <c r="D402" i="7"/>
  <c r="D401" i="7"/>
  <c r="D400" i="7"/>
  <c r="D399" i="7"/>
  <c r="D398" i="7"/>
  <c r="D397" i="7"/>
  <c r="D396" i="7"/>
  <c r="D395" i="7"/>
  <c r="D394" i="7"/>
  <c r="D393" i="7"/>
  <c r="D392" i="7"/>
  <c r="D391" i="7"/>
  <c r="D390" i="7"/>
  <c r="D389" i="7"/>
  <c r="D388" i="7"/>
  <c r="D387" i="7"/>
  <c r="D386" i="7"/>
  <c r="D385" i="7"/>
  <c r="D384" i="7"/>
  <c r="D383" i="7"/>
  <c r="D382" i="7"/>
  <c r="D381" i="7"/>
  <c r="D380" i="7"/>
  <c r="D379" i="7"/>
  <c r="D378" i="7"/>
  <c r="D377" i="7"/>
  <c r="D376" i="7"/>
  <c r="D375" i="7"/>
  <c r="D374" i="7"/>
  <c r="D373" i="7"/>
  <c r="D372" i="7"/>
  <c r="D371" i="7"/>
  <c r="D370" i="7"/>
  <c r="D369" i="7"/>
  <c r="D368" i="7"/>
  <c r="D367" i="7"/>
  <c r="D366" i="7"/>
  <c r="D365" i="7"/>
  <c r="D364" i="7"/>
  <c r="D363" i="7"/>
  <c r="D362" i="7"/>
  <c r="D361" i="7"/>
  <c r="D360" i="7"/>
  <c r="D359" i="7"/>
  <c r="D358" i="7"/>
  <c r="D357" i="7"/>
  <c r="D356" i="7"/>
  <c r="D355" i="7"/>
  <c r="D354" i="7"/>
  <c r="D353" i="7"/>
  <c r="D352" i="7"/>
  <c r="D351" i="7"/>
  <c r="D350" i="7"/>
  <c r="D349" i="7"/>
  <c r="D348" i="7"/>
  <c r="D347" i="7"/>
  <c r="D346" i="7"/>
  <c r="D345" i="7"/>
  <c r="D344" i="7"/>
  <c r="D343" i="7"/>
  <c r="D342" i="7"/>
  <c r="D341" i="7"/>
  <c r="D340" i="7"/>
  <c r="D339" i="7"/>
  <c r="D338" i="7"/>
  <c r="D337" i="7"/>
  <c r="D336" i="7"/>
  <c r="D335" i="7"/>
  <c r="D334" i="7"/>
  <c r="D333" i="7"/>
  <c r="D332" i="7"/>
  <c r="D331" i="7"/>
  <c r="D330" i="7"/>
  <c r="D329" i="7"/>
  <c r="D328" i="7"/>
  <c r="D327" i="7"/>
  <c r="D326" i="7"/>
  <c r="D325" i="7"/>
  <c r="D324" i="7"/>
  <c r="D323" i="7"/>
  <c r="D322" i="7"/>
  <c r="D321" i="7"/>
  <c r="D320" i="7"/>
  <c r="D319" i="7"/>
  <c r="D318" i="7"/>
  <c r="D317" i="7"/>
  <c r="D316" i="7"/>
  <c r="D315" i="7"/>
  <c r="D314" i="7"/>
  <c r="D313" i="7"/>
  <c r="D312" i="7"/>
  <c r="D311" i="7"/>
  <c r="D310" i="7"/>
  <c r="D309" i="7"/>
  <c r="D308" i="7"/>
  <c r="D307" i="7"/>
  <c r="D306" i="7"/>
  <c r="D305" i="7"/>
  <c r="D304" i="7"/>
  <c r="D303" i="7"/>
  <c r="D302" i="7"/>
  <c r="D301" i="7"/>
  <c r="D300" i="7"/>
  <c r="D299" i="7"/>
  <c r="D298" i="7"/>
  <c r="D297" i="7"/>
  <c r="D296" i="7"/>
  <c r="D295" i="7"/>
  <c r="D294" i="7"/>
  <c r="D293" i="7"/>
  <c r="D292" i="7"/>
  <c r="D291" i="7"/>
  <c r="D290" i="7"/>
  <c r="D289" i="7"/>
  <c r="D288" i="7"/>
  <c r="D287" i="7"/>
  <c r="D286" i="7"/>
  <c r="D285" i="7"/>
  <c r="D284" i="7"/>
  <c r="D283" i="7"/>
  <c r="D282" i="7"/>
  <c r="D281" i="7"/>
  <c r="D280" i="7"/>
  <c r="D279" i="7"/>
  <c r="D278" i="7"/>
  <c r="D277" i="7"/>
  <c r="D276" i="7"/>
  <c r="D275" i="7"/>
  <c r="D274" i="7"/>
  <c r="D273" i="7"/>
  <c r="D272" i="7"/>
  <c r="D271" i="7"/>
  <c r="D270" i="7"/>
  <c r="D269" i="7"/>
  <c r="D268" i="7"/>
  <c r="D267" i="7"/>
  <c r="D266" i="7"/>
  <c r="D265" i="7"/>
  <c r="D264" i="7"/>
  <c r="D263" i="7"/>
  <c r="D262" i="7"/>
  <c r="D261" i="7"/>
  <c r="D260" i="7"/>
  <c r="D259" i="7"/>
  <c r="D258" i="7"/>
  <c r="D257" i="7"/>
  <c r="D256" i="7"/>
  <c r="D255" i="7"/>
  <c r="D254" i="7"/>
  <c r="D253" i="7"/>
  <c r="D252" i="7"/>
  <c r="D251" i="7"/>
  <c r="D250" i="7"/>
  <c r="D249" i="7"/>
  <c r="D248" i="7"/>
  <c r="D247" i="7"/>
  <c r="D246" i="7"/>
  <c r="D245" i="7"/>
  <c r="D244" i="7"/>
  <c r="D243" i="7"/>
  <c r="D242" i="7"/>
  <c r="D241" i="7"/>
  <c r="D240" i="7"/>
  <c r="D239" i="7"/>
  <c r="D238" i="7"/>
  <c r="D237" i="7"/>
  <c r="D236" i="7"/>
  <c r="D235" i="7"/>
  <c r="D234" i="7"/>
  <c r="D233" i="7"/>
  <c r="D232" i="7"/>
  <c r="D231" i="7"/>
  <c r="D230" i="7"/>
  <c r="D229" i="7"/>
  <c r="D228" i="7"/>
  <c r="D227" i="7"/>
  <c r="D226" i="7"/>
  <c r="D225" i="7"/>
  <c r="D224" i="7"/>
  <c r="D223" i="7"/>
  <c r="D222" i="7"/>
  <c r="D221" i="7"/>
  <c r="D220" i="7"/>
  <c r="D219" i="7"/>
  <c r="D218" i="7"/>
  <c r="D217" i="7"/>
  <c r="D216" i="7"/>
  <c r="D215" i="7"/>
  <c r="D214" i="7"/>
  <c r="D213" i="7"/>
  <c r="D212" i="7"/>
  <c r="D211" i="7"/>
  <c r="D210" i="7"/>
  <c r="D209" i="7"/>
  <c r="D208" i="7"/>
  <c r="D207" i="7"/>
  <c r="D206" i="7"/>
  <c r="D205" i="7"/>
  <c r="D204" i="7"/>
  <c r="D203" i="7"/>
  <c r="D202" i="7"/>
  <c r="D201" i="7"/>
  <c r="D200" i="7"/>
  <c r="D199" i="7"/>
  <c r="D198" i="7"/>
  <c r="D197" i="7"/>
  <c r="D196" i="7"/>
  <c r="D195" i="7"/>
  <c r="D194" i="7"/>
  <c r="D193" i="7"/>
  <c r="D192" i="7"/>
  <c r="D191" i="7"/>
  <c r="D190" i="7"/>
  <c r="D189" i="7"/>
  <c r="D188" i="7"/>
  <c r="D187" i="7"/>
  <c r="D186" i="7"/>
  <c r="D185" i="7"/>
  <c r="D184" i="7"/>
  <c r="D183" i="7"/>
  <c r="D182" i="7"/>
  <c r="D181" i="7"/>
  <c r="D180" i="7"/>
  <c r="D179" i="7"/>
  <c r="D178" i="7"/>
  <c r="D177" i="7"/>
  <c r="D176" i="7"/>
  <c r="D175" i="7"/>
  <c r="D174" i="7"/>
  <c r="D173" i="7"/>
  <c r="D172" i="7"/>
  <c r="D171" i="7"/>
  <c r="D170" i="7"/>
  <c r="D169" i="7"/>
  <c r="D168" i="7"/>
  <c r="D167" i="7"/>
  <c r="D166" i="7"/>
  <c r="D165" i="7"/>
  <c r="D164" i="7"/>
  <c r="D163" i="7"/>
  <c r="D162" i="7"/>
  <c r="D161" i="7"/>
  <c r="D160" i="7"/>
  <c r="D159" i="7"/>
  <c r="D158" i="7"/>
  <c r="D157" i="7"/>
  <c r="D156" i="7"/>
  <c r="D155" i="7"/>
  <c r="D154" i="7"/>
  <c r="D153" i="7"/>
  <c r="D152" i="7"/>
  <c r="D151" i="7"/>
  <c r="D150" i="7"/>
  <c r="D149" i="7"/>
  <c r="D148" i="7"/>
  <c r="D147" i="7"/>
  <c r="D146" i="7"/>
  <c r="D145" i="7"/>
  <c r="D144" i="7"/>
  <c r="D143" i="7"/>
  <c r="D142" i="7"/>
  <c r="D141" i="7"/>
  <c r="D140" i="7"/>
  <c r="D139" i="7"/>
  <c r="D138" i="7"/>
  <c r="D137" i="7"/>
  <c r="D136" i="7"/>
  <c r="D135" i="7"/>
  <c r="D134" i="7"/>
  <c r="D133" i="7"/>
  <c r="D132" i="7"/>
  <c r="D131" i="7"/>
  <c r="D130" i="7"/>
  <c r="D129" i="7"/>
  <c r="D128" i="7"/>
  <c r="D127" i="7"/>
  <c r="D126" i="7"/>
  <c r="D125" i="7"/>
  <c r="D124" i="7"/>
  <c r="D123" i="7"/>
  <c r="D122" i="7"/>
  <c r="D121" i="7"/>
  <c r="D120" i="7"/>
  <c r="D119" i="7"/>
  <c r="D118" i="7"/>
  <c r="D117" i="7"/>
  <c r="D116" i="7"/>
  <c r="D115" i="7"/>
  <c r="D114" i="7"/>
  <c r="D113" i="7"/>
  <c r="D112" i="7"/>
  <c r="D111" i="7"/>
  <c r="D110"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F7" i="9"/>
  <c r="F5" i="9"/>
  <c r="I10" i="17" l="1"/>
  <c r="H10" i="17"/>
  <c r="G10" i="17"/>
  <c r="F10" i="17"/>
  <c r="I9" i="17"/>
  <c r="H9" i="17"/>
  <c r="G9" i="17"/>
  <c r="F9" i="17"/>
  <c r="I8" i="17"/>
  <c r="H8" i="17"/>
  <c r="G22" i="5"/>
  <c r="F22" i="5"/>
  <c r="E22" i="5"/>
  <c r="D22" i="5"/>
  <c r="C22" i="5"/>
  <c r="G21" i="5"/>
  <c r="F21" i="5"/>
  <c r="E21" i="5"/>
  <c r="D21" i="5"/>
  <c r="C21" i="5"/>
  <c r="D20" i="5"/>
  <c r="E20" i="5"/>
  <c r="F20" i="5"/>
  <c r="G20" i="5"/>
  <c r="C20" i="5"/>
  <c r="C8" i="22"/>
  <c r="D10" i="7" l="1"/>
  <c r="C8" i="17"/>
  <c r="G16" i="28" l="1"/>
  <c r="F16" i="28"/>
  <c r="E16" i="28"/>
  <c r="D16" i="28"/>
  <c r="C16" i="28"/>
  <c r="Q30" i="14"/>
  <c r="P30" i="14"/>
  <c r="O30" i="14"/>
  <c r="H9" i="22"/>
  <c r="H10" i="22"/>
  <c r="H11" i="22"/>
  <c r="H12" i="22"/>
  <c r="H13" i="22"/>
  <c r="H14" i="22"/>
  <c r="H8" i="22"/>
  <c r="H19" i="5"/>
  <c r="I19" i="5" s="1"/>
  <c r="J19" i="5" s="1"/>
  <c r="K19" i="5" s="1"/>
  <c r="L19" i="5" s="1"/>
  <c r="M19" i="5" s="1"/>
  <c r="N19" i="5" s="1"/>
  <c r="O19" i="5" s="1"/>
  <c r="P19" i="5" s="1"/>
  <c r="Q19" i="5" s="1"/>
  <c r="I13" i="23" l="1"/>
  <c r="L29" i="6" l="1"/>
  <c r="L28" i="6"/>
  <c r="K51" i="3" l="1"/>
  <c r="L51" i="3" s="1"/>
  <c r="M51" i="3" s="1"/>
  <c r="N51" i="3" s="1"/>
  <c r="O51" i="3" s="1"/>
  <c r="P51" i="3" s="1"/>
  <c r="Q51" i="3" s="1"/>
  <c r="R51" i="3" s="1"/>
  <c r="J51" i="3"/>
  <c r="I51" i="3"/>
  <c r="K50" i="3"/>
  <c r="L50" i="3" s="1"/>
  <c r="M50" i="3" s="1"/>
  <c r="N50" i="3" s="1"/>
  <c r="O50" i="3" s="1"/>
  <c r="P50" i="3" s="1"/>
  <c r="Q50" i="3" s="1"/>
  <c r="R50" i="3" s="1"/>
  <c r="J50" i="3"/>
  <c r="I50" i="3"/>
  <c r="J49" i="3"/>
  <c r="K49" i="3" s="1"/>
  <c r="L49" i="3" s="1"/>
  <c r="M49" i="3" s="1"/>
  <c r="N49" i="3" s="1"/>
  <c r="O49" i="3" s="1"/>
  <c r="P49" i="3" s="1"/>
  <c r="Q49" i="3" s="1"/>
  <c r="R49" i="3" s="1"/>
  <c r="I49" i="3"/>
  <c r="J43" i="3"/>
  <c r="K43" i="3" s="1"/>
  <c r="L43" i="3" s="1"/>
  <c r="M43" i="3" s="1"/>
  <c r="N43" i="3" s="1"/>
  <c r="O43" i="3" s="1"/>
  <c r="P43" i="3" s="1"/>
  <c r="Q43" i="3" s="1"/>
  <c r="R43" i="3" s="1"/>
  <c r="I43" i="3"/>
  <c r="J42" i="3"/>
  <c r="K42" i="3" s="1"/>
  <c r="L42" i="3" s="1"/>
  <c r="M42" i="3" s="1"/>
  <c r="N42" i="3" s="1"/>
  <c r="O42" i="3" s="1"/>
  <c r="P42" i="3" s="1"/>
  <c r="Q42" i="3" s="1"/>
  <c r="R42" i="3" s="1"/>
  <c r="J41" i="3"/>
  <c r="K41" i="3" s="1"/>
  <c r="L41" i="3" s="1"/>
  <c r="M41" i="3" s="1"/>
  <c r="N41" i="3" s="1"/>
  <c r="O41" i="3" s="1"/>
  <c r="P41" i="3" s="1"/>
  <c r="Q41" i="3" s="1"/>
  <c r="R41" i="3" s="1"/>
  <c r="I42" i="3"/>
  <c r="I41" i="3"/>
  <c r="K40" i="3"/>
  <c r="L40" i="3" s="1"/>
  <c r="M40" i="3" s="1"/>
  <c r="N40" i="3" s="1"/>
  <c r="O40" i="3" s="1"/>
  <c r="P40" i="3" s="1"/>
  <c r="Q40" i="3" s="1"/>
  <c r="R40" i="3" s="1"/>
  <c r="J40" i="3"/>
  <c r="I40" i="3"/>
  <c r="K39" i="3"/>
  <c r="L39" i="3" s="1"/>
  <c r="M39" i="3" s="1"/>
  <c r="N39" i="3" s="1"/>
  <c r="O39" i="3" s="1"/>
  <c r="P39" i="3" s="1"/>
  <c r="Q39" i="3" s="1"/>
  <c r="R39" i="3" s="1"/>
  <c r="J39" i="3"/>
  <c r="I39" i="3"/>
  <c r="J38" i="3"/>
  <c r="K38" i="3" s="1"/>
  <c r="L38" i="3" s="1"/>
  <c r="M38" i="3" s="1"/>
  <c r="N38" i="3" s="1"/>
  <c r="O38" i="3" s="1"/>
  <c r="P38" i="3" s="1"/>
  <c r="Q38" i="3" s="1"/>
  <c r="R38" i="3" s="1"/>
  <c r="I38" i="3"/>
  <c r="D28" i="29" l="1"/>
  <c r="D27" i="29"/>
  <c r="D19" i="5"/>
  <c r="E19" i="5"/>
  <c r="F19" i="5"/>
  <c r="G19" i="5"/>
  <c r="C19" i="5"/>
  <c r="D22" i="4"/>
  <c r="E22" i="4"/>
  <c r="F22" i="4"/>
  <c r="G22" i="4"/>
  <c r="C22" i="4"/>
  <c r="D21" i="4"/>
  <c r="E21" i="4"/>
  <c r="F21" i="4"/>
  <c r="G21" i="4"/>
  <c r="C21" i="4"/>
  <c r="E32" i="21"/>
  <c r="F32" i="21"/>
  <c r="G32" i="21"/>
  <c r="H32" i="21"/>
  <c r="D32" i="21"/>
  <c r="B35" i="29" l="1"/>
  <c r="B36" i="29" s="1"/>
  <c r="B37" i="29" s="1"/>
  <c r="B38" i="29" s="1"/>
  <c r="D22" i="29" l="1"/>
  <c r="D23" i="29" l="1"/>
  <c r="D15" i="29"/>
  <c r="B28" i="14" l="1"/>
  <c r="B27" i="14"/>
  <c r="H10" i="7" l="1"/>
  <c r="D8" i="6" l="1"/>
  <c r="E8" i="6"/>
  <c r="F8" i="6"/>
  <c r="C8" i="6"/>
  <c r="E53" i="3" l="1"/>
  <c r="F53" i="3"/>
  <c r="G53" i="3"/>
  <c r="H53" i="3"/>
  <c r="I53" i="3" s="1"/>
  <c r="J53" i="3" s="1"/>
  <c r="K53" i="3" s="1"/>
  <c r="L53" i="3" s="1"/>
  <c r="M53" i="3" s="1"/>
  <c r="N53" i="3" s="1"/>
  <c r="O53" i="3" s="1"/>
  <c r="P53" i="3" s="1"/>
  <c r="Q53" i="3" s="1"/>
  <c r="R53" i="3" s="1"/>
  <c r="D53" i="3"/>
  <c r="E27" i="3"/>
  <c r="F27" i="3"/>
  <c r="G27" i="3"/>
  <c r="H27" i="3"/>
  <c r="I27" i="3" s="1"/>
  <c r="J27" i="3" s="1"/>
  <c r="K27" i="3" s="1"/>
  <c r="L27" i="3" s="1"/>
  <c r="M27" i="3" s="1"/>
  <c r="N27" i="3" s="1"/>
  <c r="O27" i="3" s="1"/>
  <c r="P27" i="3" s="1"/>
  <c r="Q27" i="3" s="1"/>
  <c r="R27" i="3" s="1"/>
  <c r="D27" i="3"/>
  <c r="I47" i="3"/>
  <c r="J47" i="3" s="1"/>
  <c r="K47" i="3" s="1"/>
  <c r="L47" i="3" s="1"/>
  <c r="M47" i="3" s="1"/>
  <c r="N47" i="3" s="1"/>
  <c r="O47" i="3" s="1"/>
  <c r="P47" i="3" s="1"/>
  <c r="Q47" i="3" s="1"/>
  <c r="R47" i="3" s="1"/>
  <c r="D47" i="3"/>
  <c r="E47" i="3"/>
  <c r="F47" i="3"/>
  <c r="G47" i="3"/>
  <c r="H47" i="3"/>
  <c r="D48" i="3"/>
  <c r="E48" i="3"/>
  <c r="D22" i="28" s="1"/>
  <c r="F48" i="3"/>
  <c r="G48" i="3"/>
  <c r="F22" i="28" s="1"/>
  <c r="H48" i="3"/>
  <c r="G22" i="28" s="1"/>
  <c r="D49" i="3"/>
  <c r="E49" i="3"/>
  <c r="F49" i="3"/>
  <c r="G49" i="3"/>
  <c r="H49" i="3"/>
  <c r="D50" i="3"/>
  <c r="E50" i="3"/>
  <c r="F50" i="3"/>
  <c r="G50" i="3"/>
  <c r="H50" i="3"/>
  <c r="D51" i="3"/>
  <c r="E51" i="3"/>
  <c r="F51" i="3"/>
  <c r="G51" i="3"/>
  <c r="H51" i="3"/>
  <c r="E46" i="3"/>
  <c r="F46" i="3"/>
  <c r="G46" i="3"/>
  <c r="H46" i="3"/>
  <c r="I46" i="3" s="1"/>
  <c r="J46" i="3" s="1"/>
  <c r="K46" i="3" s="1"/>
  <c r="L46" i="3" s="1"/>
  <c r="M46" i="3" s="1"/>
  <c r="N46" i="3" s="1"/>
  <c r="O46" i="3" s="1"/>
  <c r="P46" i="3" s="1"/>
  <c r="Q46" i="3" s="1"/>
  <c r="R46" i="3" s="1"/>
  <c r="D46" i="3"/>
  <c r="D39" i="3"/>
  <c r="E39" i="3"/>
  <c r="F39" i="3"/>
  <c r="G39" i="3"/>
  <c r="H39" i="3"/>
  <c r="D40" i="3"/>
  <c r="E40" i="3"/>
  <c r="F40" i="3"/>
  <c r="G40" i="3"/>
  <c r="H40" i="3"/>
  <c r="D41" i="3"/>
  <c r="E41" i="3"/>
  <c r="F41" i="3"/>
  <c r="G41" i="3"/>
  <c r="H41" i="3"/>
  <c r="D42" i="3"/>
  <c r="E42" i="3"/>
  <c r="F42" i="3"/>
  <c r="G42" i="3"/>
  <c r="H42" i="3"/>
  <c r="D43" i="3"/>
  <c r="E43" i="3"/>
  <c r="F43" i="3"/>
  <c r="G43" i="3"/>
  <c r="H43" i="3"/>
  <c r="E38" i="3"/>
  <c r="F38" i="3"/>
  <c r="G38" i="3"/>
  <c r="H38" i="3"/>
  <c r="C34" i="6" s="1"/>
  <c r="O27" i="14" s="1"/>
  <c r="P27" i="14" s="1"/>
  <c r="Q27" i="14" s="1"/>
  <c r="D38" i="3"/>
  <c r="I32" i="3"/>
  <c r="J32" i="3" s="1"/>
  <c r="K32" i="3" s="1"/>
  <c r="L32" i="3" s="1"/>
  <c r="M32" i="3" s="1"/>
  <c r="N32" i="3" s="1"/>
  <c r="O32" i="3" s="1"/>
  <c r="P32" i="3" s="1"/>
  <c r="Q32" i="3" s="1"/>
  <c r="R32" i="3" s="1"/>
  <c r="E33" i="3"/>
  <c r="F33" i="3"/>
  <c r="G33" i="3"/>
  <c r="H33" i="3"/>
  <c r="E34" i="3"/>
  <c r="F34" i="3"/>
  <c r="G34" i="3"/>
  <c r="H34" i="3"/>
  <c r="I34" i="3" s="1"/>
  <c r="J34" i="3" s="1"/>
  <c r="K34" i="3" s="1"/>
  <c r="L34" i="3" s="1"/>
  <c r="M34" i="3" s="1"/>
  <c r="N34" i="3" s="1"/>
  <c r="O34" i="3" s="1"/>
  <c r="P34" i="3" s="1"/>
  <c r="Q34" i="3" s="1"/>
  <c r="R34" i="3" s="1"/>
  <c r="D34" i="3"/>
  <c r="D33" i="3"/>
  <c r="E32" i="3"/>
  <c r="F32" i="3"/>
  <c r="G32" i="3"/>
  <c r="H32" i="3"/>
  <c r="D32" i="3"/>
  <c r="I22" i="3"/>
  <c r="J22" i="3" s="1"/>
  <c r="K22" i="3" s="1"/>
  <c r="L22" i="3" s="1"/>
  <c r="M22" i="3" s="1"/>
  <c r="N22" i="3" s="1"/>
  <c r="O22" i="3" s="1"/>
  <c r="P22" i="3" s="1"/>
  <c r="Q22" i="3" s="1"/>
  <c r="R22" i="3" s="1"/>
  <c r="E18" i="3"/>
  <c r="D23" i="28" s="1"/>
  <c r="F18" i="3"/>
  <c r="E23" i="28" s="1"/>
  <c r="G18" i="3"/>
  <c r="H18" i="3"/>
  <c r="G23" i="28" s="1"/>
  <c r="E19" i="3"/>
  <c r="F19" i="3"/>
  <c r="G19" i="3"/>
  <c r="H19" i="3"/>
  <c r="I19" i="3" s="1"/>
  <c r="J19" i="3" s="1"/>
  <c r="K19" i="3" s="1"/>
  <c r="L19" i="3" s="1"/>
  <c r="M19" i="3" s="1"/>
  <c r="N19" i="3" s="1"/>
  <c r="O19" i="3" s="1"/>
  <c r="P19" i="3" s="1"/>
  <c r="Q19" i="3" s="1"/>
  <c r="R19" i="3" s="1"/>
  <c r="E20" i="3"/>
  <c r="D21" i="28" s="1"/>
  <c r="F20" i="3"/>
  <c r="E21" i="28" s="1"/>
  <c r="G20" i="3"/>
  <c r="H20" i="3"/>
  <c r="G21" i="28" s="1"/>
  <c r="E21" i="3"/>
  <c r="F21" i="3"/>
  <c r="G21" i="3"/>
  <c r="H21" i="3"/>
  <c r="E22" i="3"/>
  <c r="F22" i="3"/>
  <c r="G22" i="3"/>
  <c r="H22" i="3"/>
  <c r="E23" i="3"/>
  <c r="F23" i="3"/>
  <c r="G23" i="3"/>
  <c r="H23" i="3"/>
  <c r="I23" i="3" s="1"/>
  <c r="J23" i="3" s="1"/>
  <c r="K23" i="3" s="1"/>
  <c r="L23" i="3" s="1"/>
  <c r="M23" i="3" s="1"/>
  <c r="N23" i="3" s="1"/>
  <c r="O23" i="3" s="1"/>
  <c r="P23" i="3" s="1"/>
  <c r="Q23" i="3" s="1"/>
  <c r="R23" i="3" s="1"/>
  <c r="E24" i="3"/>
  <c r="F24" i="3"/>
  <c r="G24" i="3"/>
  <c r="H24" i="3"/>
  <c r="I24" i="3" s="1"/>
  <c r="J24" i="3" s="1"/>
  <c r="K24" i="3" s="1"/>
  <c r="L24" i="3" s="1"/>
  <c r="M24" i="3" s="1"/>
  <c r="N24" i="3" s="1"/>
  <c r="O24" i="3" s="1"/>
  <c r="P24" i="3" s="1"/>
  <c r="Q24" i="3" s="1"/>
  <c r="R24" i="3" s="1"/>
  <c r="E25" i="3"/>
  <c r="F25" i="3"/>
  <c r="G25" i="3"/>
  <c r="H25" i="3"/>
  <c r="I25" i="3" s="1"/>
  <c r="J25" i="3" s="1"/>
  <c r="K25" i="3" s="1"/>
  <c r="L25" i="3" s="1"/>
  <c r="M25" i="3" s="1"/>
  <c r="N25" i="3" s="1"/>
  <c r="O25" i="3" s="1"/>
  <c r="P25" i="3" s="1"/>
  <c r="Q25" i="3" s="1"/>
  <c r="R25" i="3" s="1"/>
  <c r="D21" i="3"/>
  <c r="D22" i="3"/>
  <c r="D23" i="3"/>
  <c r="D24" i="3"/>
  <c r="D25" i="3"/>
  <c r="D20" i="3"/>
  <c r="D19" i="3"/>
  <c r="D18" i="3"/>
  <c r="I15" i="3"/>
  <c r="J15" i="3" s="1"/>
  <c r="K15" i="3" s="1"/>
  <c r="L15" i="3" s="1"/>
  <c r="M15" i="3" s="1"/>
  <c r="N15" i="3" s="1"/>
  <c r="O15" i="3" s="1"/>
  <c r="P15" i="3" s="1"/>
  <c r="Q15" i="3" s="1"/>
  <c r="R15" i="3" s="1"/>
  <c r="E11" i="3"/>
  <c r="E24" i="28" s="1"/>
  <c r="F11" i="3"/>
  <c r="F24" i="28" s="1"/>
  <c r="G11" i="3"/>
  <c r="H11" i="3"/>
  <c r="E12" i="3"/>
  <c r="F12" i="3"/>
  <c r="G12" i="3"/>
  <c r="H12" i="3"/>
  <c r="I12" i="3" s="1"/>
  <c r="J12" i="3" s="1"/>
  <c r="K12" i="3" s="1"/>
  <c r="L12" i="3" s="1"/>
  <c r="M12" i="3" s="1"/>
  <c r="N12" i="3" s="1"/>
  <c r="O12" i="3" s="1"/>
  <c r="P12" i="3" s="1"/>
  <c r="Q12" i="3" s="1"/>
  <c r="R12" i="3" s="1"/>
  <c r="E13" i="3"/>
  <c r="F13" i="3"/>
  <c r="G13" i="3"/>
  <c r="H13" i="3"/>
  <c r="I13" i="3" s="1"/>
  <c r="J13" i="3" s="1"/>
  <c r="K13" i="3" s="1"/>
  <c r="L13" i="3" s="1"/>
  <c r="M13" i="3" s="1"/>
  <c r="N13" i="3" s="1"/>
  <c r="O13" i="3" s="1"/>
  <c r="P13" i="3" s="1"/>
  <c r="Q13" i="3" s="1"/>
  <c r="R13" i="3" s="1"/>
  <c r="E14" i="3"/>
  <c r="F14" i="3"/>
  <c r="G14" i="3"/>
  <c r="H14" i="3"/>
  <c r="I14" i="3" s="1"/>
  <c r="J14" i="3" s="1"/>
  <c r="K14" i="3" s="1"/>
  <c r="L14" i="3" s="1"/>
  <c r="M14" i="3" s="1"/>
  <c r="N14" i="3" s="1"/>
  <c r="O14" i="3" s="1"/>
  <c r="P14" i="3" s="1"/>
  <c r="Q14" i="3" s="1"/>
  <c r="R14" i="3" s="1"/>
  <c r="E15" i="3"/>
  <c r="F15" i="3"/>
  <c r="G15" i="3"/>
  <c r="H15" i="3"/>
  <c r="D15" i="3"/>
  <c r="D14" i="3"/>
  <c r="D13" i="3"/>
  <c r="D12" i="3"/>
  <c r="D11" i="3"/>
  <c r="D24" i="28" s="1"/>
  <c r="H84" i="21"/>
  <c r="H86" i="21"/>
  <c r="E82" i="21"/>
  <c r="F82" i="21"/>
  <c r="G82" i="21"/>
  <c r="H82" i="21"/>
  <c r="D82" i="21"/>
  <c r="E74" i="21"/>
  <c r="E84" i="21" s="1"/>
  <c r="E86" i="21" s="1"/>
  <c r="F74" i="21"/>
  <c r="F84" i="21" s="1"/>
  <c r="F86" i="21" s="1"/>
  <c r="G74" i="21"/>
  <c r="G84" i="21" s="1"/>
  <c r="G86" i="21" s="1"/>
  <c r="H74" i="21"/>
  <c r="D74" i="21"/>
  <c r="E65" i="21"/>
  <c r="F65" i="21"/>
  <c r="G65" i="21"/>
  <c r="H65" i="21"/>
  <c r="D65" i="21"/>
  <c r="E59" i="21"/>
  <c r="E57" i="21"/>
  <c r="F57" i="21"/>
  <c r="G57" i="21"/>
  <c r="G59" i="21" s="1"/>
  <c r="H57" i="21"/>
  <c r="D57" i="21"/>
  <c r="E47" i="21"/>
  <c r="F47" i="21"/>
  <c r="F59" i="21" s="1"/>
  <c r="G47" i="21"/>
  <c r="H47" i="21"/>
  <c r="H59" i="21" s="1"/>
  <c r="D47" i="21"/>
  <c r="E30" i="21"/>
  <c r="F30" i="21"/>
  <c r="G30" i="21"/>
  <c r="H30" i="21"/>
  <c r="D30" i="21"/>
  <c r="G23" i="21"/>
  <c r="G25" i="21" s="1"/>
  <c r="H23" i="21"/>
  <c r="H25" i="21" s="1"/>
  <c r="E22" i="21"/>
  <c r="F22" i="21"/>
  <c r="G22" i="21"/>
  <c r="H22" i="21"/>
  <c r="D22" i="21"/>
  <c r="E12" i="21"/>
  <c r="E23" i="21" s="1"/>
  <c r="E25" i="21" s="1"/>
  <c r="F12" i="21"/>
  <c r="F23" i="21" s="1"/>
  <c r="F25" i="21" s="1"/>
  <c r="G12" i="21"/>
  <c r="H12" i="21"/>
  <c r="D12" i="21"/>
  <c r="D23" i="21" s="1"/>
  <c r="D25" i="21" s="1"/>
  <c r="E25" i="28" l="1"/>
  <c r="E17" i="28"/>
  <c r="C33" i="6"/>
  <c r="O28" i="14" s="1"/>
  <c r="P28" i="14" s="1"/>
  <c r="Q28" i="14" s="1"/>
  <c r="D17" i="28"/>
  <c r="D25" i="28"/>
  <c r="G24" i="28"/>
  <c r="E22" i="28"/>
  <c r="F25" i="28"/>
  <c r="F17" i="28"/>
  <c r="F21" i="28"/>
  <c r="F23" i="28"/>
  <c r="G25" i="28"/>
  <c r="G17" i="28"/>
  <c r="D59" i="21"/>
  <c r="D84" i="21"/>
  <c r="D86" i="21" s="1"/>
  <c r="G31" i="28"/>
  <c r="F31" i="28"/>
  <c r="E31" i="28"/>
  <c r="D31" i="28"/>
  <c r="C31" i="28"/>
  <c r="G8" i="28" l="1"/>
  <c r="H8" i="28" s="1"/>
  <c r="I8" i="28" s="1"/>
  <c r="J8" i="28" s="1"/>
  <c r="K8" i="28" s="1"/>
  <c r="L8" i="28" s="1"/>
  <c r="M8" i="28" s="1"/>
  <c r="N8" i="28" s="1"/>
  <c r="O8" i="28" s="1"/>
  <c r="P8" i="28" s="1"/>
  <c r="Q8" i="28" s="1"/>
  <c r="M8" i="6" l="1"/>
  <c r="N8" i="6" s="1"/>
  <c r="O8" i="6" s="1"/>
  <c r="P8" i="6" s="1"/>
  <c r="Q8" i="6" s="1"/>
  <c r="M8" i="4"/>
  <c r="N8" i="4" s="1"/>
  <c r="O8" i="4" s="1"/>
  <c r="P8" i="4" s="1"/>
  <c r="Q8" i="4" s="1"/>
  <c r="N44" i="3"/>
  <c r="O44" i="3"/>
  <c r="P44" i="3"/>
  <c r="Q44" i="3"/>
  <c r="R44" i="3"/>
  <c r="N8" i="3"/>
  <c r="O8" i="3" s="1"/>
  <c r="P8" i="3" s="1"/>
  <c r="Q8" i="3" s="1"/>
  <c r="R8" i="3" s="1"/>
  <c r="N34" i="20"/>
  <c r="O34" i="20"/>
  <c r="P34" i="20"/>
  <c r="Q34" i="20"/>
  <c r="R34" i="20"/>
  <c r="R21" i="20"/>
  <c r="Q21" i="20"/>
  <c r="P21" i="20"/>
  <c r="O21" i="20"/>
  <c r="N21" i="20"/>
  <c r="R20" i="20"/>
  <c r="Q20" i="20"/>
  <c r="P20" i="20"/>
  <c r="O20" i="20"/>
  <c r="N20" i="20"/>
  <c r="R18" i="20"/>
  <c r="Q18" i="20"/>
  <c r="P18" i="20"/>
  <c r="O18" i="20"/>
  <c r="N18" i="20"/>
  <c r="O8" i="20"/>
  <c r="P8" i="20"/>
  <c r="Q8" i="20" s="1"/>
  <c r="R8" i="20" s="1"/>
  <c r="N8" i="20"/>
  <c r="M9" i="19"/>
  <c r="N9" i="19" s="1"/>
  <c r="O9" i="19" s="1"/>
  <c r="P9" i="19" s="1"/>
  <c r="Q9" i="19" s="1"/>
  <c r="M8" i="5"/>
  <c r="N8" i="5" s="1"/>
  <c r="O8" i="5" s="1"/>
  <c r="P8" i="5" s="1"/>
  <c r="Q8" i="5" s="1"/>
  <c r="J7" i="17"/>
  <c r="K7" i="17" s="1"/>
  <c r="L7" i="17" s="1"/>
  <c r="M7" i="17" s="1"/>
  <c r="N7" i="17" s="1"/>
  <c r="J13" i="23" l="1"/>
  <c r="J11" i="23"/>
  <c r="K13" i="23"/>
  <c r="K11" i="23"/>
  <c r="I11" i="23"/>
  <c r="E123" i="21" l="1"/>
  <c r="F123" i="21"/>
  <c r="G123" i="21"/>
  <c r="H123" i="21"/>
  <c r="D123" i="21"/>
  <c r="E115" i="21"/>
  <c r="F115" i="21"/>
  <c r="G115" i="21"/>
  <c r="H115" i="21"/>
  <c r="D115" i="21"/>
  <c r="D105" i="21"/>
  <c r="D107" i="21" s="1"/>
  <c r="H97" i="21"/>
  <c r="H105" i="21" s="1"/>
  <c r="H107" i="21" s="1"/>
  <c r="G97" i="21"/>
  <c r="G105" i="21" s="1"/>
  <c r="G107" i="21" s="1"/>
  <c r="F97" i="21"/>
  <c r="F105" i="21" s="1"/>
  <c r="F107" i="21" s="1"/>
  <c r="E97" i="21"/>
  <c r="E105" i="21" s="1"/>
  <c r="E107" i="21" s="1"/>
  <c r="D97" i="21"/>
  <c r="D125" i="21" l="1"/>
  <c r="D128" i="21" s="1"/>
  <c r="E126" i="21" s="1"/>
  <c r="H125" i="21"/>
  <c r="G125" i="21"/>
  <c r="F125" i="21"/>
  <c r="E125" i="21"/>
  <c r="E128" i="21" s="1"/>
  <c r="F126" i="21" s="1"/>
  <c r="C36" i="6"/>
  <c r="Q22" i="14"/>
  <c r="M17" i="14"/>
  <c r="M16" i="14"/>
  <c r="M15" i="14"/>
  <c r="M14" i="14"/>
  <c r="M13" i="14"/>
  <c r="M12" i="14"/>
  <c r="K17" i="14"/>
  <c r="K16" i="14"/>
  <c r="K15" i="14"/>
  <c r="K14" i="14"/>
  <c r="K13" i="14"/>
  <c r="K12" i="14"/>
  <c r="H17" i="14"/>
  <c r="H16" i="14"/>
  <c r="H15" i="14"/>
  <c r="H14" i="14"/>
  <c r="H13" i="14"/>
  <c r="H12" i="14"/>
  <c r="G17" i="14"/>
  <c r="G16" i="14"/>
  <c r="G15" i="14"/>
  <c r="G14" i="14"/>
  <c r="G13" i="14"/>
  <c r="G12" i="14"/>
  <c r="E17" i="14"/>
  <c r="E16" i="14"/>
  <c r="E15" i="14"/>
  <c r="E14" i="14"/>
  <c r="E13" i="14"/>
  <c r="E12" i="14"/>
  <c r="F128" i="21" l="1"/>
  <c r="G126" i="21" s="1"/>
  <c r="G128" i="21" s="1"/>
  <c r="H126" i="21" s="1"/>
  <c r="H128" i="21" s="1"/>
  <c r="P22" i="14"/>
  <c r="O22" i="14"/>
  <c r="B22" i="14"/>
  <c r="O9" i="22"/>
  <c r="L12" i="14" s="1"/>
  <c r="O10" i="22"/>
  <c r="L13" i="14" s="1"/>
  <c r="O11" i="22"/>
  <c r="L14" i="14" s="1"/>
  <c r="O12" i="22"/>
  <c r="L15" i="14" s="1"/>
  <c r="O13" i="22"/>
  <c r="L16" i="14" s="1"/>
  <c r="O14" i="22"/>
  <c r="L17" i="14" s="1"/>
  <c r="O8" i="22"/>
  <c r="D13" i="14"/>
  <c r="D14" i="14"/>
  <c r="D15" i="14"/>
  <c r="D16" i="14"/>
  <c r="D17" i="14"/>
  <c r="D12" i="14"/>
  <c r="B13" i="14"/>
  <c r="B14" i="14"/>
  <c r="B15" i="14"/>
  <c r="B16" i="14"/>
  <c r="B17" i="14"/>
  <c r="B12" i="14"/>
  <c r="F23" i="8"/>
  <c r="E23" i="8"/>
  <c r="F28" i="6"/>
  <c r="H29" i="6"/>
  <c r="F18" i="8"/>
  <c r="F17" i="8"/>
  <c r="F16" i="8"/>
  <c r="F15" i="8"/>
  <c r="F14" i="8"/>
  <c r="F13" i="8"/>
  <c r="E18" i="8"/>
  <c r="E17" i="8"/>
  <c r="E16" i="8"/>
  <c r="E15" i="8"/>
  <c r="E14" i="8"/>
  <c r="E13" i="8"/>
  <c r="J23" i="8"/>
  <c r="K29" i="8" s="1"/>
  <c r="B23" i="8"/>
  <c r="M9" i="22"/>
  <c r="N9" i="22" s="1"/>
  <c r="G14" i="8" s="1"/>
  <c r="M10" i="22"/>
  <c r="N10" i="22" s="1"/>
  <c r="G15" i="8" s="1"/>
  <c r="M11" i="22"/>
  <c r="N11" i="22" s="1"/>
  <c r="G16" i="8" s="1"/>
  <c r="M12" i="22"/>
  <c r="N12" i="22" s="1"/>
  <c r="G17" i="8" s="1"/>
  <c r="M13" i="22"/>
  <c r="N13" i="22" s="1"/>
  <c r="G18" i="8" s="1"/>
  <c r="M14" i="22"/>
  <c r="N14" i="22" s="1"/>
  <c r="M8" i="22"/>
  <c r="N8" i="22" s="1"/>
  <c r="B14" i="8"/>
  <c r="B15" i="8"/>
  <c r="B16" i="8"/>
  <c r="B17" i="8"/>
  <c r="B18" i="8"/>
  <c r="B13" i="8"/>
  <c r="I14" i="8" l="1"/>
  <c r="F16" i="14"/>
  <c r="I16" i="14" s="1"/>
  <c r="G13" i="8"/>
  <c r="G23" i="8"/>
  <c r="E28" i="8" s="1"/>
  <c r="I23" i="8"/>
  <c r="F15" i="14"/>
  <c r="I15" i="14" s="1"/>
  <c r="F17" i="14"/>
  <c r="I17" i="14" s="1"/>
  <c r="F12" i="14"/>
  <c r="F14" i="14"/>
  <c r="I14" i="14" s="1"/>
  <c r="F13" i="14"/>
  <c r="I13" i="14" s="1"/>
  <c r="H18" i="8"/>
  <c r="H23" i="8"/>
  <c r="K23" i="8" s="1"/>
  <c r="H17" i="8"/>
  <c r="K17" i="8" s="1"/>
  <c r="I13" i="8"/>
  <c r="I16" i="8"/>
  <c r="I15" i="8"/>
  <c r="G21" i="8"/>
  <c r="H14" i="8"/>
  <c r="K14" i="8" s="1"/>
  <c r="H13" i="8"/>
  <c r="I17" i="8"/>
  <c r="K18" i="8"/>
  <c r="H15" i="8"/>
  <c r="K15" i="8" s="1"/>
  <c r="G20" i="8"/>
  <c r="I18" i="8"/>
  <c r="H16" i="8"/>
  <c r="K16" i="8" s="1"/>
  <c r="J20" i="8"/>
  <c r="J21" i="8"/>
  <c r="K13" i="8" l="1"/>
  <c r="I20" i="8"/>
  <c r="H21" i="8"/>
  <c r="H20" i="8"/>
  <c r="I21" i="8"/>
  <c r="E36" i="8" s="1"/>
  <c r="E37" i="8" s="1"/>
  <c r="K20" i="8"/>
  <c r="K21" i="8"/>
  <c r="K36" i="8" l="1"/>
  <c r="K37" i="8"/>
  <c r="K28" i="8" l="1"/>
  <c r="K30" i="8" s="1"/>
  <c r="J37" i="8" s="1"/>
  <c r="J34" i="20" l="1"/>
  <c r="K34" i="20"/>
  <c r="L34" i="20"/>
  <c r="M34" i="20"/>
  <c r="I34" i="20"/>
  <c r="J21" i="20"/>
  <c r="K21" i="20"/>
  <c r="L21" i="20"/>
  <c r="M21" i="20"/>
  <c r="I21" i="20"/>
  <c r="J20" i="20"/>
  <c r="K20" i="20"/>
  <c r="L20" i="20"/>
  <c r="M20" i="20"/>
  <c r="I20" i="20"/>
  <c r="J18" i="20"/>
  <c r="K18" i="20"/>
  <c r="L18" i="20"/>
  <c r="M18" i="20"/>
  <c r="I18" i="20"/>
  <c r="E13" i="20"/>
  <c r="F13" i="20"/>
  <c r="G13" i="20"/>
  <c r="H13" i="20"/>
  <c r="D13" i="20"/>
  <c r="E35" i="3"/>
  <c r="F35" i="3"/>
  <c r="G35" i="3"/>
  <c r="H35" i="3"/>
  <c r="D35" i="3"/>
  <c r="E52" i="3"/>
  <c r="D30" i="28" s="1"/>
  <c r="F52" i="3"/>
  <c r="E30" i="28" s="1"/>
  <c r="G52" i="3"/>
  <c r="F30" i="28" s="1"/>
  <c r="H52" i="3"/>
  <c r="G30" i="28" s="1"/>
  <c r="D52" i="3"/>
  <c r="C30" i="28" s="1"/>
  <c r="E44" i="3"/>
  <c r="F44" i="3"/>
  <c r="G44" i="3"/>
  <c r="H44" i="3"/>
  <c r="I44" i="3"/>
  <c r="J44" i="3"/>
  <c r="K44" i="3"/>
  <c r="L44" i="3"/>
  <c r="M44" i="3"/>
  <c r="D44" i="3"/>
  <c r="D26" i="19"/>
  <c r="E26" i="19"/>
  <c r="F26" i="19"/>
  <c r="G26" i="19"/>
  <c r="E26" i="3"/>
  <c r="F26" i="3"/>
  <c r="G26" i="3"/>
  <c r="H26" i="3"/>
  <c r="D26" i="3"/>
  <c r="E16" i="3"/>
  <c r="F16" i="3"/>
  <c r="G16" i="3"/>
  <c r="H16" i="3"/>
  <c r="D16" i="3"/>
  <c r="B10" i="20"/>
  <c r="D10" i="20"/>
  <c r="D14" i="20" s="1"/>
  <c r="E10" i="20"/>
  <c r="E14" i="20" s="1"/>
  <c r="F10" i="20"/>
  <c r="F14" i="20" s="1"/>
  <c r="F22" i="20" s="1"/>
  <c r="F24" i="20" s="1"/>
  <c r="G10" i="20"/>
  <c r="H10" i="20"/>
  <c r="B11" i="20"/>
  <c r="D11" i="20"/>
  <c r="E11" i="20"/>
  <c r="F11" i="20"/>
  <c r="G11" i="20"/>
  <c r="H11" i="20"/>
  <c r="B12" i="20"/>
  <c r="E12" i="20"/>
  <c r="F12" i="20"/>
  <c r="G12" i="20"/>
  <c r="H12" i="20"/>
  <c r="B13" i="20"/>
  <c r="B14" i="20"/>
  <c r="B15" i="20"/>
  <c r="B16" i="20"/>
  <c r="D16" i="20"/>
  <c r="C12" i="19" s="1"/>
  <c r="E16" i="20"/>
  <c r="D12" i="19" s="1"/>
  <c r="F16" i="20"/>
  <c r="E12" i="19" s="1"/>
  <c r="G16" i="20"/>
  <c r="F12" i="19" s="1"/>
  <c r="H16" i="20"/>
  <c r="G12" i="19" s="1"/>
  <c r="B17" i="20"/>
  <c r="D17" i="20"/>
  <c r="C11" i="19" s="1"/>
  <c r="E17" i="20"/>
  <c r="D11" i="19" s="1"/>
  <c r="F17" i="20"/>
  <c r="E11" i="19" s="1"/>
  <c r="G17" i="20"/>
  <c r="F11" i="19" s="1"/>
  <c r="H17" i="20"/>
  <c r="G11" i="19" s="1"/>
  <c r="B18" i="20"/>
  <c r="D18" i="20"/>
  <c r="E18" i="20"/>
  <c r="F18" i="20"/>
  <c r="G18" i="20"/>
  <c r="H18" i="20"/>
  <c r="B19" i="20"/>
  <c r="D19" i="20"/>
  <c r="C13" i="19" s="1"/>
  <c r="E19" i="20"/>
  <c r="D13" i="19" s="1"/>
  <c r="F19" i="20"/>
  <c r="E13" i="19" s="1"/>
  <c r="G19" i="20"/>
  <c r="F13" i="19" s="1"/>
  <c r="H19" i="20"/>
  <c r="G13" i="19" s="1"/>
  <c r="B20" i="20"/>
  <c r="D20" i="20"/>
  <c r="E20" i="20"/>
  <c r="F20" i="20"/>
  <c r="G20" i="20"/>
  <c r="H20" i="20"/>
  <c r="B21" i="20"/>
  <c r="D21" i="20"/>
  <c r="E21" i="20"/>
  <c r="F21" i="20"/>
  <c r="G21" i="20"/>
  <c r="H21" i="20"/>
  <c r="B22" i="20"/>
  <c r="B23" i="20"/>
  <c r="D23" i="20"/>
  <c r="E23" i="20"/>
  <c r="F23" i="20"/>
  <c r="G23" i="20"/>
  <c r="H23" i="20"/>
  <c r="B24" i="20"/>
  <c r="B25" i="20"/>
  <c r="B26" i="20"/>
  <c r="D26" i="20"/>
  <c r="E26" i="20"/>
  <c r="F26" i="20"/>
  <c r="G26" i="20"/>
  <c r="H26" i="20"/>
  <c r="B27" i="20"/>
  <c r="D27" i="20"/>
  <c r="E27" i="20"/>
  <c r="F27" i="20"/>
  <c r="G27" i="20"/>
  <c r="H27" i="20"/>
  <c r="B28" i="20"/>
  <c r="D28" i="20"/>
  <c r="E28" i="20"/>
  <c r="F28" i="20"/>
  <c r="G28" i="20"/>
  <c r="H28" i="20"/>
  <c r="B29" i="20"/>
  <c r="D29" i="20"/>
  <c r="E29" i="20"/>
  <c r="F29" i="20"/>
  <c r="G29" i="20"/>
  <c r="H29" i="20"/>
  <c r="B30" i="20"/>
  <c r="D30" i="20"/>
  <c r="E30" i="20"/>
  <c r="F30" i="20"/>
  <c r="G30" i="20"/>
  <c r="H30" i="20"/>
  <c r="B31" i="20"/>
  <c r="D31" i="20"/>
  <c r="E31" i="20"/>
  <c r="F31" i="20"/>
  <c r="G31" i="20"/>
  <c r="H31" i="20"/>
  <c r="B32" i="20"/>
  <c r="B33" i="20"/>
  <c r="B34" i="20"/>
  <c r="D34" i="20"/>
  <c r="E34" i="20"/>
  <c r="F34" i="20"/>
  <c r="G34" i="20"/>
  <c r="H34" i="20"/>
  <c r="B35" i="20"/>
  <c r="D35" i="20"/>
  <c r="E35" i="20"/>
  <c r="F35" i="20"/>
  <c r="G35" i="20"/>
  <c r="H35" i="20"/>
  <c r="B36" i="20"/>
  <c r="D36" i="20"/>
  <c r="E36" i="20"/>
  <c r="F36" i="20"/>
  <c r="G36" i="20"/>
  <c r="H36" i="20"/>
  <c r="B37" i="20"/>
  <c r="D37" i="20"/>
  <c r="E37" i="20"/>
  <c r="F37" i="20"/>
  <c r="G37" i="20"/>
  <c r="H37" i="20"/>
  <c r="B38" i="20"/>
  <c r="D38" i="20"/>
  <c r="E38" i="20"/>
  <c r="F38" i="20"/>
  <c r="G38" i="20"/>
  <c r="H38" i="20"/>
  <c r="B39" i="20"/>
  <c r="D39" i="20"/>
  <c r="E39" i="20"/>
  <c r="F39" i="20"/>
  <c r="G39" i="20"/>
  <c r="H39" i="20"/>
  <c r="B40" i="20"/>
  <c r="B41" i="20"/>
  <c r="B42" i="20"/>
  <c r="B43" i="20"/>
  <c r="D43" i="20"/>
  <c r="B44" i="20"/>
  <c r="D44" i="20"/>
  <c r="E44" i="20"/>
  <c r="F44" i="20"/>
  <c r="G44" i="20"/>
  <c r="H44" i="20"/>
  <c r="B45" i="20"/>
  <c r="B9" i="20"/>
  <c r="D21" i="19"/>
  <c r="E21" i="19"/>
  <c r="F21" i="19"/>
  <c r="G21" i="19"/>
  <c r="C21" i="19"/>
  <c r="C18" i="19" s="1"/>
  <c r="D9" i="4"/>
  <c r="E9" i="4"/>
  <c r="F9" i="4"/>
  <c r="G9" i="4"/>
  <c r="D10" i="4"/>
  <c r="E10" i="4"/>
  <c r="F10" i="4"/>
  <c r="G10" i="4"/>
  <c r="D12" i="4"/>
  <c r="D12" i="6" s="1"/>
  <c r="E12" i="4"/>
  <c r="E12" i="6" s="1"/>
  <c r="F12" i="4"/>
  <c r="F12" i="6" s="1"/>
  <c r="G12" i="4"/>
  <c r="G12" i="6" s="1"/>
  <c r="D13" i="4"/>
  <c r="D13" i="6" s="1"/>
  <c r="E13" i="4"/>
  <c r="E13" i="6" s="1"/>
  <c r="F13" i="4"/>
  <c r="F13" i="6" s="1"/>
  <c r="G13" i="4"/>
  <c r="G13" i="6" s="1"/>
  <c r="D15" i="4"/>
  <c r="E15" i="4"/>
  <c r="F15" i="4"/>
  <c r="G15" i="4"/>
  <c r="G14" i="5" s="1"/>
  <c r="D17" i="4"/>
  <c r="E17" i="4"/>
  <c r="F17" i="4"/>
  <c r="G17" i="4"/>
  <c r="D18" i="4"/>
  <c r="E18" i="4"/>
  <c r="F18" i="4"/>
  <c r="G18" i="4"/>
  <c r="D20" i="4"/>
  <c r="E20" i="4"/>
  <c r="F20" i="4"/>
  <c r="G20" i="4"/>
  <c r="C20" i="4"/>
  <c r="C18" i="4"/>
  <c r="C17" i="4"/>
  <c r="C15" i="4"/>
  <c r="C13" i="4"/>
  <c r="C13" i="6" s="1"/>
  <c r="C12" i="4"/>
  <c r="C12" i="6" s="1"/>
  <c r="C10" i="4"/>
  <c r="C9" i="4"/>
  <c r="I14" i="5" l="1"/>
  <c r="D32" i="20"/>
  <c r="E22" i="20"/>
  <c r="E24" i="20" s="1"/>
  <c r="H32" i="20"/>
  <c r="F40" i="20"/>
  <c r="F42" i="20" s="1"/>
  <c r="E40" i="20"/>
  <c r="D22" i="20"/>
  <c r="D24" i="20" s="1"/>
  <c r="G32" i="20"/>
  <c r="G40" i="20"/>
  <c r="G42" i="20" s="1"/>
  <c r="D40" i="20"/>
  <c r="H40" i="20"/>
  <c r="H42" i="20" s="1"/>
  <c r="F32" i="20"/>
  <c r="H14" i="20"/>
  <c r="H22" i="20" s="1"/>
  <c r="H24" i="20" s="1"/>
  <c r="E32" i="20"/>
  <c r="G14" i="20"/>
  <c r="G22" i="20" s="1"/>
  <c r="G24" i="20" s="1"/>
  <c r="E10" i="6"/>
  <c r="D10" i="6"/>
  <c r="E14" i="5"/>
  <c r="E14" i="6"/>
  <c r="E18" i="6" s="1"/>
  <c r="E9" i="6"/>
  <c r="E11" i="6" s="1"/>
  <c r="E15" i="6" s="1"/>
  <c r="F14" i="5"/>
  <c r="F14" i="6"/>
  <c r="F18" i="6" s="1"/>
  <c r="D14" i="5"/>
  <c r="D14" i="6"/>
  <c r="D18" i="6" s="1"/>
  <c r="D9" i="6"/>
  <c r="D11" i="6" s="1"/>
  <c r="D15" i="6" s="1"/>
  <c r="C9" i="6"/>
  <c r="G10" i="6"/>
  <c r="C14" i="5"/>
  <c r="C14" i="6"/>
  <c r="C18" i="6" s="1"/>
  <c r="F9" i="6"/>
  <c r="C10" i="6"/>
  <c r="F10" i="6"/>
  <c r="F29" i="28"/>
  <c r="F28" i="28"/>
  <c r="G28" i="28"/>
  <c r="G29" i="28"/>
  <c r="E29" i="28"/>
  <c r="E28" i="28"/>
  <c r="D29" i="28"/>
  <c r="D28" i="28"/>
  <c r="D28" i="3"/>
  <c r="C29" i="28"/>
  <c r="C28" i="28"/>
  <c r="E28" i="3"/>
  <c r="D18" i="28" s="1"/>
  <c r="G54" i="3"/>
  <c r="G56" i="3" s="1"/>
  <c r="D54" i="3"/>
  <c r="D56" i="3" s="1"/>
  <c r="F54" i="3"/>
  <c r="H54" i="3"/>
  <c r="E54" i="3"/>
  <c r="E56" i="3" s="1"/>
  <c r="H56" i="3"/>
  <c r="F56" i="3"/>
  <c r="F28" i="3"/>
  <c r="G28" i="3"/>
  <c r="D14" i="19"/>
  <c r="C14" i="19"/>
  <c r="E14" i="19"/>
  <c r="G14" i="19"/>
  <c r="F14" i="19"/>
  <c r="G14" i="6"/>
  <c r="G18" i="6" s="1"/>
  <c r="H28" i="3"/>
  <c r="F11" i="4"/>
  <c r="E11" i="4"/>
  <c r="D11" i="4"/>
  <c r="G11" i="4"/>
  <c r="K14" i="5" l="1"/>
  <c r="F57" i="3"/>
  <c r="E18" i="28"/>
  <c r="G18" i="28"/>
  <c r="G57" i="3"/>
  <c r="F18" i="28"/>
  <c r="E42" i="20"/>
  <c r="C11" i="6"/>
  <c r="C15" i="6" s="1"/>
  <c r="H21" i="5"/>
  <c r="I21" i="5" s="1"/>
  <c r="J21" i="5" s="1"/>
  <c r="K21" i="5" s="1"/>
  <c r="L21" i="5" s="1"/>
  <c r="M21" i="5" s="1"/>
  <c r="N21" i="5" s="1"/>
  <c r="O21" i="5" s="1"/>
  <c r="P21" i="5" s="1"/>
  <c r="Q21" i="5" s="1"/>
  <c r="D42" i="20"/>
  <c r="D45" i="20" s="1"/>
  <c r="E43" i="20" s="1"/>
  <c r="E45" i="20" s="1"/>
  <c r="F43" i="20" s="1"/>
  <c r="F45" i="20" s="1"/>
  <c r="G43" i="20" s="1"/>
  <c r="G45" i="20" s="1"/>
  <c r="H43" i="20" s="1"/>
  <c r="H45" i="20" s="1"/>
  <c r="I43" i="20" s="1"/>
  <c r="H20" i="5"/>
  <c r="I20" i="5" s="1"/>
  <c r="J20" i="5" s="1"/>
  <c r="K20" i="5" s="1"/>
  <c r="L20" i="5" s="1"/>
  <c r="M20" i="5" s="1"/>
  <c r="N20" i="5" s="1"/>
  <c r="O20" i="5" s="1"/>
  <c r="P20" i="5" s="1"/>
  <c r="Q20" i="5" s="1"/>
  <c r="G14" i="4"/>
  <c r="G11" i="28"/>
  <c r="E14" i="4"/>
  <c r="E11" i="28"/>
  <c r="F11" i="6"/>
  <c r="F15" i="6" s="1"/>
  <c r="H22" i="5"/>
  <c r="I22" i="5" s="1"/>
  <c r="J22" i="5" s="1"/>
  <c r="K22" i="5" s="1"/>
  <c r="L22" i="5" s="1"/>
  <c r="M22" i="5" s="1"/>
  <c r="N22" i="5" s="1"/>
  <c r="O22" i="5" s="1"/>
  <c r="P22" i="5" s="1"/>
  <c r="Q22" i="5" s="1"/>
  <c r="D14" i="4"/>
  <c r="D11" i="28"/>
  <c r="F14" i="4"/>
  <c r="F11" i="28"/>
  <c r="E57" i="3"/>
  <c r="H57" i="3"/>
  <c r="D57" i="3"/>
  <c r="E87" i="21"/>
  <c r="F87" i="21"/>
  <c r="G87" i="21"/>
  <c r="H87" i="21"/>
  <c r="D87" i="21"/>
  <c r="E16" i="4" l="1"/>
  <c r="E12" i="28"/>
  <c r="D16" i="4"/>
  <c r="D12" i="28"/>
  <c r="G16" i="4"/>
  <c r="G12" i="28"/>
  <c r="F16" i="4"/>
  <c r="F12" i="28"/>
  <c r="F17" i="5"/>
  <c r="G17" i="5"/>
  <c r="E17" i="5"/>
  <c r="G19" i="4" l="1"/>
  <c r="G32" i="28"/>
  <c r="G13" i="28"/>
  <c r="F19" i="4"/>
  <c r="F32" i="28"/>
  <c r="F13" i="28"/>
  <c r="D19" i="4"/>
  <c r="D32" i="28"/>
  <c r="D13" i="28"/>
  <c r="E19" i="4"/>
  <c r="E32" i="28"/>
  <c r="E13" i="28"/>
  <c r="H17" i="5"/>
  <c r="I17" i="5" s="1"/>
  <c r="J17" i="5" s="1"/>
  <c r="K17" i="5" s="1"/>
  <c r="L17" i="5" s="1"/>
  <c r="M17" i="5" s="1"/>
  <c r="N17" i="5" s="1"/>
  <c r="O17" i="5" s="1"/>
  <c r="P17" i="5" s="1"/>
  <c r="Q17" i="5" s="1"/>
  <c r="E14" i="28" l="1"/>
  <c r="D14" i="28"/>
  <c r="F14" i="28"/>
  <c r="G14" i="28"/>
  <c r="D13" i="5"/>
  <c r="E13" i="5"/>
  <c r="F13" i="5"/>
  <c r="G13" i="5"/>
  <c r="C13" i="5"/>
  <c r="C11" i="4"/>
  <c r="G9" i="6"/>
  <c r="G11" i="6" s="1"/>
  <c r="G15" i="6" s="1"/>
  <c r="G10" i="5"/>
  <c r="D26" i="29" s="1"/>
  <c r="C25" i="19"/>
  <c r="F15" i="28" l="1"/>
  <c r="F16" i="5"/>
  <c r="C14" i="4"/>
  <c r="C11" i="28"/>
  <c r="G15" i="28"/>
  <c r="G16" i="5"/>
  <c r="D15" i="28"/>
  <c r="D16" i="5"/>
  <c r="E15" i="28"/>
  <c r="E16" i="5"/>
  <c r="H16" i="5" s="1"/>
  <c r="D24" i="19"/>
  <c r="G27" i="19"/>
  <c r="F27" i="19"/>
  <c r="E27" i="19"/>
  <c r="D27" i="19"/>
  <c r="C27" i="19"/>
  <c r="C15" i="5" s="1"/>
  <c r="H24" i="19"/>
  <c r="H26" i="19" s="1"/>
  <c r="G24" i="19"/>
  <c r="G20" i="19"/>
  <c r="F20" i="19"/>
  <c r="E20" i="19"/>
  <c r="D20" i="19"/>
  <c r="C20" i="19"/>
  <c r="G12" i="5"/>
  <c r="F12" i="5"/>
  <c r="E12" i="5"/>
  <c r="D12" i="5"/>
  <c r="C12" i="5"/>
  <c r="H18" i="19"/>
  <c r="C12" i="28" l="1"/>
  <c r="D15" i="5"/>
  <c r="G15" i="5"/>
  <c r="D29" i="29" s="1"/>
  <c r="I24" i="19"/>
  <c r="D25" i="19"/>
  <c r="D15" i="19"/>
  <c r="D20" i="6" s="1"/>
  <c r="D18" i="19"/>
  <c r="C15" i="19"/>
  <c r="C20" i="6" s="1"/>
  <c r="F15" i="19"/>
  <c r="F20" i="6" s="1"/>
  <c r="E15" i="19"/>
  <c r="E20" i="6" s="1"/>
  <c r="G15" i="19"/>
  <c r="G20" i="6" s="1"/>
  <c r="E24" i="19"/>
  <c r="E25" i="19" s="1"/>
  <c r="G25" i="19"/>
  <c r="F24" i="19"/>
  <c r="F25" i="19" s="1"/>
  <c r="H12" i="5"/>
  <c r="I12" i="5" s="1"/>
  <c r="J12" i="5" s="1"/>
  <c r="K12" i="5" s="1"/>
  <c r="L12" i="5" s="1"/>
  <c r="M12" i="5" s="1"/>
  <c r="N12" i="5" s="1"/>
  <c r="O12" i="5" s="1"/>
  <c r="P12" i="5" s="1"/>
  <c r="Q12" i="5" s="1"/>
  <c r="E27" i="8" l="1"/>
  <c r="E29" i="8" s="1"/>
  <c r="J36" i="8" s="1"/>
  <c r="K38" i="8" s="1"/>
  <c r="H15" i="5"/>
  <c r="F15" i="5"/>
  <c r="E15" i="5"/>
  <c r="I26" i="19"/>
  <c r="J24" i="19" s="1"/>
  <c r="D19" i="19"/>
  <c r="C19" i="6"/>
  <c r="E18" i="19"/>
  <c r="F18" i="19" s="1"/>
  <c r="G18" i="19" s="1"/>
  <c r="G19" i="19" s="1"/>
  <c r="G19" i="6" s="1"/>
  <c r="H13" i="5"/>
  <c r="I13" i="5" s="1"/>
  <c r="J13" i="5" s="1"/>
  <c r="K13" i="5" s="1"/>
  <c r="L13" i="5" s="1"/>
  <c r="M13" i="5" s="1"/>
  <c r="N13" i="5" s="1"/>
  <c r="O13" i="5" s="1"/>
  <c r="P13" i="5" s="1"/>
  <c r="Q13" i="5" s="1"/>
  <c r="D19" i="6" l="1"/>
  <c r="H20" i="19"/>
  <c r="H15" i="4" s="1"/>
  <c r="H14" i="6" s="1"/>
  <c r="H28" i="6"/>
  <c r="J26" i="19"/>
  <c r="K24" i="19" s="1"/>
  <c r="K26" i="19" s="1"/>
  <c r="F19" i="19"/>
  <c r="F19" i="6" s="1"/>
  <c r="E19" i="19"/>
  <c r="E19" i="6" s="1"/>
  <c r="H19" i="19" l="1"/>
  <c r="I19" i="19" s="1"/>
  <c r="J19" i="19" s="1"/>
  <c r="K19" i="19" s="1"/>
  <c r="L19" i="19" s="1"/>
  <c r="M19" i="19" s="1"/>
  <c r="N19" i="19" s="1"/>
  <c r="O19" i="19" s="1"/>
  <c r="P19" i="19" s="1"/>
  <c r="Q19" i="19" s="1"/>
  <c r="H27" i="19"/>
  <c r="H17" i="4" s="1"/>
  <c r="I12" i="20" s="1"/>
  <c r="I15" i="5"/>
  <c r="I11" i="20"/>
  <c r="L24" i="19"/>
  <c r="L26" i="19" s="1"/>
  <c r="M24" i="19" s="1"/>
  <c r="O14" i="5" l="1"/>
  <c r="I37" i="20"/>
  <c r="J15" i="5"/>
  <c r="I27" i="19"/>
  <c r="M26" i="19"/>
  <c r="N24" i="19" s="1"/>
  <c r="P14" i="5" l="1"/>
  <c r="Q14" i="5" s="1"/>
  <c r="I17" i="4"/>
  <c r="J12" i="20" s="1"/>
  <c r="J37" i="20"/>
  <c r="K15" i="5"/>
  <c r="J27" i="19"/>
  <c r="N26" i="19"/>
  <c r="O24" i="19" s="1"/>
  <c r="Q17" i="14"/>
  <c r="Q16" i="14"/>
  <c r="Q15" i="14"/>
  <c r="I12" i="14"/>
  <c r="J17" i="4" l="1"/>
  <c r="K12" i="20" s="1"/>
  <c r="K37" i="20"/>
  <c r="L15" i="5"/>
  <c r="K27" i="19"/>
  <c r="O26" i="19"/>
  <c r="P24" i="19" s="1"/>
  <c r="Q13" i="14"/>
  <c r="Q12" i="14"/>
  <c r="Q14" i="14"/>
  <c r="P12" i="14"/>
  <c r="P13" i="14"/>
  <c r="O13" i="14"/>
  <c r="K17" i="4" l="1"/>
  <c r="L12" i="20" s="1"/>
  <c r="L37" i="20"/>
  <c r="M15" i="5"/>
  <c r="L27" i="19"/>
  <c r="P26" i="19"/>
  <c r="Q24" i="19" s="1"/>
  <c r="O16" i="14"/>
  <c r="P16" i="14"/>
  <c r="O15" i="14"/>
  <c r="P15" i="14"/>
  <c r="Q19" i="14"/>
  <c r="Q20" i="14"/>
  <c r="O17" i="14"/>
  <c r="P17" i="14"/>
  <c r="O12" i="14"/>
  <c r="P14" i="14"/>
  <c r="O14" i="14"/>
  <c r="Q29" i="14" l="1"/>
  <c r="Q32" i="14" s="1"/>
  <c r="L17" i="4"/>
  <c r="M12" i="20" s="1"/>
  <c r="M37" i="20"/>
  <c r="N15" i="5"/>
  <c r="M27" i="19"/>
  <c r="Q26" i="19"/>
  <c r="O20" i="14"/>
  <c r="O26" i="14" s="1"/>
  <c r="O19" i="14"/>
  <c r="P20" i="14"/>
  <c r="P26" i="14" s="1"/>
  <c r="P19" i="14"/>
  <c r="H10" i="23" l="1"/>
  <c r="H11" i="23"/>
  <c r="M17" i="4"/>
  <c r="N12" i="20" s="1"/>
  <c r="N37" i="20"/>
  <c r="O15" i="5"/>
  <c r="N27" i="19"/>
  <c r="P29" i="14"/>
  <c r="P32" i="14" s="1"/>
  <c r="O29" i="14"/>
  <c r="O32" i="14" s="1"/>
  <c r="O37" i="20" l="1"/>
  <c r="N17" i="4"/>
  <c r="O12" i="20" s="1"/>
  <c r="P15" i="5"/>
  <c r="O27" i="19"/>
  <c r="H12" i="23"/>
  <c r="H13" i="23"/>
  <c r="O17" i="4" l="1"/>
  <c r="P12" i="20" s="1"/>
  <c r="P37" i="20"/>
  <c r="Q15" i="5"/>
  <c r="Q27" i="19" s="1"/>
  <c r="P27" i="19"/>
  <c r="J22" i="6"/>
  <c r="Q37" i="20" l="1"/>
  <c r="P17" i="4"/>
  <c r="Q12" i="20" s="1"/>
  <c r="Q17" i="4"/>
  <c r="R12" i="20" s="1"/>
  <c r="R37" i="20"/>
  <c r="K22" i="6"/>
  <c r="L22" i="6" l="1"/>
  <c r="M22" i="6" s="1"/>
  <c r="N22" i="6" l="1"/>
  <c r="M23" i="6"/>
  <c r="G11" i="5"/>
  <c r="F11" i="5"/>
  <c r="E11" i="5"/>
  <c r="D11" i="5"/>
  <c r="O22" i="6" l="1"/>
  <c r="N23" i="6"/>
  <c r="E18" i="5"/>
  <c r="E16" i="6" s="1"/>
  <c r="E17" i="6" s="1"/>
  <c r="E21" i="6" s="1"/>
  <c r="D18" i="5"/>
  <c r="D16" i="6" s="1"/>
  <c r="D17" i="6" s="1"/>
  <c r="D21" i="6" s="1"/>
  <c r="F18" i="5"/>
  <c r="F16" i="6" s="1"/>
  <c r="F17" i="6" s="1"/>
  <c r="F21" i="6" s="1"/>
  <c r="G18" i="5"/>
  <c r="G16" i="6" l="1"/>
  <c r="I18" i="5"/>
  <c r="P22" i="6"/>
  <c r="O23" i="6"/>
  <c r="E10" i="5"/>
  <c r="F10" i="5"/>
  <c r="D10" i="5"/>
  <c r="K18" i="5" l="1"/>
  <c r="Q22" i="6"/>
  <c r="Q23" i="6" s="1"/>
  <c r="P23" i="6"/>
  <c r="G17" i="6"/>
  <c r="G21" i="6" s="1"/>
  <c r="L23" i="6" l="1"/>
  <c r="K23" i="6"/>
  <c r="J23" i="6"/>
  <c r="H23" i="6"/>
  <c r="I23" i="6"/>
  <c r="C11" i="5" l="1"/>
  <c r="H11" i="5" s="1"/>
  <c r="I11" i="5" s="1"/>
  <c r="J11" i="5" s="1"/>
  <c r="K11" i="5" s="1"/>
  <c r="L11" i="5" s="1"/>
  <c r="M11" i="5" s="1"/>
  <c r="N11" i="5" s="1"/>
  <c r="O11" i="5" s="1"/>
  <c r="P11" i="5" s="1"/>
  <c r="Q11" i="5" s="1"/>
  <c r="C16" i="4" l="1"/>
  <c r="C19" i="4" l="1"/>
  <c r="C32" i="28"/>
  <c r="C13" i="28"/>
  <c r="C18" i="5"/>
  <c r="M18" i="5" l="1"/>
  <c r="C16" i="6"/>
  <c r="C17" i="6" s="1"/>
  <c r="C21" i="6" s="1"/>
  <c r="C14" i="28"/>
  <c r="C16" i="5"/>
  <c r="I16" i="5" s="1"/>
  <c r="J16" i="5" s="1"/>
  <c r="K16" i="5" s="1"/>
  <c r="L16" i="5" s="1"/>
  <c r="M16" i="5" s="1"/>
  <c r="N16" i="5" s="1"/>
  <c r="O16" i="5" s="1"/>
  <c r="P16" i="5" s="1"/>
  <c r="Q16" i="5" s="1"/>
  <c r="C15" i="28"/>
  <c r="O18" i="5" l="1"/>
  <c r="Q18" i="5" s="1"/>
  <c r="E10" i="17"/>
  <c r="J10" i="17" s="1"/>
  <c r="K10" i="17" s="1"/>
  <c r="L10" i="17" s="1"/>
  <c r="M10" i="17" s="1"/>
  <c r="N10" i="17" s="1"/>
  <c r="E9" i="17"/>
  <c r="J9" i="17" s="1"/>
  <c r="K9" i="17" s="1"/>
  <c r="L9" i="17" s="1"/>
  <c r="M9" i="17" s="1"/>
  <c r="N9" i="17" s="1"/>
  <c r="E8" i="17"/>
  <c r="F8" i="17" s="1"/>
  <c r="G8" i="17" s="1"/>
  <c r="H10" i="5" l="1"/>
  <c r="H9" i="4" s="1"/>
  <c r="I20" i="3" s="1"/>
  <c r="J8" i="17"/>
  <c r="H21" i="4" l="1"/>
  <c r="K8" i="17"/>
  <c r="M10" i="5"/>
  <c r="H21" i="28"/>
  <c r="H9" i="6"/>
  <c r="H18" i="4"/>
  <c r="H13" i="4"/>
  <c r="H13" i="6" s="1"/>
  <c r="H19" i="6"/>
  <c r="H10" i="4"/>
  <c r="H12" i="4"/>
  <c r="H12" i="6" s="1"/>
  <c r="H18" i="6"/>
  <c r="I10" i="5"/>
  <c r="I48" i="3" l="1"/>
  <c r="H22" i="28" s="1"/>
  <c r="I18" i="3"/>
  <c r="H23" i="28" s="1"/>
  <c r="I13" i="20"/>
  <c r="L8" i="17"/>
  <c r="N10" i="5"/>
  <c r="H10" i="6"/>
  <c r="H11" i="6" s="1"/>
  <c r="H15" i="6" s="1"/>
  <c r="H16" i="6" s="1"/>
  <c r="I30" i="20"/>
  <c r="H11" i="19"/>
  <c r="I17" i="20"/>
  <c r="H21" i="19"/>
  <c r="I11" i="3" s="1"/>
  <c r="I26" i="20"/>
  <c r="H11" i="4"/>
  <c r="I9" i="4"/>
  <c r="J20" i="3" s="1"/>
  <c r="J10" i="5"/>
  <c r="I21" i="4" l="1"/>
  <c r="I16" i="3"/>
  <c r="H24" i="28"/>
  <c r="I52" i="3"/>
  <c r="I54" i="3" s="1"/>
  <c r="I32" i="20"/>
  <c r="H14" i="4"/>
  <c r="H11" i="28"/>
  <c r="M8" i="17"/>
  <c r="O10" i="5"/>
  <c r="I18" i="19"/>
  <c r="I20" i="19" s="1"/>
  <c r="I15" i="4" s="1"/>
  <c r="J11" i="20" s="1"/>
  <c r="I16" i="20"/>
  <c r="H12" i="19"/>
  <c r="I9" i="6"/>
  <c r="I21" i="28"/>
  <c r="I19" i="20"/>
  <c r="H13" i="19"/>
  <c r="I18" i="4"/>
  <c r="I19" i="6"/>
  <c r="I13" i="4"/>
  <c r="I13" i="6" s="1"/>
  <c r="I12" i="4"/>
  <c r="I12" i="6" s="1"/>
  <c r="I10" i="4"/>
  <c r="J9" i="4"/>
  <c r="K20" i="3" s="1"/>
  <c r="K10" i="5"/>
  <c r="L10" i="5"/>
  <c r="J48" i="3" l="1"/>
  <c r="I22" i="28" s="1"/>
  <c r="J18" i="3"/>
  <c r="I23" i="28" s="1"/>
  <c r="J13" i="20"/>
  <c r="J21" i="4"/>
  <c r="H16" i="4"/>
  <c r="H12" i="28"/>
  <c r="N8" i="17"/>
  <c r="Q10" i="5" s="1"/>
  <c r="P10" i="5"/>
  <c r="H15" i="19"/>
  <c r="H20" i="6" s="1"/>
  <c r="I14" i="6"/>
  <c r="I18" i="6" s="1"/>
  <c r="J21" i="28"/>
  <c r="J9" i="6"/>
  <c r="I10" i="6"/>
  <c r="I11" i="6" s="1"/>
  <c r="H17" i="6"/>
  <c r="J30" i="20"/>
  <c r="J17" i="20"/>
  <c r="I11" i="19"/>
  <c r="I21" i="19"/>
  <c r="J11" i="3" s="1"/>
  <c r="J26" i="20"/>
  <c r="I11" i="4"/>
  <c r="J18" i="4"/>
  <c r="J13" i="4"/>
  <c r="J13" i="6" s="1"/>
  <c r="J10" i="4"/>
  <c r="J12" i="4"/>
  <c r="J12" i="6" s="1"/>
  <c r="K9" i="4"/>
  <c r="L20" i="3" s="1"/>
  <c r="K48" i="3" l="1"/>
  <c r="J22" i="28" s="1"/>
  <c r="K18" i="3"/>
  <c r="K16" i="20" s="1"/>
  <c r="K13" i="20"/>
  <c r="K21" i="4"/>
  <c r="J16" i="3"/>
  <c r="I24" i="28"/>
  <c r="J52" i="3"/>
  <c r="J54" i="3" s="1"/>
  <c r="H13" i="28"/>
  <c r="H32" i="28"/>
  <c r="H19" i="4"/>
  <c r="J32" i="20"/>
  <c r="J11" i="19"/>
  <c r="I14" i="4"/>
  <c r="I11" i="28"/>
  <c r="H21" i="6"/>
  <c r="I15" i="6"/>
  <c r="I16" i="6" s="1"/>
  <c r="K17" i="20"/>
  <c r="K26" i="20"/>
  <c r="J19" i="6"/>
  <c r="J18" i="19"/>
  <c r="J20" i="19" s="1"/>
  <c r="J15" i="4" s="1"/>
  <c r="K30" i="20"/>
  <c r="K9" i="6"/>
  <c r="K21" i="28"/>
  <c r="J10" i="6"/>
  <c r="J11" i="6" s="1"/>
  <c r="I12" i="19"/>
  <c r="J16" i="20"/>
  <c r="J19" i="20"/>
  <c r="I13" i="19"/>
  <c r="K18" i="4"/>
  <c r="J11" i="4"/>
  <c r="K13" i="4"/>
  <c r="K13" i="6" s="1"/>
  <c r="K12" i="4"/>
  <c r="K12" i="6" s="1"/>
  <c r="K10" i="4"/>
  <c r="L9" i="4"/>
  <c r="M20" i="3" s="1"/>
  <c r="L18" i="3" l="1"/>
  <c r="K12" i="19" s="1"/>
  <c r="L48" i="3"/>
  <c r="K22" i="28" s="1"/>
  <c r="L13" i="20"/>
  <c r="J23" i="28"/>
  <c r="L21" i="4"/>
  <c r="K52" i="3"/>
  <c r="K54" i="3" s="1"/>
  <c r="H20" i="4"/>
  <c r="I23" i="20" s="1"/>
  <c r="I10" i="20"/>
  <c r="I14" i="20" s="1"/>
  <c r="I22" i="20" s="1"/>
  <c r="H14" i="28"/>
  <c r="K32" i="20"/>
  <c r="M9" i="4"/>
  <c r="N20" i="3" s="1"/>
  <c r="K11" i="19"/>
  <c r="J14" i="4"/>
  <c r="J12" i="28" s="1"/>
  <c r="J11" i="28"/>
  <c r="I16" i="4"/>
  <c r="I12" i="28"/>
  <c r="I15" i="19"/>
  <c r="I20" i="6" s="1"/>
  <c r="L17" i="20"/>
  <c r="J21" i="19"/>
  <c r="K11" i="3" s="1"/>
  <c r="L26" i="20"/>
  <c r="K19" i="6"/>
  <c r="K10" i="6"/>
  <c r="K11" i="6" s="1"/>
  <c r="J13" i="19"/>
  <c r="K19" i="20"/>
  <c r="K11" i="20"/>
  <c r="J14" i="6"/>
  <c r="J18" i="6" s="1"/>
  <c r="L30" i="20"/>
  <c r="L21" i="28"/>
  <c r="L9" i="6"/>
  <c r="I17" i="6"/>
  <c r="J12" i="19"/>
  <c r="L18" i="4"/>
  <c r="K11" i="4"/>
  <c r="L13" i="4"/>
  <c r="L13" i="6" s="1"/>
  <c r="L12" i="4"/>
  <c r="L12" i="6" s="1"/>
  <c r="L10" i="4"/>
  <c r="M18" i="3" l="1"/>
  <c r="L12" i="19" s="1"/>
  <c r="M48" i="3"/>
  <c r="L22" i="28" s="1"/>
  <c r="M13" i="20"/>
  <c r="K23" i="28"/>
  <c r="K16" i="3"/>
  <c r="J24" i="28"/>
  <c r="L52" i="3"/>
  <c r="L54" i="3" s="1"/>
  <c r="H22" i="4"/>
  <c r="M10" i="4"/>
  <c r="M21" i="4"/>
  <c r="I24" i="20"/>
  <c r="M18" i="4"/>
  <c r="M21" i="28"/>
  <c r="M13" i="4"/>
  <c r="M13" i="6" s="1"/>
  <c r="M9" i="6"/>
  <c r="N26" i="20"/>
  <c r="L32" i="20"/>
  <c r="N9" i="4"/>
  <c r="O20" i="3" s="1"/>
  <c r="M12" i="4"/>
  <c r="M12" i="6" s="1"/>
  <c r="K18" i="19"/>
  <c r="K20" i="19" s="1"/>
  <c r="K15" i="4" s="1"/>
  <c r="L11" i="20" s="1"/>
  <c r="J16" i="4"/>
  <c r="K14" i="4"/>
  <c r="K11" i="28"/>
  <c r="I19" i="4"/>
  <c r="I32" i="28"/>
  <c r="I13" i="28"/>
  <c r="L11" i="19"/>
  <c r="M19" i="6"/>
  <c r="I21" i="6"/>
  <c r="H24" i="6" s="1"/>
  <c r="J15" i="6"/>
  <c r="J16" i="6" s="1"/>
  <c r="K13" i="19"/>
  <c r="K15" i="19" s="1"/>
  <c r="K20" i="6" s="1"/>
  <c r="L19" i="20"/>
  <c r="M17" i="20"/>
  <c r="M30" i="20"/>
  <c r="L16" i="20"/>
  <c r="M26" i="20"/>
  <c r="L19" i="6"/>
  <c r="J15" i="19"/>
  <c r="J20" i="6" s="1"/>
  <c r="L10" i="6"/>
  <c r="L11" i="6" s="1"/>
  <c r="L11" i="4"/>
  <c r="N18" i="3" l="1"/>
  <c r="N48" i="3"/>
  <c r="M22" i="28" s="1"/>
  <c r="N30" i="20"/>
  <c r="N32" i="20" s="1"/>
  <c r="N13" i="20"/>
  <c r="M11" i="4"/>
  <c r="M11" i="28" s="1"/>
  <c r="L23" i="28"/>
  <c r="M52" i="3"/>
  <c r="M54" i="3" s="1"/>
  <c r="M10" i="6"/>
  <c r="M11" i="6" s="1"/>
  <c r="N12" i="4"/>
  <c r="N12" i="6" s="1"/>
  <c r="N21" i="4"/>
  <c r="I33" i="3"/>
  <c r="M11" i="19"/>
  <c r="I38" i="20"/>
  <c r="I40" i="20" s="1"/>
  <c r="I42" i="20" s="1"/>
  <c r="I45" i="20" s="1"/>
  <c r="O9" i="4"/>
  <c r="P20" i="3" s="1"/>
  <c r="H15" i="28"/>
  <c r="N17" i="20"/>
  <c r="N18" i="4"/>
  <c r="M32" i="20"/>
  <c r="N19" i="6"/>
  <c r="N9" i="6"/>
  <c r="N10" i="4"/>
  <c r="N13" i="4"/>
  <c r="N13" i="6" s="1"/>
  <c r="N21" i="28"/>
  <c r="K21" i="19"/>
  <c r="L11" i="3" s="1"/>
  <c r="K16" i="4"/>
  <c r="K14" i="6"/>
  <c r="K18" i="6" s="1"/>
  <c r="J19" i="4"/>
  <c r="J32" i="28"/>
  <c r="J13" i="28"/>
  <c r="L14" i="4"/>
  <c r="L11" i="28"/>
  <c r="K12" i="28"/>
  <c r="J10" i="20"/>
  <c r="J14" i="20" s="1"/>
  <c r="J22" i="20" s="1"/>
  <c r="I14" i="28"/>
  <c r="I20" i="4"/>
  <c r="J23" i="20" s="1"/>
  <c r="M16" i="20"/>
  <c r="J17" i="6"/>
  <c r="J21" i="6" s="1"/>
  <c r="I24" i="6" s="1"/>
  <c r="M19" i="20"/>
  <c r="L13" i="19"/>
  <c r="L15" i="19" s="1"/>
  <c r="L20" i="6" s="1"/>
  <c r="O18" i="3" l="1"/>
  <c r="N12" i="19" s="1"/>
  <c r="O48" i="3"/>
  <c r="N22" i="28" s="1"/>
  <c r="M14" i="4"/>
  <c r="O13" i="20"/>
  <c r="H17" i="28"/>
  <c r="N11" i="4"/>
  <c r="N14" i="4" s="1"/>
  <c r="P9" i="4"/>
  <c r="Q20" i="3" s="1"/>
  <c r="M23" i="28"/>
  <c r="H31" i="28"/>
  <c r="H25" i="28"/>
  <c r="L16" i="3"/>
  <c r="K24" i="28"/>
  <c r="I35" i="3"/>
  <c r="I56" i="3" s="1"/>
  <c r="O18" i="4"/>
  <c r="N52" i="3"/>
  <c r="N54" i="3" s="1"/>
  <c r="N19" i="20"/>
  <c r="M13" i="19"/>
  <c r="N16" i="20"/>
  <c r="K19" i="4"/>
  <c r="K20" i="4" s="1"/>
  <c r="L23" i="20" s="1"/>
  <c r="M12" i="19"/>
  <c r="O12" i="4"/>
  <c r="O12" i="6" s="1"/>
  <c r="O21" i="4"/>
  <c r="O10" i="4"/>
  <c r="O13" i="4"/>
  <c r="O13" i="6" s="1"/>
  <c r="I22" i="4"/>
  <c r="O9" i="6"/>
  <c r="O19" i="6"/>
  <c r="P17" i="20"/>
  <c r="O26" i="20"/>
  <c r="O30" i="20"/>
  <c r="J43" i="20"/>
  <c r="I21" i="3"/>
  <c r="N10" i="6"/>
  <c r="N11" i="6" s="1"/>
  <c r="O17" i="20"/>
  <c r="N11" i="19"/>
  <c r="L18" i="19"/>
  <c r="L20" i="19" s="1"/>
  <c r="L15" i="4" s="1"/>
  <c r="L14" i="6" s="1"/>
  <c r="L18" i="6" s="1"/>
  <c r="K13" i="28"/>
  <c r="K15" i="6"/>
  <c r="K16" i="6" s="1"/>
  <c r="K32" i="28"/>
  <c r="J24" i="20"/>
  <c r="L12" i="28"/>
  <c r="K10" i="20"/>
  <c r="K14" i="20" s="1"/>
  <c r="K22" i="20" s="1"/>
  <c r="J14" i="28"/>
  <c r="J20" i="4"/>
  <c r="J22" i="4" s="1"/>
  <c r="P48" i="3" l="1"/>
  <c r="O22" i="28" s="1"/>
  <c r="P18" i="3"/>
  <c r="O23" i="28" s="1"/>
  <c r="M12" i="28"/>
  <c r="P13" i="20"/>
  <c r="P13" i="4"/>
  <c r="P13" i="6" s="1"/>
  <c r="P10" i="4"/>
  <c r="P9" i="6"/>
  <c r="N11" i="28"/>
  <c r="P30" i="20"/>
  <c r="Q9" i="4"/>
  <c r="R20" i="3" s="1"/>
  <c r="N23" i="28"/>
  <c r="O21" i="28"/>
  <c r="P21" i="4"/>
  <c r="P21" i="28"/>
  <c r="P12" i="4"/>
  <c r="P12" i="6" s="1"/>
  <c r="P18" i="4"/>
  <c r="J33" i="3"/>
  <c r="I25" i="28" s="1"/>
  <c r="M15" i="19"/>
  <c r="M20" i="6" s="1"/>
  <c r="K14" i="28"/>
  <c r="L10" i="20"/>
  <c r="L14" i="20" s="1"/>
  <c r="L22" i="20" s="1"/>
  <c r="L24" i="20" s="1"/>
  <c r="O10" i="6"/>
  <c r="O11" i="6" s="1"/>
  <c r="P26" i="20"/>
  <c r="O52" i="3"/>
  <c r="O54" i="3" s="1"/>
  <c r="O11" i="4"/>
  <c r="O14" i="4" s="1"/>
  <c r="O32" i="20"/>
  <c r="K22" i="4"/>
  <c r="O11" i="19"/>
  <c r="P11" i="19"/>
  <c r="O16" i="20"/>
  <c r="O19" i="20"/>
  <c r="N13" i="19"/>
  <c r="N15" i="19" s="1"/>
  <c r="N20" i="6" s="1"/>
  <c r="I26" i="3"/>
  <c r="H30" i="28"/>
  <c r="L21" i="19"/>
  <c r="M11" i="3" s="1"/>
  <c r="M11" i="20"/>
  <c r="L16" i="4"/>
  <c r="L15" i="6"/>
  <c r="L16" i="6" s="1"/>
  <c r="K17" i="6"/>
  <c r="K21" i="6" s="1"/>
  <c r="J24" i="6" s="1"/>
  <c r="Q17" i="20"/>
  <c r="J38" i="20"/>
  <c r="K23" i="20"/>
  <c r="K24" i="20" s="1"/>
  <c r="N12" i="28"/>
  <c r="I15" i="28"/>
  <c r="Q26" i="20"/>
  <c r="P19" i="6"/>
  <c r="Q18" i="3" l="1"/>
  <c r="Q16" i="20" s="1"/>
  <c r="Q48" i="3"/>
  <c r="P22" i="28" s="1"/>
  <c r="P11" i="4"/>
  <c r="P14" i="4" s="1"/>
  <c r="P10" i="6"/>
  <c r="P11" i="6" s="1"/>
  <c r="P32" i="20"/>
  <c r="Q13" i="20"/>
  <c r="Q13" i="4"/>
  <c r="Q13" i="6" s="1"/>
  <c r="Q30" i="20"/>
  <c r="Q32" i="20" s="1"/>
  <c r="Q21" i="28"/>
  <c r="Q21" i="4"/>
  <c r="Q18" i="4"/>
  <c r="Q10" i="4"/>
  <c r="I31" i="28"/>
  <c r="Q12" i="4"/>
  <c r="Q12" i="6" s="1"/>
  <c r="Q9" i="6"/>
  <c r="I17" i="28"/>
  <c r="P16" i="20"/>
  <c r="J35" i="3"/>
  <c r="J56" i="3" s="1"/>
  <c r="O12" i="19"/>
  <c r="M16" i="3"/>
  <c r="L24" i="28"/>
  <c r="P19" i="20"/>
  <c r="P52" i="3"/>
  <c r="P54" i="3" s="1"/>
  <c r="O13" i="19"/>
  <c r="O11" i="28"/>
  <c r="L32" i="28"/>
  <c r="L19" i="4"/>
  <c r="L13" i="28"/>
  <c r="I28" i="3"/>
  <c r="H16" i="28" s="1"/>
  <c r="H28" i="28"/>
  <c r="H29" i="28"/>
  <c r="M18" i="19"/>
  <c r="M20" i="19" s="1"/>
  <c r="M15" i="4" s="1"/>
  <c r="J40" i="20"/>
  <c r="J42" i="20" s="1"/>
  <c r="J45" i="20" s="1"/>
  <c r="K43" i="20" s="1"/>
  <c r="R17" i="20"/>
  <c r="Q11" i="19"/>
  <c r="J15" i="28"/>
  <c r="K38" i="20"/>
  <c r="K40" i="20" s="1"/>
  <c r="K42" i="20" s="1"/>
  <c r="O12" i="28"/>
  <c r="K33" i="3"/>
  <c r="L38" i="20"/>
  <c r="L40" i="20" s="1"/>
  <c r="L42" i="20" s="1"/>
  <c r="K15" i="28"/>
  <c r="R26" i="20"/>
  <c r="Q19" i="6"/>
  <c r="L17" i="6"/>
  <c r="L21" i="6" s="1"/>
  <c r="Q19" i="20" l="1"/>
  <c r="Q52" i="3"/>
  <c r="Q54" i="3" s="1"/>
  <c r="P13" i="19"/>
  <c r="Q11" i="4"/>
  <c r="Q14" i="4" s="1"/>
  <c r="R18" i="3"/>
  <c r="R16" i="20" s="1"/>
  <c r="R48" i="3"/>
  <c r="Q22" i="28" s="1"/>
  <c r="P12" i="19"/>
  <c r="P15" i="19" s="1"/>
  <c r="P20" i="6" s="1"/>
  <c r="P23" i="28"/>
  <c r="P11" i="28"/>
  <c r="R13" i="20"/>
  <c r="R30" i="20"/>
  <c r="R32" i="20" s="1"/>
  <c r="Q10" i="6"/>
  <c r="Q11" i="6" s="1"/>
  <c r="O15" i="19"/>
  <c r="O20" i="6" s="1"/>
  <c r="H18" i="28"/>
  <c r="J25" i="28"/>
  <c r="J17" i="28"/>
  <c r="L20" i="4"/>
  <c r="M23" i="20" s="1"/>
  <c r="M10" i="20"/>
  <c r="M14" i="20" s="1"/>
  <c r="M22" i="20" s="1"/>
  <c r="L14" i="28"/>
  <c r="I57" i="3"/>
  <c r="J21" i="3"/>
  <c r="Q26" i="14" s="1"/>
  <c r="K45" i="20"/>
  <c r="L43" i="20" s="1"/>
  <c r="L45" i="20" s="1"/>
  <c r="S21" i="28"/>
  <c r="T21" i="28"/>
  <c r="P12" i="28"/>
  <c r="K35" i="3"/>
  <c r="K56" i="3" s="1"/>
  <c r="L33" i="3"/>
  <c r="J31" i="28"/>
  <c r="Q11" i="28"/>
  <c r="N11" i="20"/>
  <c r="M14" i="6"/>
  <c r="M16" i="4"/>
  <c r="M21" i="19"/>
  <c r="L24" i="6"/>
  <c r="K24" i="6"/>
  <c r="T11" i="28" l="1"/>
  <c r="Q12" i="28"/>
  <c r="S12" i="28" s="1"/>
  <c r="R52" i="3"/>
  <c r="R54" i="3" s="1"/>
  <c r="Q13" i="19"/>
  <c r="R19" i="20"/>
  <c r="Q12" i="19"/>
  <c r="Q23" i="28"/>
  <c r="K25" i="28"/>
  <c r="K17" i="28"/>
  <c r="M24" i="20"/>
  <c r="L22" i="4"/>
  <c r="T22" i="28"/>
  <c r="S22" i="28"/>
  <c r="I30" i="28"/>
  <c r="J26" i="3"/>
  <c r="J28" i="3" s="1"/>
  <c r="I16" i="28" s="1"/>
  <c r="K21" i="3"/>
  <c r="J30" i="28" s="1"/>
  <c r="M19" i="4"/>
  <c r="M32" i="28"/>
  <c r="M13" i="28"/>
  <c r="S11" i="28"/>
  <c r="L35" i="3"/>
  <c r="L56" i="3" s="1"/>
  <c r="K31" i="28"/>
  <c r="M18" i="6"/>
  <c r="M15" i="6"/>
  <c r="N18" i="19"/>
  <c r="N11" i="3"/>
  <c r="T12" i="28" l="1"/>
  <c r="Q15" i="19"/>
  <c r="Q20" i="6" s="1"/>
  <c r="S23" i="28"/>
  <c r="T23" i="28"/>
  <c r="M38" i="20"/>
  <c r="J57" i="3"/>
  <c r="I18" i="28"/>
  <c r="M33" i="3"/>
  <c r="L25" i="28" s="1"/>
  <c r="N16" i="3"/>
  <c r="M24" i="28"/>
  <c r="L15" i="28"/>
  <c r="M20" i="4"/>
  <c r="N23" i="20" s="1"/>
  <c r="I29" i="28"/>
  <c r="I28" i="28"/>
  <c r="L21" i="3"/>
  <c r="K30" i="28" s="1"/>
  <c r="M43" i="20"/>
  <c r="K26" i="3"/>
  <c r="J28" i="28" s="1"/>
  <c r="M14" i="28"/>
  <c r="N10" i="20"/>
  <c r="N14" i="20" s="1"/>
  <c r="N22" i="20" s="1"/>
  <c r="M16" i="6"/>
  <c r="M17" i="6" s="1"/>
  <c r="M21" i="6" s="1"/>
  <c r="M24" i="6" s="1"/>
  <c r="N20" i="19"/>
  <c r="N15" i="4" s="1"/>
  <c r="M40" i="20" l="1"/>
  <c r="M42" i="20" s="1"/>
  <c r="M45" i="20" s="1"/>
  <c r="N43" i="20" s="1"/>
  <c r="M35" i="3"/>
  <c r="M56" i="3" s="1"/>
  <c r="L31" i="28"/>
  <c r="L17" i="28"/>
  <c r="M22" i="4"/>
  <c r="N24" i="20"/>
  <c r="L26" i="3"/>
  <c r="K28" i="28" s="1"/>
  <c r="K28" i="3"/>
  <c r="J16" i="28" s="1"/>
  <c r="J29" i="28"/>
  <c r="O11" i="20"/>
  <c r="N14" i="6"/>
  <c r="N16" i="4"/>
  <c r="N21" i="19"/>
  <c r="J18" i="28" l="1"/>
  <c r="M15" i="28"/>
  <c r="N33" i="3"/>
  <c r="N38" i="20"/>
  <c r="N40" i="20" s="1"/>
  <c r="N42" i="20" s="1"/>
  <c r="N45" i="20" s="1"/>
  <c r="K57" i="3"/>
  <c r="L28" i="3"/>
  <c r="K16" i="28" s="1"/>
  <c r="K29" i="28"/>
  <c r="M21" i="3"/>
  <c r="M26" i="3" s="1"/>
  <c r="L29" i="28" s="1"/>
  <c r="N19" i="4"/>
  <c r="N32" i="28"/>
  <c r="N13" i="28"/>
  <c r="O18" i="19"/>
  <c r="O11" i="3"/>
  <c r="N18" i="6"/>
  <c r="N15" i="6"/>
  <c r="K18" i="28" l="1"/>
  <c r="M25" i="28"/>
  <c r="M17" i="28"/>
  <c r="O16" i="3"/>
  <c r="N24" i="28"/>
  <c r="M31" i="28"/>
  <c r="N35" i="3"/>
  <c r="N56" i="3" s="1"/>
  <c r="N20" i="4"/>
  <c r="O23" i="20" s="1"/>
  <c r="L57" i="3"/>
  <c r="N21" i="3"/>
  <c r="N26" i="3" s="1"/>
  <c r="O43" i="20"/>
  <c r="L28" i="28"/>
  <c r="M28" i="3"/>
  <c r="L16" i="28" s="1"/>
  <c r="L30" i="28"/>
  <c r="O10" i="20"/>
  <c r="N14" i="28"/>
  <c r="N16" i="6"/>
  <c r="N17" i="6" s="1"/>
  <c r="N21" i="6" s="1"/>
  <c r="N24" i="6" s="1"/>
  <c r="O20" i="19"/>
  <c r="O15" i="4" s="1"/>
  <c r="L18" i="28" l="1"/>
  <c r="N22" i="4"/>
  <c r="M57" i="3"/>
  <c r="O14" i="20"/>
  <c r="O22" i="20" s="1"/>
  <c r="O24" i="20" s="1"/>
  <c r="M30" i="28"/>
  <c r="N28" i="3"/>
  <c r="M16" i="28" s="1"/>
  <c r="M28" i="28"/>
  <c r="M29" i="28"/>
  <c r="O21" i="19"/>
  <c r="P11" i="3" s="1"/>
  <c r="P11" i="20"/>
  <c r="O14" i="6"/>
  <c r="O16" i="4"/>
  <c r="M18" i="28" l="1"/>
  <c r="P16" i="3"/>
  <c r="O24" i="28"/>
  <c r="O33" i="3"/>
  <c r="N31" i="28" s="1"/>
  <c r="N15" i="28"/>
  <c r="O38" i="20"/>
  <c r="O40" i="20" s="1"/>
  <c r="O42" i="20" s="1"/>
  <c r="O45" i="20" s="1"/>
  <c r="P43" i="20" s="1"/>
  <c r="N57" i="3"/>
  <c r="P18" i="19"/>
  <c r="P20" i="19" s="1"/>
  <c r="P15" i="4" s="1"/>
  <c r="O19" i="4"/>
  <c r="O32" i="28"/>
  <c r="O13" i="28"/>
  <c r="O18" i="6"/>
  <c r="O15" i="6"/>
  <c r="O35" i="3" l="1"/>
  <c r="O56" i="3" s="1"/>
  <c r="N17" i="28"/>
  <c r="N25" i="28"/>
  <c r="O20" i="4"/>
  <c r="P23" i="20" s="1"/>
  <c r="P10" i="20"/>
  <c r="P14" i="20" s="1"/>
  <c r="P22" i="20" s="1"/>
  <c r="O21" i="3"/>
  <c r="O14" i="28"/>
  <c r="P21" i="19"/>
  <c r="Q18" i="19" s="1"/>
  <c r="P14" i="6"/>
  <c r="Q11" i="20"/>
  <c r="P16" i="4"/>
  <c r="O16" i="6"/>
  <c r="O17" i="6" s="1"/>
  <c r="O21" i="6" s="1"/>
  <c r="O24" i="6" s="1"/>
  <c r="P24" i="20" l="1"/>
  <c r="O22" i="4"/>
  <c r="P19" i="4"/>
  <c r="P32" i="28"/>
  <c r="P13" i="28"/>
  <c r="O26" i="3"/>
  <c r="N30" i="28"/>
  <c r="Q11" i="3"/>
  <c r="P18" i="6"/>
  <c r="P15" i="6"/>
  <c r="Q20" i="19"/>
  <c r="Q15" i="4" s="1"/>
  <c r="Q16" i="3" l="1"/>
  <c r="P24" i="28"/>
  <c r="P33" i="3"/>
  <c r="O25" i="28" s="1"/>
  <c r="P38" i="20"/>
  <c r="P40" i="20" s="1"/>
  <c r="P42" i="20" s="1"/>
  <c r="P45" i="20" s="1"/>
  <c r="Q43" i="20" s="1"/>
  <c r="O15" i="28"/>
  <c r="P20" i="4"/>
  <c r="Q23" i="20" s="1"/>
  <c r="P14" i="28"/>
  <c r="Q10" i="20"/>
  <c r="Q14" i="20" s="1"/>
  <c r="Q22" i="20" s="1"/>
  <c r="N29" i="28"/>
  <c r="N28" i="28"/>
  <c r="O28" i="3"/>
  <c r="N16" i="28" s="1"/>
  <c r="Q21" i="19"/>
  <c r="R11" i="3" s="1"/>
  <c r="R16" i="3" s="1"/>
  <c r="P16" i="6"/>
  <c r="P17" i="6" s="1"/>
  <c r="P21" i="6" s="1"/>
  <c r="P24" i="6" s="1"/>
  <c r="Q14" i="6"/>
  <c r="R11" i="20"/>
  <c r="Q16" i="4"/>
  <c r="O17" i="28" l="1"/>
  <c r="O31" i="28"/>
  <c r="N18" i="28"/>
  <c r="Q24" i="28"/>
  <c r="S24" i="28" s="1"/>
  <c r="P35" i="3"/>
  <c r="P56" i="3" s="1"/>
  <c r="P22" i="4"/>
  <c r="Q24" i="20"/>
  <c r="O57" i="3"/>
  <c r="P21" i="3"/>
  <c r="O30" i="28" s="1"/>
  <c r="Q19" i="4"/>
  <c r="Q32" i="28"/>
  <c r="Q13" i="28"/>
  <c r="Q18" i="6"/>
  <c r="Q15" i="6"/>
  <c r="T24" i="28" l="1"/>
  <c r="Q33" i="3"/>
  <c r="P31" i="28" s="1"/>
  <c r="Q38" i="20"/>
  <c r="Q40" i="20" s="1"/>
  <c r="Q42" i="20" s="1"/>
  <c r="Q45" i="20" s="1"/>
  <c r="R43" i="20" s="1"/>
  <c r="P15" i="28"/>
  <c r="R10" i="20"/>
  <c r="R14" i="20" s="1"/>
  <c r="R22" i="20" s="1"/>
  <c r="Q20" i="4"/>
  <c r="R23" i="20" s="1"/>
  <c r="P26" i="3"/>
  <c r="O28" i="28" s="1"/>
  <c r="Q14" i="28"/>
  <c r="S13" i="28"/>
  <c r="T13" i="28"/>
  <c r="S32" i="28"/>
  <c r="T32" i="28"/>
  <c r="Q16" i="6"/>
  <c r="Q17" i="6" s="1"/>
  <c r="Q21" i="6" s="1"/>
  <c r="P17" i="28" l="1"/>
  <c r="Q35" i="3"/>
  <c r="Q56" i="3" s="1"/>
  <c r="P25" i="28"/>
  <c r="R24" i="20"/>
  <c r="Q22" i="4"/>
  <c r="Q24" i="6"/>
  <c r="C30" i="6" s="1"/>
  <c r="H27" i="6"/>
  <c r="H30" i="6" s="1"/>
  <c r="L31" i="6" s="1"/>
  <c r="C31" i="6" s="1"/>
  <c r="P28" i="3"/>
  <c r="O16" i="28" s="1"/>
  <c r="O29" i="28"/>
  <c r="T14" i="28"/>
  <c r="S14" i="28"/>
  <c r="Q21" i="3"/>
  <c r="O18" i="28" l="1"/>
  <c r="R38" i="20"/>
  <c r="R40" i="20" s="1"/>
  <c r="R42" i="20" s="1"/>
  <c r="R45" i="20" s="1"/>
  <c r="R21" i="3" s="1"/>
  <c r="Q15" i="28"/>
  <c r="S15" i="28" s="1"/>
  <c r="R33" i="3"/>
  <c r="Q25" i="28" s="1"/>
  <c r="C32" i="6"/>
  <c r="C35" i="6" s="1"/>
  <c r="P57" i="3"/>
  <c r="P30" i="28"/>
  <c r="Q26" i="3"/>
  <c r="C37" i="6" l="1"/>
  <c r="T15" i="28"/>
  <c r="Q17" i="28"/>
  <c r="S17" i="28" s="1"/>
  <c r="R35" i="3"/>
  <c r="R56" i="3" s="1"/>
  <c r="S25" i="28"/>
  <c r="Q31" i="28"/>
  <c r="S31" i="28" s="1"/>
  <c r="P29" i="28"/>
  <c r="Q28" i="3"/>
  <c r="P16" i="28" s="1"/>
  <c r="P28" i="28"/>
  <c r="Q30" i="28"/>
  <c r="R26" i="3"/>
  <c r="H34" i="6" l="1"/>
  <c r="H35" i="6" s="1"/>
  <c r="H37" i="6" s="1"/>
  <c r="C53" i="6"/>
  <c r="C44" i="6"/>
  <c r="K44" i="6"/>
  <c r="P18" i="28"/>
  <c r="T17" i="28"/>
  <c r="T25" i="28"/>
  <c r="T31" i="28"/>
  <c r="Q57" i="3"/>
  <c r="T30" i="28"/>
  <c r="S30" i="28"/>
  <c r="R28" i="3"/>
  <c r="Q16" i="28" s="1"/>
  <c r="S16" i="28" s="1"/>
  <c r="Q28" i="28"/>
  <c r="Q29" i="28"/>
  <c r="T16" i="28" l="1"/>
  <c r="Q18" i="28"/>
  <c r="R57" i="3"/>
  <c r="T29" i="28"/>
  <c r="S29" i="28"/>
  <c r="S28" i="28"/>
  <c r="T28" i="28"/>
  <c r="T18" i="28" l="1"/>
  <c r="S18" i="28"/>
</calcChain>
</file>

<file path=xl/comments1.xml><?xml version="1.0" encoding="utf-8"?>
<comments xmlns="http://schemas.openxmlformats.org/spreadsheetml/2006/main">
  <authors>
    <author>LENOVO</author>
  </authors>
  <commentList>
    <comment ref="D30" authorId="0" shapeId="0">
      <text>
        <r>
          <rPr>
            <sz val="9"/>
            <color indexed="81"/>
            <rFont val="Tahoma"/>
            <family val="2"/>
          </rPr>
          <t xml:space="preserve">IBEF
</t>
        </r>
      </text>
    </comment>
  </commentList>
</comments>
</file>

<file path=xl/comments2.xml><?xml version="1.0" encoding="utf-8"?>
<comments xmlns="http://schemas.openxmlformats.org/spreadsheetml/2006/main">
  <authors>
    <author>LENOVO</author>
  </authors>
  <commentList>
    <comment ref="H16" authorId="0" shapeId="0">
      <text>
        <r>
          <rPr>
            <b/>
            <sz val="9"/>
            <color indexed="81"/>
            <rFont val="Tahoma"/>
            <family val="2"/>
          </rPr>
          <t>LENOVO:</t>
        </r>
        <r>
          <rPr>
            <sz val="9"/>
            <color indexed="81"/>
            <rFont val="Tahoma"/>
            <family val="2"/>
          </rPr>
          <t xml:space="preserve">
Considered 3 year's average because 21,22 are outliers.</t>
        </r>
      </text>
    </comment>
    <comment ref="B37" authorId="0" shapeId="0">
      <text>
        <r>
          <rPr>
            <b/>
            <sz val="9"/>
            <color indexed="81"/>
            <rFont val="Tahoma"/>
            <family val="2"/>
          </rPr>
          <t>LENOVO:</t>
        </r>
        <r>
          <rPr>
            <sz val="9"/>
            <color indexed="81"/>
            <rFont val="Tahoma"/>
            <family val="2"/>
          </rPr>
          <t xml:space="preserve">
Pg. 90 Annual Report
</t>
        </r>
      </text>
    </comment>
  </commentList>
</comments>
</file>

<file path=xl/comments3.xml><?xml version="1.0" encoding="utf-8"?>
<comments xmlns="http://schemas.openxmlformats.org/spreadsheetml/2006/main">
  <authors>
    <author>LENOVO</author>
  </authors>
  <commentList>
    <comment ref="D126" authorId="0" shapeId="0">
      <text>
        <r>
          <rPr>
            <b/>
            <sz val="9"/>
            <color indexed="81"/>
            <rFont val="Tahoma"/>
            <family val="2"/>
          </rPr>
          <t>LENOVO:</t>
        </r>
        <r>
          <rPr>
            <sz val="9"/>
            <color indexed="81"/>
            <rFont val="Tahoma"/>
            <family val="2"/>
          </rPr>
          <t xml:space="preserve">
Carried from 20-21 annual report.</t>
        </r>
      </text>
    </comment>
  </commentList>
</comments>
</file>

<file path=xl/comments4.xml><?xml version="1.0" encoding="utf-8"?>
<comments xmlns="http://schemas.openxmlformats.org/spreadsheetml/2006/main">
  <authors>
    <author>LENOVO</author>
  </authors>
  <commentList>
    <comment ref="C26" authorId="0" shapeId="0">
      <text>
        <r>
          <rPr>
            <b/>
            <sz val="9"/>
            <color indexed="81"/>
            <rFont val="Tahoma"/>
            <family val="2"/>
          </rPr>
          <t>LENOVO:</t>
        </r>
        <r>
          <rPr>
            <sz val="9"/>
            <color indexed="81"/>
            <rFont val="Tahoma"/>
            <family val="2"/>
          </rPr>
          <t xml:space="preserve">
Terminal growth rate is assumed to be long term GDP growth rate.</t>
        </r>
      </text>
    </comment>
  </commentList>
</comments>
</file>

<file path=xl/comments5.xml><?xml version="1.0" encoding="utf-8"?>
<comments xmlns="http://schemas.openxmlformats.org/spreadsheetml/2006/main">
  <authors>
    <author>LENOVO</author>
  </authors>
  <commentList>
    <comment ref="K27" authorId="0" shapeId="0">
      <text>
        <r>
          <rPr>
            <b/>
            <sz val="9"/>
            <color indexed="81"/>
            <rFont val="Tahoma"/>
            <family val="2"/>
          </rPr>
          <t>LENOVO:</t>
        </r>
        <r>
          <rPr>
            <sz val="9"/>
            <color indexed="81"/>
            <rFont val="Tahoma"/>
            <family val="2"/>
          </rPr>
          <t xml:space="preserve">
Source: Trading Economics
</t>
        </r>
      </text>
    </comment>
  </commentList>
</comments>
</file>

<file path=xl/sharedStrings.xml><?xml version="1.0" encoding="utf-8"?>
<sst xmlns="http://schemas.openxmlformats.org/spreadsheetml/2006/main" count="595" uniqueCount="432">
  <si>
    <t>Sales</t>
  </si>
  <si>
    <t>Depreciation</t>
  </si>
  <si>
    <t>Profit before tax</t>
  </si>
  <si>
    <t>Net profit</t>
  </si>
  <si>
    <t>Total Liabilities</t>
  </si>
  <si>
    <t>Investments</t>
  </si>
  <si>
    <t>Trade Payables</t>
  </si>
  <si>
    <t>Inventories</t>
  </si>
  <si>
    <t>Trade receivables</t>
  </si>
  <si>
    <t>ASSETS</t>
  </si>
  <si>
    <t>EBIT</t>
  </si>
  <si>
    <t>Groos Profit</t>
  </si>
  <si>
    <t>Forecasting</t>
  </si>
  <si>
    <t>Historical</t>
  </si>
  <si>
    <t>Particulars</t>
  </si>
  <si>
    <t>EBIT(1-Tax)</t>
  </si>
  <si>
    <t>(+) Depreciation</t>
  </si>
  <si>
    <t>(-) Capex</t>
  </si>
  <si>
    <t>Date</t>
  </si>
  <si>
    <t>Price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</si>
  <si>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</si>
  <si>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</si>
  <si>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</si>
  <si>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</si>
  <si>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</si>
  <si>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</si>
  <si>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</si>
  <si>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</si>
  <si>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</si>
  <si>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</si>
  <si>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</si>
  <si>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</si>
  <si>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</si>
  <si>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</si>
  <si>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</si>
  <si>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</si>
  <si>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</si>
  <si>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</si>
  <si>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</si>
  <si>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</si>
  <si>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</si>
  <si>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</si>
  <si>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</si>
  <si>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</si>
  <si>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</si>
  <si>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Returns</t>
  </si>
  <si>
    <t>Tax Rate</t>
  </si>
  <si>
    <t>Year</t>
  </si>
  <si>
    <t>Cost of Equity</t>
  </si>
  <si>
    <t>Total Debt</t>
  </si>
  <si>
    <t>Cost of Debt</t>
  </si>
  <si>
    <t>Debt</t>
  </si>
  <si>
    <t>Equity</t>
  </si>
  <si>
    <t>Weighted Average of Capital</t>
  </si>
  <si>
    <t>Total Cost</t>
  </si>
  <si>
    <t>Total Weight</t>
  </si>
  <si>
    <t>Inventories days</t>
  </si>
  <si>
    <t>Trade receivables days</t>
  </si>
  <si>
    <t>Trade Payables days</t>
  </si>
  <si>
    <t>Free Cash Flow to firm</t>
  </si>
  <si>
    <t>Terminal Growth</t>
  </si>
  <si>
    <t>WACC</t>
  </si>
  <si>
    <t>FCFF(n+1)</t>
  </si>
  <si>
    <t>Terminal Growth Rate</t>
  </si>
  <si>
    <t>Terminal Value</t>
  </si>
  <si>
    <t>Calculation of Equity Value per Share</t>
  </si>
  <si>
    <t>PV of FCFF</t>
  </si>
  <si>
    <t>PV ofTerminal Value</t>
  </si>
  <si>
    <t>Value Of Operating Assets</t>
  </si>
  <si>
    <t>Value of Equity</t>
  </si>
  <si>
    <t>No. of Shares</t>
  </si>
  <si>
    <t>Equity Value per Share</t>
  </si>
  <si>
    <t>Share Price</t>
  </si>
  <si>
    <t>Discounting Rate</t>
  </si>
  <si>
    <t>(+/-) Change in Working Capital</t>
  </si>
  <si>
    <t>Comparable Company Valuation</t>
  </si>
  <si>
    <t xml:space="preserve"> </t>
  </si>
  <si>
    <t>Market Data</t>
  </si>
  <si>
    <t>Financials</t>
  </si>
  <si>
    <t xml:space="preserve">Company </t>
  </si>
  <si>
    <t>Ticker</t>
  </si>
  <si>
    <t>Share Outstsnding</t>
  </si>
  <si>
    <t>Equity Value</t>
  </si>
  <si>
    <t>Net Debt</t>
  </si>
  <si>
    <t>Enterprise Value</t>
  </si>
  <si>
    <t>Revenue</t>
  </si>
  <si>
    <t>EBITDA</t>
  </si>
  <si>
    <t>Net Income</t>
  </si>
  <si>
    <t>EV/Revenue</t>
  </si>
  <si>
    <t>EV/EBITDA</t>
  </si>
  <si>
    <t>P/E</t>
  </si>
  <si>
    <t>Average</t>
  </si>
  <si>
    <t>Median</t>
  </si>
  <si>
    <t>Implied Emterprise Value</t>
  </si>
  <si>
    <t>Implied Market Value</t>
  </si>
  <si>
    <t>Shares Outstanding</t>
  </si>
  <si>
    <t>Implied Value Per Share</t>
  </si>
  <si>
    <t>Name</t>
  </si>
  <si>
    <t>CMP Rs.</t>
  </si>
  <si>
    <t>No. Eq. Shares Cr.</t>
  </si>
  <si>
    <t>Debt Rs.Cr.</t>
  </si>
  <si>
    <t>Cash End Rs.Cr.</t>
  </si>
  <si>
    <t>Sales Rs.Cr.</t>
  </si>
  <si>
    <t>Cash</t>
  </si>
  <si>
    <t>Cost of goods Sold (% of sales)</t>
  </si>
  <si>
    <t>Selling,Admin &amp; Other Expenses (% of Sales)</t>
  </si>
  <si>
    <t>-</t>
  </si>
  <si>
    <t>SUPPORTING SCHEDULES</t>
  </si>
  <si>
    <t>Employee Cost (% of sales)</t>
  </si>
  <si>
    <t>Depreciation &amp; Ammortization (% of Fixed Assets)</t>
  </si>
  <si>
    <t>Fixed Asset Turnover Ratio</t>
  </si>
  <si>
    <t>Others</t>
  </si>
  <si>
    <t>PPE Opening</t>
  </si>
  <si>
    <t>Add: Capex</t>
  </si>
  <si>
    <t>Less: Depreciation</t>
  </si>
  <si>
    <t>PPE Closing</t>
  </si>
  <si>
    <t>Debt &amp; Interest Schedule</t>
  </si>
  <si>
    <t>Opening</t>
  </si>
  <si>
    <t>Issuance (repayment)</t>
  </si>
  <si>
    <t>Closing</t>
  </si>
  <si>
    <t>Interest Expenses</t>
  </si>
  <si>
    <t>Tax Rate (% of PBT)</t>
  </si>
  <si>
    <t>Base Case</t>
  </si>
  <si>
    <t>Bull Case</t>
  </si>
  <si>
    <t>Worst Case</t>
  </si>
  <si>
    <t>Revenue Scenarios</t>
  </si>
  <si>
    <t>Growth (%)</t>
  </si>
  <si>
    <t>Interest Rate (% of Debt)</t>
  </si>
  <si>
    <t>Other Income (% of Revenue)</t>
  </si>
  <si>
    <t>Less: COGS</t>
  </si>
  <si>
    <t>Less: Employee Cost</t>
  </si>
  <si>
    <t>Less: Selling, admin and other expenses</t>
  </si>
  <si>
    <t>Less: Interest</t>
  </si>
  <si>
    <t>Add: Other Income</t>
  </si>
  <si>
    <t>Less: Tax</t>
  </si>
  <si>
    <t>Dividend Payout Ratio (% of PAT)</t>
  </si>
  <si>
    <t>Finance costs</t>
  </si>
  <si>
    <t>Finance cost paid</t>
  </si>
  <si>
    <t>Dividend paid</t>
  </si>
  <si>
    <t>Property, plant and equipment</t>
  </si>
  <si>
    <t>Capital work-in-progress</t>
  </si>
  <si>
    <t>Goodwill (Net)</t>
  </si>
  <si>
    <t>Other intangible assets</t>
  </si>
  <si>
    <t>Intangible assets under development</t>
  </si>
  <si>
    <t>Financial assets</t>
  </si>
  <si>
    <t>– Investments</t>
  </si>
  <si>
    <t>– Loans</t>
  </si>
  <si>
    <t>– Other financial assets</t>
  </si>
  <si>
    <t>Deferred tax assets (Net)</t>
  </si>
  <si>
    <t>Income tax assets (Net)</t>
  </si>
  <si>
    <t>Other non-current assets</t>
  </si>
  <si>
    <t>Total non-current assets</t>
  </si>
  <si>
    <t>– Trade receivables</t>
  </si>
  <si>
    <t>– Cash and cash equivalents</t>
  </si>
  <si>
    <t>– Bank balances (other than above)</t>
  </si>
  <si>
    <t>Other current assets</t>
  </si>
  <si>
    <t>Total current assets</t>
  </si>
  <si>
    <t>Assets classified as held for sale</t>
  </si>
  <si>
    <t>TOTAL ASSETS</t>
  </si>
  <si>
    <t>EQUITY &amp; LIABILITIES</t>
  </si>
  <si>
    <t>Equity share capital</t>
  </si>
  <si>
    <t>Non-controlling interests</t>
  </si>
  <si>
    <t>Total Equity</t>
  </si>
  <si>
    <t>Liabilities</t>
  </si>
  <si>
    <t>Non-current liabilities</t>
  </si>
  <si>
    <t>Borrowings</t>
  </si>
  <si>
    <t>Lease liabilities</t>
  </si>
  <si>
    <t>Provisions</t>
  </si>
  <si>
    <t>Deferred tax liabilities (Net)</t>
  </si>
  <si>
    <t>Other non-current liabilities</t>
  </si>
  <si>
    <t>Non-current tax liabilities</t>
  </si>
  <si>
    <t>Total non-current liabilities</t>
  </si>
  <si>
    <t>Current liabilities</t>
  </si>
  <si>
    <t>Trade payables</t>
  </si>
  <si>
    <t>Other current liabilities</t>
  </si>
  <si>
    <t>Current tax liabilities</t>
  </si>
  <si>
    <t>Total current liabilities</t>
  </si>
  <si>
    <t>Liabilities linked to held-for-sale assets</t>
  </si>
  <si>
    <t>TOTAL EQUITY &amp; LIABILITIES</t>
  </si>
  <si>
    <t>Non-current assets</t>
  </si>
  <si>
    <t>Current assets</t>
  </si>
  <si>
    <t>Income</t>
  </si>
  <si>
    <t>Revenue from operations</t>
  </si>
  <si>
    <t>Other income</t>
  </si>
  <si>
    <t>Total Income</t>
  </si>
  <si>
    <t>Expenses</t>
  </si>
  <si>
    <t>Cost of materials consumed</t>
  </si>
  <si>
    <t>Purchases of stock-in-trade</t>
  </si>
  <si>
    <t>Changes in inventories</t>
  </si>
  <si>
    <t>Employee benefits expense</t>
  </si>
  <si>
    <t>Depreciation &amp; amortisation</t>
  </si>
  <si>
    <t>Other expenses</t>
  </si>
  <si>
    <t>Net (gain)/loss on forex</t>
  </si>
  <si>
    <t>Total Expenses</t>
  </si>
  <si>
    <t>Profit before exceptional items &amp; tax</t>
  </si>
  <si>
    <t>Exceptional items</t>
  </si>
  <si>
    <t>Profit before tax (PBT)</t>
  </si>
  <si>
    <t>Current tax</t>
  </si>
  <si>
    <t>Deferred tax</t>
  </si>
  <si>
    <t>Deferred tax (exceptional)</t>
  </si>
  <si>
    <t>Total Tax Expense</t>
  </si>
  <si>
    <t>STATEMENT OF PROFIT &amp; LOSS</t>
  </si>
  <si>
    <t>Profit for the year</t>
  </si>
  <si>
    <t>Tax Expense</t>
  </si>
  <si>
    <t>BALANCE SHEET</t>
  </si>
  <si>
    <t>A. Cash Flow from Operating Activities</t>
  </si>
  <si>
    <t>Interest &amp; dividend income (net)</t>
  </si>
  <si>
    <t>Other adjustments (net)</t>
  </si>
  <si>
    <t>Operating profit before WC changes</t>
  </si>
  <si>
    <t>Working Capital Changes</t>
  </si>
  <si>
    <t>Other assets</t>
  </si>
  <si>
    <t>Other liabilities</t>
  </si>
  <si>
    <t>Cash from operations</t>
  </si>
  <si>
    <t>Tax paid (net)</t>
  </si>
  <si>
    <t>Net Cash from Operating (A)</t>
  </si>
  <si>
    <t>B. Cash Flow from Investing Activities</t>
  </si>
  <si>
    <t>Investments (net)</t>
  </si>
  <si>
    <t>Interest &amp; dividend received</t>
  </si>
  <si>
    <t>Other investing flows</t>
  </si>
  <si>
    <t>Net Cash from Investing (B)</t>
  </si>
  <si>
    <t>C. Cash Flow from Financing Activities</t>
  </si>
  <si>
    <t>Borrowings (net)</t>
  </si>
  <si>
    <t>Lease payments</t>
  </si>
  <si>
    <t>Buyback / NCI</t>
  </si>
  <si>
    <t>Other financing flows</t>
  </si>
  <si>
    <t>Net Cash from Financing (C)</t>
  </si>
  <si>
    <t>Net Cash Movement</t>
  </si>
  <si>
    <t>Net increase / (decrease)</t>
  </si>
  <si>
    <t>Opening cash</t>
  </si>
  <si>
    <t>Other adjustments</t>
  </si>
  <si>
    <t>Closing cash</t>
  </si>
  <si>
    <t>Purchase of PP&amp;E</t>
  </si>
  <si>
    <t>Sale of PP&amp;E</t>
  </si>
  <si>
    <t>Acquisition/Diaposal of subsidiary (net)</t>
  </si>
  <si>
    <t>CASH FLOW STATEMENT</t>
  </si>
  <si>
    <t>Less: Depreciation &amp; Ammotization</t>
  </si>
  <si>
    <t>Cash and cash equivalents</t>
  </si>
  <si>
    <t>Bank balances (other than above)</t>
  </si>
  <si>
    <t>Other financial assets</t>
  </si>
  <si>
    <t>Loans &amp; Advances</t>
  </si>
  <si>
    <t>Trade Receivables</t>
  </si>
  <si>
    <t>Sun Pharma Returns</t>
  </si>
  <si>
    <t>Market Return</t>
  </si>
  <si>
    <t>Weighted Average Cost of Capital</t>
  </si>
  <si>
    <t>Peer Comps</t>
  </si>
  <si>
    <t>Debt/</t>
  </si>
  <si>
    <t>Levered</t>
  </si>
  <si>
    <t xml:space="preserve">Unlevered </t>
  </si>
  <si>
    <t>Name of the Comp</t>
  </si>
  <si>
    <t>Capital</t>
  </si>
  <si>
    <t>Pre Tax Cost of Debt</t>
  </si>
  <si>
    <t>Risk Free Rate</t>
  </si>
  <si>
    <t>Equity Risk Premium</t>
  </si>
  <si>
    <t>Post Tax Cost of Debt</t>
  </si>
  <si>
    <t>Capital Structure</t>
  </si>
  <si>
    <t>Levered Beta</t>
  </si>
  <si>
    <t>Target</t>
  </si>
  <si>
    <t>Market Capitalisation</t>
  </si>
  <si>
    <t>Total Capital</t>
  </si>
  <si>
    <t>Notes</t>
  </si>
  <si>
    <t>Mar Cap Rs.Cr.</t>
  </si>
  <si>
    <t>EV Rs.Cr.</t>
  </si>
  <si>
    <t>EV / EBITDA</t>
  </si>
  <si>
    <t>Sun Pharma.Inds.</t>
  </si>
  <si>
    <t>Lupin</t>
  </si>
  <si>
    <t>Cipla</t>
  </si>
  <si>
    <t xml:space="preserve">Tax </t>
  </si>
  <si>
    <t>PAT</t>
  </si>
  <si>
    <t>PBT</t>
  </si>
  <si>
    <t xml:space="preserve">Beta </t>
  </si>
  <si>
    <t>DIVISLAB</t>
  </si>
  <si>
    <t>TORNTPHARM</t>
  </si>
  <si>
    <t>LUPIN</t>
  </si>
  <si>
    <t>CIPLA</t>
  </si>
  <si>
    <t>DRREDDY</t>
  </si>
  <si>
    <t>ZYDUSLIFE</t>
  </si>
  <si>
    <t>(Amounts in ₹MM unless otherwise stated)</t>
  </si>
  <si>
    <t>Equity Market Returns</t>
  </si>
  <si>
    <t>(Source: Screener.in, Yahoo Finance, Trading Economics )</t>
  </si>
  <si>
    <t>Divi's Laboratories</t>
  </si>
  <si>
    <t>Torrent Pharmaceuticals</t>
  </si>
  <si>
    <t>Zydus Lifesciences</t>
  </si>
  <si>
    <t>Dr Reddy's Laboratories</t>
  </si>
  <si>
    <t>1. Unlevered Beta = Levered Beta/(1+(1-Tax Rate)*Debt/Equity</t>
  </si>
  <si>
    <t>2. Levered Beta = Unlevered Beta*(1+(1-Tax Rate)*Debt/Equity</t>
  </si>
  <si>
    <t>Regression Beta</t>
  </si>
  <si>
    <t>(Source: Investing.com)</t>
  </si>
  <si>
    <t>Less:Cost of Goods Sold</t>
  </si>
  <si>
    <t>Less:Employee Cost</t>
  </si>
  <si>
    <t xml:space="preserve">Less:Selling, Admin &amp; Other Expenses </t>
  </si>
  <si>
    <t>Less:Depreciation</t>
  </si>
  <si>
    <t>Less:Tax</t>
  </si>
  <si>
    <t>Target Price</t>
  </si>
  <si>
    <t>Current Price</t>
  </si>
  <si>
    <t>Potential</t>
  </si>
  <si>
    <t>Recommendation</t>
  </si>
  <si>
    <t>(Source:Annual Report)</t>
  </si>
  <si>
    <t>Sales Growth (y-o-y increase)</t>
  </si>
  <si>
    <t>Tapering</t>
  </si>
  <si>
    <t>Time Period</t>
  </si>
  <si>
    <t>Sun Pharmaceuticals Comparable Valuation</t>
  </si>
  <si>
    <t>SENSITIVITY ANALYSIS</t>
  </si>
  <si>
    <t>Football Field Data</t>
  </si>
  <si>
    <t>Market</t>
  </si>
  <si>
    <t>Comps</t>
  </si>
  <si>
    <t>DCF</t>
  </si>
  <si>
    <t>52-week hi/low</t>
  </si>
  <si>
    <t>High</t>
  </si>
  <si>
    <t>Low</t>
  </si>
  <si>
    <t>Valuation Summary</t>
  </si>
  <si>
    <t xml:space="preserve"> =</t>
  </si>
  <si>
    <t>Consensus</t>
  </si>
  <si>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market.It is the largest pharmaceutical company in India.</t>
  </si>
  <si>
    <t>Return on Assets</t>
  </si>
  <si>
    <t>Return on Equity</t>
  </si>
  <si>
    <t>Net Profit Margin</t>
  </si>
  <si>
    <t>Trends</t>
  </si>
  <si>
    <t>Mean</t>
  </si>
  <si>
    <t>Gross Margin</t>
  </si>
  <si>
    <t>EBITDA Margin</t>
  </si>
  <si>
    <t>EBIT Margin</t>
  </si>
  <si>
    <t>EBT Margin</t>
  </si>
  <si>
    <t>Interest Coverage Ratio</t>
  </si>
  <si>
    <t xml:space="preserve">Debtor Turnover Ratio </t>
  </si>
  <si>
    <t xml:space="preserve">Creditor Turnover Ratio </t>
  </si>
  <si>
    <t xml:space="preserve">Inventory Turnover Ratio </t>
  </si>
  <si>
    <t>Capital Turnover Ratio</t>
  </si>
  <si>
    <t>Return on Capital Employed</t>
  </si>
  <si>
    <t>Profitability Ratios</t>
  </si>
  <si>
    <t>Efficiency/ Turnover Ratios</t>
  </si>
  <si>
    <t>Liquidity &amp; Solvency Ratios</t>
  </si>
  <si>
    <t>Current Ratio</t>
  </si>
  <si>
    <t>Quick Ratio</t>
  </si>
  <si>
    <t>Cash Ratio</t>
  </si>
  <si>
    <t>Debt to equity ratio</t>
  </si>
  <si>
    <t>Less:Debt &amp; Minority Interest</t>
  </si>
  <si>
    <t>Add: Cash &amp; other Financial asset</t>
  </si>
  <si>
    <t>Yearfrac</t>
  </si>
  <si>
    <t>Company Description</t>
  </si>
  <si>
    <t>ISIN Code</t>
  </si>
  <si>
    <t>Sector Name</t>
  </si>
  <si>
    <t>Industry</t>
  </si>
  <si>
    <t>Exchange Name</t>
  </si>
  <si>
    <t>Website</t>
  </si>
  <si>
    <t>Current Market Price</t>
  </si>
  <si>
    <t>Scenario</t>
  </si>
  <si>
    <t>Case</t>
  </si>
  <si>
    <t>Base case</t>
  </si>
  <si>
    <t>Company data</t>
  </si>
  <si>
    <t>Amount</t>
  </si>
  <si>
    <t>No of Outstanding shares</t>
  </si>
  <si>
    <t>Nos</t>
  </si>
  <si>
    <t>Face Value per share</t>
  </si>
  <si>
    <t>Rs.</t>
  </si>
  <si>
    <t>INR in crs</t>
  </si>
  <si>
    <t>Assumptions</t>
  </si>
  <si>
    <t>%</t>
  </si>
  <si>
    <t>Increase in Sales volume growth rate</t>
  </si>
  <si>
    <t>Perpetual Growth rate</t>
  </si>
  <si>
    <t>10 year Bond yield rate</t>
  </si>
  <si>
    <t>Interest rate</t>
  </si>
  <si>
    <t>Company Sales volume data</t>
  </si>
  <si>
    <t>Revenue in Crs</t>
  </si>
  <si>
    <t>Sheet</t>
  </si>
  <si>
    <t>Revenue Buildup</t>
  </si>
  <si>
    <t>Income Statement</t>
  </si>
  <si>
    <t>Balance Sheet</t>
  </si>
  <si>
    <t>Sun Pharmaceutical Industries Ltd</t>
  </si>
  <si>
    <t>INE044A01036</t>
  </si>
  <si>
    <t>hhttps://sunpharma.com/</t>
  </si>
  <si>
    <t>BSE: 524715, NSE: SUNPHARMA</t>
  </si>
  <si>
    <t>Interpretation of ratios (As per Base Case)</t>
  </si>
  <si>
    <t>Share of (loss)/gain of associates or JV</t>
  </si>
  <si>
    <t>Share of (loss)/gain of associates or JV (% of sales)</t>
  </si>
  <si>
    <t>Reserves</t>
  </si>
  <si>
    <t xml:space="preserve">DCF Analysis </t>
  </si>
  <si>
    <t>Equity Beta</t>
  </si>
  <si>
    <t>Ratio Analysis</t>
  </si>
  <si>
    <t>Summary</t>
  </si>
  <si>
    <t>The company’s 10-year share price movement has been compared with the one-year Nifty 50 index performance to calculate the company’s beta.</t>
  </si>
  <si>
    <t>NIFTY 50 Returns (10 years)</t>
  </si>
  <si>
    <t>Healthcare</t>
  </si>
  <si>
    <t>Calculation of Terminal Value (GGM)</t>
  </si>
  <si>
    <t>Calculation of Terminal Value (EV/EBITDA)</t>
  </si>
  <si>
    <t>Exit Multiple</t>
  </si>
  <si>
    <t>(Source: Investing.com )</t>
  </si>
  <si>
    <t>Nifty 50 Returns</t>
  </si>
  <si>
    <t>Pharmaceutical</t>
  </si>
  <si>
    <t>Cash and Cash equivalents are forecasted in Cash Flow Statement</t>
  </si>
  <si>
    <t>Finance costs have been forecasted as a % of the sum of long-term and short-term borrowings using the latest year’s percentage.</t>
  </si>
  <si>
    <t>Other Income has been forecasted as the average % of sales of the last three years, while the share of profit/loss from associates and joint ventures has been forecasted using the average % of the last five years.</t>
  </si>
  <si>
    <t>Reserves have been forecasted based on the previous year’s reserves, after adding retained earnings generated from net profit after dividend distribution.</t>
  </si>
  <si>
    <t>All other assets and liabilities have been assumed to remain constant over the forecast period.</t>
  </si>
  <si>
    <t>The terminal value has been estimated using the FCFF of the final forecasted year and applying the Gordon Growth Model to the free cash flow.</t>
  </si>
  <si>
    <t>The Buy and Ignore recommendation is based on a comparison between the Target Price and CMP. If the Target Price is lower than the CMP, the recommendation is “Ignore”; otherwise, it is “Buy.”</t>
  </si>
  <si>
    <t>Sensitivity Analysis has been conducted to evaluate the impact of changes in key assumptions on the target price derived from the DCF model. The analysis considers variations in WACC and Terminal Growth Rate.</t>
  </si>
  <si>
    <t>Median valuation multiples have been used to derive the company’s relative valuation, ensuring consistency and comparability across peers.</t>
  </si>
  <si>
    <t>The target capital structure and calculated beta have been used to determine the company’s WACC.</t>
  </si>
  <si>
    <t>Market return has been derived using the long-term average returns of the Nifty 50 over the last 10 years and calculated using the 10-year CAGR.</t>
  </si>
  <si>
    <t>Ratio interpretations are based on the Base Case figures. However, when assumptions are adjusted for bull or worst case scenarios, the interpreted figures may vary accordingly to reflect the impact of those scenarios.</t>
  </si>
  <si>
    <t>A football field chart has been prepared to summarize the valuation by illustrating four key perspectives: Comparable Company Valuation, 52-Week High-Low Range, DCF Valuation, and Market Consensus, providing a comprehensive view of the company’s valuation range.</t>
  </si>
  <si>
    <t>Change in Working Capital</t>
  </si>
  <si>
    <t>PPE has been calculated as per its schedule, while Trade Receivables have been forecasted as the average % of sales of historical years, and Inventories and Trade Payables have been forecasted as a % of COGS of historical years.</t>
  </si>
  <si>
    <t>(Source: NSE India, Screener)</t>
  </si>
  <si>
    <t>Comparable Valuation</t>
  </si>
  <si>
    <t>Dividend has been forecasted using the  average percentage of last 3 years and then multiply that percentage with current PAT.</t>
  </si>
  <si>
    <t>Pharma sector growth rate (25-30)</t>
  </si>
  <si>
    <t>Revenue is increasing by 10% (base case) from 2025 to 2030 (according to IBEF ) after that the growth rate is tapered by 12.25% every year till 2035 when it reaches to 4% perpetual growth rate.</t>
  </si>
  <si>
    <t>Bull case growth rate is taken as +5% of base case and worst case growth rate is taken as -5% of base case.</t>
  </si>
  <si>
    <t>All costs except finance costs, tax, and depreciation have been forecasted as a % of Total Revenue and using the average percantage of historical years for forecasting.</t>
  </si>
  <si>
    <t xml:space="preserve">The Gross Margin showed an overall improving trend during the historical period, increasing from 74.06% in Mar-21 to a peak of 79.56% in Mar-25 before stabilising around 76.11% during forecast period (Mar-26 to Mar-35). The initial improvement indicates efficient management of direct operating costs. The subsequent stabilisation suggests that the company has reached a mature operating stage where cost efficiencies are expected to remain relatively constant. At around 76.11%, the margin indicaes a healthy and sustainable profitability structure in the long term.
</t>
  </si>
  <si>
    <t>The EBITDA Margin shows an increasing trend from 25.28%  in Mar-21 to a peak of 28.69% Mar-25 and then stablised to 26.82% in the forecasted period. The initial improvement indicates better operational efficiency and stronger earnings generation from core business activities. The forecast suggests that the margin will remain stable at around 26.82%, reflecting consistent cost management and sustainable operating performance for a pharma business. The stable trend indicates that the company is expected to maintain healthy profitability in the long term.</t>
  </si>
  <si>
    <t>The Debt to Equity Ratio remained extremely low during the historical and forecast period, ranging between 0.00x and 0.01x, indicating negligible reliance on external borrowings. The consistently low ratio reflects a highly conservative capital structure supported primarily through equity and internal accruals. The stable trend suggests strong financial stability and minimal leverage risk in the long term.</t>
  </si>
  <si>
    <t>DCF Base Case Price (1503.43)</t>
  </si>
  <si>
    <t>CMP (1840.00)</t>
  </si>
  <si>
    <t>Depreciation and ammortization has been forecasted by using latest deprecaiation on Fixed Assets and the increasing it by 1% and then increasing by 1% once after every 2 years.</t>
  </si>
  <si>
    <t>Tax expense has been forecasted by increasing the effective tax rate (calculated as a % of PBT) by 1% and then increase by 1% after every 2 years.</t>
  </si>
  <si>
    <t>The EBIT Margin showing an increasing trend from 19.07% in Mar-21 to 23.79% in Mar-25, reflecting stronger operational profitability and improved control over operating expenses. The forecast indicates a gradual upward movement from 22.18% in Mar-26 to 23.57% in Mar-35, suggesting that operating costs are expected to grow at a slower pace than revenue. The gradual increase reflects improved operational efficiency and economies of scale. At 23.57%, the margin indicates strong earnings generation capability and a sustainable operating structure.</t>
  </si>
  <si>
    <t xml:space="preserve">The EBT Margin showing a significant improving trend during the historical period, rising from 8.36% in Mar-21 to 26.16% in Mar-25, indicating enhanced profitability before taxation and financing adjustments. The improvement suggests better operational performance coupled with lower financial burden. The forecast indicates a gradual rise from 23.71% in Mar-26 to 25.18% in Mar-35, suggesting stable growth in profitability and controlled financial expenses. At approximately 25.18%, the ratio reflects a healthy earnings profile and a sustainable profit generation capacity.
</t>
  </si>
  <si>
    <t>The Net Profit Margin showed strong improvement during the historical period, increasing from 6.78% in Mar-21 to 20.85% in Mar-25 and then decreased to 18.82% in Mar-26. The increase reflects strengthening profitability and better cost efficiency, while the moderation suggests normalisation following a period of strong earnings growth. The projected trend indicates gradual stabilisation around 18–20%, suggesting that profitability is expected to remain consistent over time. At around 19.78% in Mar-35, the ratio reflects a strong level of bottom-line profitability.</t>
  </si>
  <si>
    <t>The ROCE ratio displayed an improving trend initially, increasing from 12.40% in Mar-21 to 16.93% in Mar-25, indicating better utilisation of capital resources to generate earnings. However, the ratio is projected to moderate gradually over the forecast period from 15.10% in Mar-26 then declining to approximately 11.11% in Mar-35. The decline indicates that capital employed may grow at a faster pace than operating returns as the company expands. Despite moderation, the ratio remains healthy and reflects efficient capital utilisation.</t>
  </si>
  <si>
    <t>The ROE ratio showed an improving trend initially, increasing from 7.18% in Mar-22 to 16.37% in Mar-22, indicating stronger returns generated on shareholders’ funds. However, the ratio is projected to moderate gradually over the forecast period from 13.71% in Mar-26 declinig to 9.74% in Mar-35. The decline indicates that the equity base may grow at a faster pace than net earnings as the company expands. Despite moderation, the ratio remains healthy and reflects sustainable shareholder returns.</t>
  </si>
  <si>
    <t>The ROA ratio showed an improving trend initially, increasing from 4.93% in Mar-22 to 12.35% in Mar-24, indicating better utilisation of assets to generate earnings. However, the ratio is projected to decline gradually over the forecast period from 10.83% in Mar-26 declines to 8.50% in Mar-35. The decline indicates that the asset base may grow at a faster pace than net earnings as the company expands. Despite moderation, the ratio remains healthy and reflects efficient asset utilisation.</t>
  </si>
  <si>
    <t>The Debtor Turnover Ratio showed a relatively improving trend from 3.93x in Mar-22 to 4.33x in Mar-24, indicating better collection efficiency and faster recovery of receivables. However, the ratio is projected to moderate gradually over the forecast period from 4.05x in Mar-26 to 3.93x in Mar-35. The decline indicates that receivables may grow at a faster pace than revenue as operations expand. Even though the ratio remains stable and reflects manageable collection efficiency.</t>
  </si>
  <si>
    <t>The Creditor Turnover Ratio showed a declining trend initially, decreasing from 2.45x in Mar-22 to 1.82x in Mar-25, indicating a relatively longer payment cycle towards suppliers. However, the ratio is projected to improve slightly at 2.05x in Mar-26 which is suggesting shorter payment period , but in declining trend till Mar-35 at 2.00x. The trend suggests balanced management of payables and healthy supplier relationships. Despite fluctuations, the ratio reflects sustainable working capital management.</t>
  </si>
  <si>
    <t>The Inventory Turnover Ratio slightly declined from 1.15x in Mar-22 to 1.07x in Mar-25. This movement indicates that inventory is stucked more days in 2025 than in 2021.But the ratio will slightly improve in Mar-26 at 1.16x after that it is forecasted to decline to 1.06x by Mar-35, suggesting efficient inventory utilisation and stable operational performance in the long term..</t>
  </si>
  <si>
    <t>The Fixed Asset Turnover Ratio showed a strong improving trend during the historical period, increasing from 3.75x in Mar-22 to 5.20x in Mar-25, indicating better utilisation of fixed assets to generate revenue. The ratio is further projected to improve significantly from 5.55x in Mar-26 to 8.22x in Mar-35. The increase indicates that revenue growth is expected to outpace additions in fixed assets, reflecting improved operational efficiency and stronger asset utilisation. Despite expansion, the ratio reflects healthy fixed asset productivity.</t>
  </si>
  <si>
    <t>The Capital Turnover Ratio showed a declining trend during the historical period, decreasing from 0.82x in Mar-22 to 0.77x in Mar-24, indicating lower efficiency in generating revenue from capital employed. The ratio is further projected to decline gradually from 0.73x in Mar-26 to 0.49x in Mar-35. The decline indicates that capital employed is expected to grow at a faster pace than revenue as the company expands its operations. Despite moderation, the ratio remains stable and reflects sustainable utilisation of capital resources in the long term.</t>
  </si>
  <si>
    <t>The Current Ratio showed a strong improving trend during the historical period, increasing from 1.89x in Mar-21 to 2.89x in Mar-25, indicating strengthening short term liquidity and improved ability to meet current obligations. The ratio is further projected to improve significantly from 3.23x in Mar-26 to 6.88x in Mar-35. The continuous increase indicates that current assets are expected to grow at a faster pace than current liabilities, reflecting a very strong liquidity position. At 6.88x, the ratio reflects an extremely comfortable short term financial position.</t>
  </si>
  <si>
    <t>The Quick Ratio demonstrated a continuous improving trend during the historical period, rising from 1.33x in Mar-21 to 2.33x in Mar-25, indicating improved availability of liquid assets to meet short term liabilities. The ratio is projected to increase further from 2.56x in Mar-26 to 6.06x in Mar-35. The continued rise indicates stronger liquidity management and reduced dependence on inventory for meeting obligations. At 6.06x, the ratio reflects a highly comfortable liquidity position.</t>
  </si>
  <si>
    <t>The Cash Ratio showed a strong improving trend during the historical period, increasing from 0.40x in Mar-21 to 0.62x in Mar-25, indicating growth in cash and cash equivalents relative to current liabilities. The ratio is projected to improve significantly from 0.84x in Mar-26 to 4.28x in Mar-35. The increase suggests strong cash accumulation and enhanced financial flexibility. At 4.28x, the ratio reflects a very strong cash position and minimal liquidity risk.</t>
  </si>
  <si>
    <t>The Interest Coverage Ratio showed a strong improving trend during the historical period, increasing from 45.17x in Mar-21 to 54.07x in Mar-25, indicating improved ability to meet interest obligations through operating earnings. The ratio is further projected to improve significantly from 80.54x in Mar-26 to 120.50x in Mar-35. The substantial increase indicates strong earnings growth relative to finance costs and reflects a highly comfortable debt servicing 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</si>
</sst>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1">
    <numFmt numFmtId="43" formatCode="_(* #,##0.00_);_(* \(#,##0.00\);_(* &quot;-&quot;??_);_(@_)"/>
    <numFmt numFmtId="164" formatCode="[$-409]mmm\-yy;@"/>
    <numFmt numFmtId="165" formatCode="#,##0.00;\(#,##0.00\);\-"/>
    <numFmt numFmtId="166" formatCode="0.0\x"/>
    <numFmt numFmtId="167" formatCode="0.00&quot;x&quot;"/>
    <numFmt numFmtId="168" formatCode="#,##0.0_);\(#,##0.0\)"/>
    <numFmt numFmtId="169" formatCode="#,##0.0"/>
    <numFmt numFmtId="170" formatCode="#,##0.000"/>
    <numFmt numFmtId="171" formatCode="#,##0.0;\(#,##0.0\);&quot;-&quot;"/>
    <numFmt numFmtId="172" formatCode="0.0"/>
    <numFmt numFmtId="173" formatCode="#,##0.00;\(#,##0.00\);&quot;-&quot;"/>
    <numFmt numFmtId="174" formatCode="&quot;₹&quot;\ #,##0.00;[Red]&quot;₹&quot;\ \-#,##0.00"/>
    <numFmt numFmtId="175" formatCode="&quot;₹&quot;\ #,##0.00"/>
    <numFmt numFmtId="176" formatCode="&quot;₹&quot;\ #,##0;[Red]&quot;₹&quot;\ \-#,##0"/>
    <numFmt numFmtId="177" formatCode="#,##0.00;\(#,##0.00\)\,&quot;-&quot;"/>
    <numFmt numFmtId="178" formatCode="#,##0.00;\(#,##0.00\)"/>
    <numFmt numFmtId="179" formatCode="&quot;DCF Base Case Price&quot;\ \(#,##0.00\);\(#,##0.00\);&quot;-&quot;"/>
    <numFmt numFmtId="180" formatCode="&quot;CMP&quot;\ \(#,##0.00\);\(#,##0.00\);&quot;-&quot;"/>
    <numFmt numFmtId="181" formatCode="_ * #,##0.00_ ;_ * \-#,##0.00_ ;_ * &quot;-&quot;??_ ;_ @_ "/>
    <numFmt numFmtId="182" formatCode="_ * #,##0_ ;_ * \-#,##0_ ;_ * &quot;-&quot;??_ ;_ @_ "/>
    <numFmt numFmtId="183" formatCode="[$-409]d/mmm/yy;@"/>
  </numFmts>
  <fonts count="52"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rgb="FF22222F"/>
      <name val="Calibri"/>
      <family val="2"/>
      <scheme val="minor"/>
    </font>
    <font>
      <sz val="9"/>
      <color indexed="81"/>
      <name val="Tahoma"/>
      <family val="2"/>
    </font>
    <font>
      <b/>
      <sz val="9"/>
      <color indexed="81"/>
      <name val="Tahoma"/>
      <family val="2"/>
    </font>
    <font>
      <i/>
      <sz val="11"/>
      <color theme="1"/>
      <name val="Calibri"/>
      <family val="2"/>
      <scheme val="minor"/>
    </font>
    <font>
      <sz val="11"/>
      <color rgb="FF0070C0"/>
      <name val="Calibri"/>
      <family val="2"/>
      <scheme val="minor"/>
    </font>
    <font>
      <sz val="11"/>
      <color theme="0"/>
      <name val="Calibri"/>
      <family val="2"/>
      <scheme val="minor"/>
    </font>
    <font>
      <i/>
      <sz val="9"/>
      <color theme="1"/>
      <name val="Calibri"/>
      <family val="2"/>
    </font>
    <font>
      <b/>
      <sz val="11"/>
      <color theme="1"/>
      <name val="Calibri"/>
      <family val="2"/>
    </font>
    <font>
      <sz val="14"/>
      <color theme="0"/>
      <name val="Calibri"/>
      <family val="2"/>
      <scheme val="minor"/>
    </font>
    <font>
      <b/>
      <sz val="12"/>
      <color theme="1"/>
      <name val="Calibri"/>
      <family val="2"/>
      <scheme val="minor"/>
    </font>
    <font>
      <b/>
      <sz val="14"/>
      <color theme="1"/>
      <name val="Calibri"/>
      <family val="2"/>
      <scheme val="minor"/>
    </font>
    <font>
      <i/>
      <sz val="11"/>
      <color rgb="FF7F7F7F"/>
      <name val="Calibri"/>
      <family val="2"/>
      <scheme val="minor"/>
    </font>
    <font>
      <sz val="11"/>
      <name val="Calibri"/>
      <family val="2"/>
      <scheme val="minor"/>
    </font>
    <font>
      <sz val="11"/>
      <color rgb="FF3333FF"/>
      <name val="Calibri"/>
      <family val="2"/>
    </font>
    <font>
      <sz val="11"/>
      <color theme="1"/>
      <name val="Calibri"/>
      <family val="2"/>
    </font>
    <font>
      <b/>
      <sz val="14"/>
      <color rgb="FFFFC000"/>
      <name val="Calibri"/>
      <family val="2"/>
    </font>
    <font>
      <b/>
      <sz val="11"/>
      <color rgb="FFFFC000"/>
      <name val="Calibri"/>
      <family val="2"/>
    </font>
    <font>
      <sz val="11"/>
      <color rgb="FFFFC000"/>
      <name val="Calibri"/>
      <family val="2"/>
      <scheme val="minor"/>
    </font>
    <font>
      <b/>
      <sz val="11"/>
      <name val="Calibri"/>
      <family val="2"/>
      <scheme val="minor"/>
    </font>
    <font>
      <u/>
      <sz val="11"/>
      <color theme="10"/>
      <name val="Calibri"/>
      <family val="2"/>
      <scheme val="minor"/>
    </font>
    <font>
      <b/>
      <sz val="11"/>
      <color rgb="FFFFC000"/>
      <name val="Calibri"/>
      <family val="2"/>
      <scheme val="minor"/>
    </font>
    <font>
      <b/>
      <i/>
      <sz val="11"/>
      <color rgb="FF7F7F7F"/>
      <name val="Calibri"/>
      <family val="2"/>
    </font>
    <font>
      <b/>
      <i/>
      <sz val="11"/>
      <color rgb="FF7F7F7F"/>
      <name val="Times New Roman"/>
      <family val="1"/>
    </font>
    <font>
      <sz val="24"/>
      <color rgb="FFFFC000"/>
      <name val="Times New Roman"/>
      <family val="1"/>
    </font>
    <font>
      <sz val="12"/>
      <color rgb="FFFFC000"/>
      <name val="Times New Roman"/>
      <family val="1"/>
    </font>
    <font>
      <b/>
      <sz val="12"/>
      <color rgb="FFFFC000"/>
      <name val="Times New Roman"/>
      <family val="1"/>
    </font>
    <font>
      <b/>
      <sz val="11"/>
      <color rgb="FF0070C0"/>
      <name val="Calibri"/>
      <family val="2"/>
      <scheme val="minor"/>
    </font>
    <font>
      <sz val="11"/>
      <color theme="4"/>
      <name val="Calibri"/>
      <family val="2"/>
    </font>
    <font>
      <sz val="11"/>
      <color theme="4"/>
      <name val="Calibri"/>
      <family val="2"/>
      <scheme val="minor"/>
    </font>
    <font>
      <b/>
      <sz val="14"/>
      <color rgb="FFFFC000"/>
      <name val="Calibri"/>
      <family val="2"/>
      <scheme val="minor"/>
    </font>
    <font>
      <b/>
      <sz val="12"/>
      <color rgb="FFFFC000"/>
      <name val="Calibri"/>
      <family val="2"/>
      <scheme val="minor"/>
    </font>
    <font>
      <sz val="12"/>
      <name val="Times New Roman"/>
      <family val="1"/>
    </font>
    <font>
      <b/>
      <sz val="12"/>
      <name val="Times New Roman"/>
      <family val="1"/>
    </font>
    <font>
      <sz val="12"/>
      <color theme="1"/>
      <name val="Times New Roman"/>
      <family val="1"/>
    </font>
    <font>
      <sz val="11"/>
      <color theme="8" tint="-0.249977111117893"/>
      <name val="Calibri"/>
      <family val="2"/>
    </font>
    <font>
      <sz val="11"/>
      <color theme="1"/>
      <name val="Times New Roman"/>
      <family val="1"/>
    </font>
    <font>
      <b/>
      <sz val="11"/>
      <color rgb="FFFFC000"/>
      <name val="Times New Roman"/>
      <family val="1"/>
    </font>
    <font>
      <b/>
      <sz val="11"/>
      <color theme="1"/>
      <name val="Calibri Light"/>
      <family val="1"/>
      <scheme val="major"/>
    </font>
    <font>
      <sz val="11"/>
      <color theme="1"/>
      <name val="Calibri Light"/>
      <family val="1"/>
      <scheme val="major"/>
    </font>
    <font>
      <u/>
      <sz val="12"/>
      <color theme="10"/>
      <name val="Calibri"/>
      <family val="2"/>
      <scheme val="minor"/>
    </font>
    <font>
      <i/>
      <sz val="11"/>
      <color theme="1"/>
      <name val="Calibri Light"/>
      <family val="1"/>
      <scheme val="major"/>
    </font>
    <font>
      <b/>
      <sz val="11"/>
      <color rgb="FFFFC000"/>
      <name val="Calibri Light"/>
      <family val="1"/>
      <scheme val="major"/>
    </font>
    <font>
      <b/>
      <sz val="11"/>
      <color rgb="FFFFC000"/>
      <name val="Calibri Light"/>
      <family val="2"/>
      <scheme val="major"/>
    </font>
    <font>
      <b/>
      <sz val="11"/>
      <color rgb="FF767676"/>
      <name val="Calibri"/>
      <family val="2"/>
      <scheme val="minor"/>
    </font>
    <font>
      <b/>
      <sz val="20"/>
      <color rgb="FFFFC000"/>
      <name val="Calibri"/>
      <family val="2"/>
      <scheme val="minor"/>
    </font>
    <font>
      <sz val="10"/>
      <color theme="1"/>
      <name val="Calibri"/>
      <family val="2"/>
      <scheme val="minor"/>
    </font>
    <font>
      <b/>
      <sz val="24"/>
      <color rgb="FFFFC000"/>
      <name val="Calibri"/>
      <family val="2"/>
      <scheme val="minor"/>
    </font>
    <font>
      <sz val="11"/>
      <color rgb="FFFFC000"/>
      <name val="Times New Roman"/>
      <family val="1"/>
    </font>
  </fonts>
  <fills count="10">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7" tint="0.79998168889431442"/>
        <bgColor indexed="64"/>
      </patternFill>
    </fill>
    <fill>
      <patternFill patternType="solid">
        <fgColor rgb="FFFBEED9"/>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FFC000"/>
        <bgColor indexed="64"/>
      </patternFill>
    </fill>
  </fills>
  <borders count="74">
    <border>
      <left/>
      <right/>
      <top/>
      <bottom/>
      <diagonal/>
    </border>
    <border>
      <left/>
      <right/>
      <top/>
      <bottom style="medium">
        <color indexed="64"/>
      </bottom>
      <diagonal/>
    </border>
    <border>
      <left/>
      <right/>
      <top style="medium">
        <color indexed="64"/>
      </top>
      <bottom style="thin">
        <color indexed="64"/>
      </bottom>
      <diagonal/>
    </border>
    <border>
      <left/>
      <right/>
      <top/>
      <bottom style="thin">
        <color auto="1"/>
      </bottom>
      <diagonal/>
    </border>
    <border>
      <left/>
      <right/>
      <top style="hair">
        <color auto="1"/>
      </top>
      <bottom/>
      <diagonal/>
    </border>
    <border>
      <left/>
      <right/>
      <top style="dashed">
        <color theme="7" tint="0.79998168889431442"/>
      </top>
      <bottom style="dashed">
        <color theme="7" tint="0.79998168889431442"/>
      </bottom>
      <diagonal/>
    </border>
    <border>
      <left/>
      <right/>
      <top style="dashed">
        <color rgb="FFFFC000"/>
      </top>
      <bottom style="dashed">
        <color rgb="FFFFC000"/>
      </bottom>
      <diagonal/>
    </border>
    <border>
      <left/>
      <right/>
      <top/>
      <bottom style="dashed">
        <color rgb="FFFFC000"/>
      </bottom>
      <diagonal/>
    </border>
    <border>
      <left/>
      <right/>
      <top/>
      <bottom style="thin">
        <color rgb="FFFFC000"/>
      </bottom>
      <diagonal/>
    </border>
    <border>
      <left/>
      <right/>
      <top style="thin">
        <color rgb="FFFFC000"/>
      </top>
      <bottom style="thin">
        <color rgb="FFFFC000"/>
      </bottom>
      <diagonal/>
    </border>
    <border>
      <left/>
      <right/>
      <top style="thin">
        <color rgb="FFFFC000"/>
      </top>
      <bottom/>
      <diagonal/>
    </border>
    <border>
      <left/>
      <right/>
      <top style="dashed">
        <color rgb="FFFFC000"/>
      </top>
      <bottom/>
      <diagonal/>
    </border>
    <border>
      <left style="dashed">
        <color rgb="FFFFC000"/>
      </left>
      <right style="dashed">
        <color rgb="FFFFC000"/>
      </right>
      <top style="dashed">
        <color rgb="FFFFC000"/>
      </top>
      <bottom style="dashed">
        <color rgb="FFFFC000"/>
      </bottom>
      <diagonal/>
    </border>
    <border>
      <left style="dashed">
        <color rgb="FFFFC000"/>
      </left>
      <right/>
      <top style="dashed">
        <color rgb="FFFFC000"/>
      </top>
      <bottom style="dashed">
        <color rgb="FFFFC000"/>
      </bottom>
      <diagonal/>
    </border>
    <border>
      <left/>
      <right style="dashed">
        <color rgb="FFFFC000"/>
      </right>
      <top style="dashed">
        <color rgb="FFFFC000"/>
      </top>
      <bottom style="dashed">
        <color rgb="FFFFC000"/>
      </bottom>
      <diagonal/>
    </border>
    <border>
      <left style="dashed">
        <color rgb="FFFFC000"/>
      </left>
      <right style="dashed">
        <color rgb="FFFFC000"/>
      </right>
      <top style="dashed">
        <color rgb="FFFFC000"/>
      </top>
      <bottom/>
      <diagonal/>
    </border>
    <border>
      <left/>
      <right/>
      <top style="dashed">
        <color rgb="FFFFC000"/>
      </top>
      <bottom style="medium">
        <color rgb="FFFFC000"/>
      </bottom>
      <diagonal/>
    </border>
    <border>
      <left/>
      <right/>
      <top style="thin">
        <color rgb="FFFFC000"/>
      </top>
      <bottom style="medium">
        <color rgb="FFFFC000"/>
      </bottom>
      <diagonal/>
    </border>
    <border>
      <left/>
      <right/>
      <top/>
      <bottom style="medium">
        <color rgb="FFFFC000"/>
      </bottom>
      <diagonal/>
    </border>
    <border>
      <left/>
      <right/>
      <top style="dashed">
        <color rgb="FFFFC000"/>
      </top>
      <bottom style="thin">
        <color rgb="FFFFC000"/>
      </bottom>
      <diagonal/>
    </border>
    <border>
      <left style="thin">
        <color rgb="FFFFC000"/>
      </left>
      <right style="thin">
        <color rgb="FFFFC000"/>
      </right>
      <top style="thin">
        <color rgb="FFFFC000"/>
      </top>
      <bottom style="thin">
        <color rgb="FFFFC000"/>
      </bottom>
      <diagonal/>
    </border>
    <border>
      <left/>
      <right style="thin">
        <color rgb="FFFFC000"/>
      </right>
      <top style="thin">
        <color rgb="FFFFC000"/>
      </top>
      <bottom style="thin">
        <color rgb="FFFFC000"/>
      </bottom>
      <diagonal/>
    </border>
    <border>
      <left style="thin">
        <color rgb="FFFFC000"/>
      </left>
      <right/>
      <top style="thin">
        <color rgb="FFFFC000"/>
      </top>
      <bottom style="thin">
        <color rgb="FFFFC000"/>
      </bottom>
      <diagonal/>
    </border>
    <border>
      <left style="thin">
        <color rgb="FFFFC000"/>
      </left>
      <right/>
      <top style="thin">
        <color rgb="FFFFC000"/>
      </top>
      <bottom/>
      <diagonal/>
    </border>
    <border>
      <left/>
      <right style="thin">
        <color rgb="FFFFC000"/>
      </right>
      <top style="thin">
        <color rgb="FFFFC000"/>
      </top>
      <bottom/>
      <diagonal/>
    </border>
    <border>
      <left style="thin">
        <color rgb="FFFFC000"/>
      </left>
      <right style="thin">
        <color rgb="FFFFC000"/>
      </right>
      <top style="thin">
        <color rgb="FFFFC000"/>
      </top>
      <bottom/>
      <diagonal/>
    </border>
    <border>
      <left style="thin">
        <color rgb="FFFFC000"/>
      </left>
      <right style="dashed">
        <color rgb="FFFFC000"/>
      </right>
      <top style="dashed">
        <color rgb="FFFFC000"/>
      </top>
      <bottom style="dashed">
        <color rgb="FFFFC000"/>
      </bottom>
      <diagonal/>
    </border>
    <border>
      <left style="thin">
        <color rgb="FFFFC000"/>
      </left>
      <right style="thin">
        <color rgb="FFFFC000"/>
      </right>
      <top style="dashed">
        <color rgb="FFFFC000"/>
      </top>
      <bottom style="dashed">
        <color rgb="FFFFC000"/>
      </bottom>
      <diagonal/>
    </border>
    <border>
      <left style="dashed">
        <color rgb="FFFFC000"/>
      </left>
      <right/>
      <top style="dashed">
        <color rgb="FFFFC000"/>
      </top>
      <bottom/>
      <diagonal/>
    </border>
    <border>
      <left style="thin">
        <color rgb="FFFFC000"/>
      </left>
      <right style="thin">
        <color rgb="FFFFC000"/>
      </right>
      <top style="dashed">
        <color rgb="FFFFC000"/>
      </top>
      <bottom/>
      <diagonal/>
    </border>
    <border>
      <left style="thin">
        <color rgb="FFFFC000"/>
      </left>
      <right style="dashed">
        <color rgb="FFFFC000"/>
      </right>
      <top style="dashed">
        <color rgb="FFFFC000"/>
      </top>
      <bottom/>
      <diagonal/>
    </border>
    <border>
      <left style="dashed">
        <color rgb="FFFFC000"/>
      </left>
      <right/>
      <top style="thin">
        <color rgb="FFFFC000"/>
      </top>
      <bottom style="medium">
        <color rgb="FFFFC000"/>
      </bottom>
      <diagonal/>
    </border>
    <border>
      <left style="thin">
        <color rgb="FFFFC000"/>
      </left>
      <right style="thin">
        <color rgb="FFFFC000"/>
      </right>
      <top style="thin">
        <color rgb="FFFFC000"/>
      </top>
      <bottom style="medium">
        <color rgb="FFFFC000"/>
      </bottom>
      <diagonal/>
    </border>
    <border>
      <left style="dashed">
        <color rgb="FFFFC000"/>
      </left>
      <right/>
      <top style="medium">
        <color rgb="FFFFC000"/>
      </top>
      <bottom style="thick">
        <color rgb="FFFFC000"/>
      </bottom>
      <diagonal/>
    </border>
    <border>
      <left/>
      <right/>
      <top style="medium">
        <color rgb="FFFFC000"/>
      </top>
      <bottom style="thick">
        <color rgb="FFFFC000"/>
      </bottom>
      <diagonal/>
    </border>
    <border>
      <left style="thin">
        <color rgb="FFFFC000"/>
      </left>
      <right style="thin">
        <color rgb="FFFFC000"/>
      </right>
      <top style="medium">
        <color rgb="FFFFC000"/>
      </top>
      <bottom style="thick">
        <color rgb="FFFFC000"/>
      </bottom>
      <diagonal/>
    </border>
    <border>
      <left style="dashed">
        <color rgb="FFFFC000"/>
      </left>
      <right/>
      <top style="medium">
        <color rgb="FFFFC000"/>
      </top>
      <bottom style="dashed">
        <color rgb="FFFFC000"/>
      </bottom>
      <diagonal/>
    </border>
    <border>
      <left/>
      <right/>
      <top style="medium">
        <color rgb="FFFFC000"/>
      </top>
      <bottom style="dashed">
        <color rgb="FFFFC000"/>
      </bottom>
      <diagonal/>
    </border>
    <border>
      <left style="thin">
        <color rgb="FFFFC000"/>
      </left>
      <right style="thin">
        <color rgb="FFFFC000"/>
      </right>
      <top style="medium">
        <color rgb="FFFFC000"/>
      </top>
      <bottom style="dashed">
        <color rgb="FFFFC000"/>
      </bottom>
      <diagonal/>
    </border>
    <border>
      <left style="dashed">
        <color rgb="FFFFC000"/>
      </left>
      <right/>
      <top/>
      <bottom/>
      <diagonal/>
    </border>
    <border>
      <left style="thin">
        <color rgb="FFFFC000"/>
      </left>
      <right style="thin">
        <color rgb="FFFFC000"/>
      </right>
      <top/>
      <bottom/>
      <diagonal/>
    </border>
    <border>
      <left style="thin">
        <color rgb="FFFFC000"/>
      </left>
      <right style="dashed">
        <color rgb="FFFFC000"/>
      </right>
      <top/>
      <bottom/>
      <diagonal/>
    </border>
    <border>
      <left style="thin">
        <color rgb="FFFFC000"/>
      </left>
      <right/>
      <top/>
      <bottom style="thin">
        <color rgb="FFFFC000"/>
      </bottom>
      <diagonal/>
    </border>
    <border>
      <left/>
      <right style="thin">
        <color rgb="FFFFC000"/>
      </right>
      <top/>
      <bottom style="thin">
        <color rgb="FFFFC000"/>
      </bottom>
      <diagonal/>
    </border>
    <border>
      <left style="thin">
        <color rgb="FFFFC000"/>
      </left>
      <right/>
      <top style="medium">
        <color rgb="FFFFC000"/>
      </top>
      <bottom style="thick">
        <color rgb="FFFFC000"/>
      </bottom>
      <diagonal/>
    </border>
    <border>
      <left style="thin">
        <color rgb="FFFFC000"/>
      </left>
      <right/>
      <top/>
      <bottom/>
      <diagonal/>
    </border>
    <border>
      <left/>
      <right style="thin">
        <color rgb="FFFFC000"/>
      </right>
      <top style="medium">
        <color rgb="FFFFC000"/>
      </top>
      <bottom style="thick">
        <color rgb="FFFFC000"/>
      </bottom>
      <diagonal/>
    </border>
    <border>
      <left style="thin">
        <color rgb="FFFFC000"/>
      </left>
      <right/>
      <top style="medium">
        <color rgb="FFFFC000"/>
      </top>
      <bottom style="thin">
        <color rgb="FFFFC000"/>
      </bottom>
      <diagonal/>
    </border>
    <border>
      <left style="thin">
        <color rgb="FFFFC000"/>
      </left>
      <right/>
      <top style="thick">
        <color rgb="FFFFC000"/>
      </top>
      <bottom style="thin">
        <color rgb="FFFFC000"/>
      </bottom>
      <diagonal/>
    </border>
    <border>
      <left/>
      <right/>
      <top style="thick">
        <color rgb="FFFFC000"/>
      </top>
      <bottom style="thin">
        <color rgb="FFFFC000"/>
      </bottom>
      <diagonal/>
    </border>
    <border>
      <left/>
      <right style="thin">
        <color rgb="FFFFC000"/>
      </right>
      <top style="thick">
        <color rgb="FFFFC000"/>
      </top>
      <bottom style="thin">
        <color rgb="FFFFC000"/>
      </bottom>
      <diagonal/>
    </border>
    <border>
      <left style="thin">
        <color rgb="FFFFC000"/>
      </left>
      <right style="thin">
        <color rgb="FFFFC000"/>
      </right>
      <top/>
      <bottom style="thin">
        <color rgb="FFFFC000"/>
      </bottom>
      <diagonal/>
    </border>
    <border>
      <left/>
      <right style="thin">
        <color rgb="FFFFC000"/>
      </right>
      <top/>
      <bottom/>
      <diagonal/>
    </border>
    <border>
      <left style="thin">
        <color rgb="FFFFC000"/>
      </left>
      <right style="thin">
        <color rgb="FFFFC000"/>
      </right>
      <top style="medium">
        <color rgb="FFFFC000"/>
      </top>
      <bottom style="thin">
        <color rgb="FFFFC000"/>
      </bottom>
      <diagonal/>
    </border>
    <border>
      <left style="thin">
        <color rgb="FFFFC000"/>
      </left>
      <right/>
      <top style="thick">
        <color rgb="FFFFC000"/>
      </top>
      <bottom style="medium">
        <color rgb="FFFFC000"/>
      </bottom>
      <diagonal/>
    </border>
    <border>
      <left/>
      <right/>
      <top style="thick">
        <color rgb="FFFFC000"/>
      </top>
      <bottom style="medium">
        <color rgb="FFFFC000"/>
      </bottom>
      <diagonal/>
    </border>
    <border>
      <left/>
      <right style="thin">
        <color rgb="FFFFC000"/>
      </right>
      <top style="thick">
        <color rgb="FFFFC000"/>
      </top>
      <bottom style="medium">
        <color rgb="FFFFC000"/>
      </bottom>
      <diagonal/>
    </border>
    <border>
      <left/>
      <right style="dashed">
        <color rgb="FFFFC000"/>
      </right>
      <top style="medium">
        <color rgb="FFFFC000"/>
      </top>
      <bottom style="dashed">
        <color rgb="FFFFC000"/>
      </bottom>
      <diagonal/>
    </border>
    <border>
      <left style="thin">
        <color rgb="FFFFC000"/>
      </left>
      <right style="thin">
        <color rgb="FFFFC000"/>
      </right>
      <top style="medium">
        <color rgb="FFFFC000"/>
      </top>
      <bottom style="medium">
        <color rgb="FFFFC000"/>
      </bottom>
      <diagonal/>
    </border>
    <border>
      <left style="thin">
        <color rgb="FFFFC000"/>
      </left>
      <right/>
      <top style="medium">
        <color rgb="FFFFC000"/>
      </top>
      <bottom style="medium">
        <color rgb="FFFFC000"/>
      </bottom>
      <diagonal/>
    </border>
    <border>
      <left/>
      <right style="thin">
        <color rgb="FFFFC000"/>
      </right>
      <top style="medium">
        <color rgb="FFFFC000"/>
      </top>
      <bottom style="medium">
        <color rgb="FFFFC000"/>
      </bottom>
      <diagonal/>
    </border>
    <border>
      <left/>
      <right style="thin">
        <color rgb="FFFFC000"/>
      </right>
      <top style="medium">
        <color rgb="FFFFC000"/>
      </top>
      <bottom style="thin">
        <color rgb="FFFFC000"/>
      </bottom>
      <diagonal/>
    </border>
    <border>
      <left/>
      <right/>
      <top style="medium">
        <color rgb="FFFFC000"/>
      </top>
      <bottom style="thin">
        <color rgb="FFFFC000"/>
      </bottom>
      <diagonal/>
    </border>
    <border>
      <left/>
      <right/>
      <top style="medium">
        <color rgb="FFFFC000"/>
      </top>
      <bottom style="medium">
        <color rgb="FFFFC000"/>
      </bottom>
      <diagonal/>
    </border>
    <border>
      <left/>
      <right/>
      <top style="dashed">
        <color theme="7" tint="0.79998168889431442"/>
      </top>
      <bottom/>
      <diagonal/>
    </border>
    <border>
      <left/>
      <right/>
      <top/>
      <bottom style="dashed">
        <color theme="7" tint="0.79998168889431442"/>
      </bottom>
      <diagonal/>
    </border>
    <border>
      <left style="thin">
        <color rgb="FFFFC000"/>
      </left>
      <right style="thin">
        <color indexed="64"/>
      </right>
      <top style="thin">
        <color rgb="FFFFC000"/>
      </top>
      <bottom style="thin">
        <color rgb="FFFFC000"/>
      </bottom>
      <diagonal/>
    </border>
    <border>
      <left style="thin">
        <color indexed="64"/>
      </left>
      <right style="thin">
        <color indexed="64"/>
      </right>
      <top style="thin">
        <color rgb="FFFFC000"/>
      </top>
      <bottom style="thin">
        <color rgb="FFFFC000"/>
      </bottom>
      <diagonal/>
    </border>
    <border>
      <left style="thin">
        <color indexed="64"/>
      </left>
      <right style="thin">
        <color rgb="FFFFC000"/>
      </right>
      <top style="thin">
        <color rgb="FFFFC000"/>
      </top>
      <bottom style="thin">
        <color rgb="FFFFC000"/>
      </bottom>
      <diagonal/>
    </border>
    <border>
      <left style="dashed">
        <color rgb="FFFFC000"/>
      </left>
      <right style="dashed">
        <color rgb="FFFFC000"/>
      </right>
      <top/>
      <bottom style="dashed">
        <color rgb="FFFFC000"/>
      </bottom>
      <diagonal/>
    </border>
    <border>
      <left/>
      <right style="thin">
        <color rgb="FFFFC000"/>
      </right>
      <top/>
      <bottom style="medium">
        <color rgb="FFFFC000"/>
      </bottom>
      <diagonal/>
    </border>
    <border>
      <left style="dashed">
        <color rgb="FFFFC000"/>
      </left>
      <right/>
      <top style="thin">
        <color rgb="FFFFC000"/>
      </top>
      <bottom style="dashed">
        <color rgb="FFFFC000"/>
      </bottom>
      <diagonal/>
    </border>
    <border>
      <left/>
      <right/>
      <top style="thin">
        <color rgb="FFFFC000"/>
      </top>
      <bottom style="dashed">
        <color rgb="FFFFC000"/>
      </bottom>
      <diagonal/>
    </border>
    <border>
      <left style="thin">
        <color rgb="FFFFC000"/>
      </left>
      <right style="thin">
        <color rgb="FFFFC000"/>
      </right>
      <top style="thin">
        <color rgb="FFFFC000"/>
      </top>
      <bottom style="dashed">
        <color rgb="FFFFC000"/>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15" fillId="0" borderId="0" applyNumberFormat="0" applyFill="0" applyBorder="0" applyAlignment="0" applyProtection="0"/>
    <xf numFmtId="0" fontId="23" fillId="0" borderId="0" applyNumberFormat="0" applyFill="0" applyBorder="0" applyAlignment="0" applyProtection="0"/>
    <xf numFmtId="0" fontId="1" fillId="0" borderId="0"/>
    <xf numFmtId="0" fontId="1" fillId="0" borderId="0"/>
  </cellStyleXfs>
  <cellXfs count="566">
    <xf numFmtId="0" fontId="0" fillId="0" borderId="0" xfId="0"/>
    <xf numFmtId="43" fontId="1" fillId="0" borderId="0" xfId="1" applyFont="1" applyBorder="1"/>
    <xf numFmtId="10" fontId="0" fillId="0" borderId="0" xfId="0" applyNumberFormat="1"/>
    <xf numFmtId="2" fontId="0" fillId="0" borderId="0" xfId="0" applyNumberFormat="1"/>
    <xf numFmtId="4" fontId="0" fillId="0" borderId="0" xfId="0" applyNumberFormat="1"/>
    <xf numFmtId="0" fontId="0" fillId="0" borderId="0" xfId="0" applyFill="1" applyBorder="1" applyAlignment="1"/>
    <xf numFmtId="0" fontId="0" fillId="0" borderId="1" xfId="0" applyFill="1" applyBorder="1" applyAlignment="1"/>
    <xf numFmtId="0" fontId="7" fillId="0" borderId="2" xfId="0" applyFont="1" applyFill="1" applyBorder="1" applyAlignment="1">
      <alignment horizontal="center"/>
    </xf>
    <xf numFmtId="0" fontId="7" fillId="0" borderId="2" xfId="0" applyFont="1" applyFill="1" applyBorder="1" applyAlignment="1">
      <alignment horizontal="centerContinuous"/>
    </xf>
    <xf numFmtId="165" fontId="0" fillId="0" borderId="0" xfId="0" applyNumberFormat="1"/>
    <xf numFmtId="0" fontId="0" fillId="0" borderId="4" xfId="0" applyBorder="1"/>
    <xf numFmtId="0" fontId="3" fillId="0" borderId="0" xfId="0" applyFont="1"/>
    <xf numFmtId="0" fontId="4" fillId="0" borderId="0" xfId="0" applyFont="1" applyFill="1" applyBorder="1" applyAlignment="1">
      <alignment horizontal="left" vertical="center"/>
    </xf>
    <xf numFmtId="0" fontId="9" fillId="0" borderId="0" xfId="0" applyFont="1"/>
    <xf numFmtId="43" fontId="0" fillId="0" borderId="0" xfId="0" applyNumberFormat="1"/>
    <xf numFmtId="0" fontId="0" fillId="2" borderId="0" xfId="0" applyFill="1"/>
    <xf numFmtId="9" fontId="0" fillId="0" borderId="0" xfId="2" applyFont="1"/>
    <xf numFmtId="0" fontId="10" fillId="0" borderId="0" xfId="0" applyFont="1"/>
    <xf numFmtId="0" fontId="0" fillId="0" borderId="0" xfId="0" applyAlignment="1">
      <alignment horizontal="right"/>
    </xf>
    <xf numFmtId="0" fontId="0" fillId="0" borderId="0" xfId="0" applyBorder="1"/>
    <xf numFmtId="0" fontId="0" fillId="0" borderId="0" xfId="0"/>
    <xf numFmtId="0" fontId="0" fillId="0" borderId="0" xfId="0"/>
    <xf numFmtId="0" fontId="3" fillId="0" borderId="0" xfId="0" applyFont="1" applyFill="1" applyBorder="1"/>
    <xf numFmtId="0" fontId="0" fillId="0" borderId="0" xfId="0"/>
    <xf numFmtId="39" fontId="0" fillId="0" borderId="0" xfId="0" applyNumberFormat="1"/>
    <xf numFmtId="0" fontId="3" fillId="0" borderId="0" xfId="0" applyFont="1" applyBorder="1"/>
    <xf numFmtId="0" fontId="0" fillId="0" borderId="0" xfId="0"/>
    <xf numFmtId="0" fontId="3" fillId="0" borderId="0" xfId="0" applyFont="1"/>
    <xf numFmtId="168" fontId="0" fillId="0" borderId="0" xfId="0" applyNumberFormat="1"/>
    <xf numFmtId="0" fontId="17" fillId="0" borderId="0" xfId="0" applyFont="1"/>
    <xf numFmtId="0" fontId="17" fillId="0" borderId="0" xfId="0" applyFont="1" applyAlignment="1">
      <alignment horizontal="right"/>
    </xf>
    <xf numFmtId="2" fontId="0" fillId="0" borderId="0" xfId="0" applyNumberFormat="1" applyFont="1" applyAlignment="1">
      <alignment horizontal="right"/>
    </xf>
    <xf numFmtId="2" fontId="0" fillId="0" borderId="0" xfId="0" applyNumberFormat="1" applyAlignment="1">
      <alignment horizontal="right"/>
    </xf>
    <xf numFmtId="0" fontId="11" fillId="0" borderId="3" xfId="0" applyFont="1" applyBorder="1" applyAlignment="1">
      <alignment horizontal="right"/>
    </xf>
    <xf numFmtId="169" fontId="17" fillId="0" borderId="0" xfId="0" applyNumberFormat="1" applyFont="1"/>
    <xf numFmtId="169" fontId="0" fillId="0" borderId="4" xfId="0" applyNumberFormat="1" applyBorder="1"/>
    <xf numFmtId="0" fontId="10" fillId="0" borderId="0" xfId="0" applyFont="1" applyAlignment="1">
      <alignment vertical="top"/>
    </xf>
    <xf numFmtId="10" fontId="0" fillId="0" borderId="0" xfId="2" applyNumberFormat="1" applyFont="1" applyAlignment="1">
      <alignment horizontal="right"/>
    </xf>
    <xf numFmtId="10" fontId="18" fillId="0" borderId="0" xfId="2" applyNumberFormat="1" applyFont="1" applyAlignment="1">
      <alignment horizontal="right"/>
    </xf>
    <xf numFmtId="10" fontId="18" fillId="0" borderId="0" xfId="0" applyNumberFormat="1" applyFont="1"/>
    <xf numFmtId="0" fontId="0" fillId="4" borderId="0" xfId="0" applyFill="1"/>
    <xf numFmtId="0" fontId="20" fillId="4" borderId="0" xfId="0" applyFont="1" applyFill="1"/>
    <xf numFmtId="0" fontId="20" fillId="4" borderId="0" xfId="0" applyFont="1" applyFill="1" applyAlignment="1">
      <alignment horizontal="right"/>
    </xf>
    <xf numFmtId="0" fontId="20" fillId="4" borderId="0" xfId="0" applyFont="1" applyFill="1" applyAlignment="1">
      <alignment horizontal="left"/>
    </xf>
    <xf numFmtId="0" fontId="20" fillId="4" borderId="0" xfId="0" applyFont="1" applyFill="1" applyBorder="1" applyAlignment="1">
      <alignment horizontal="left"/>
    </xf>
    <xf numFmtId="0" fontId="20" fillId="4" borderId="0" xfId="0" applyFont="1" applyFill="1" applyAlignment="1">
      <alignment horizontal="right" wrapText="1"/>
    </xf>
    <xf numFmtId="0" fontId="0" fillId="0" borderId="5" xfId="0" applyBorder="1"/>
    <xf numFmtId="0" fontId="0" fillId="3" borderId="5" xfId="0" applyFill="1" applyBorder="1"/>
    <xf numFmtId="0" fontId="11" fillId="5" borderId="6" xfId="0" applyFont="1" applyFill="1" applyBorder="1"/>
    <xf numFmtId="0" fontId="0" fillId="5" borderId="6" xfId="0" applyFill="1" applyBorder="1"/>
    <xf numFmtId="166" fontId="11" fillId="5" borderId="6" xfId="0" applyNumberFormat="1" applyFont="1" applyFill="1" applyBorder="1"/>
    <xf numFmtId="2" fontId="11" fillId="5" borderId="6" xfId="0" applyNumberFormat="1" applyFont="1" applyFill="1" applyBorder="1"/>
    <xf numFmtId="3" fontId="0" fillId="0" borderId="5" xfId="0" applyNumberFormat="1" applyBorder="1"/>
    <xf numFmtId="166" fontId="3" fillId="0" borderId="5" xfId="0" applyNumberFormat="1" applyFont="1" applyBorder="1" applyAlignment="1">
      <alignment horizontal="right"/>
    </xf>
    <xf numFmtId="166" fontId="3" fillId="3" borderId="5" xfId="0" applyNumberFormat="1" applyFont="1" applyFill="1" applyBorder="1" applyAlignment="1">
      <alignment horizontal="right"/>
    </xf>
    <xf numFmtId="0" fontId="3" fillId="0" borderId="5" xfId="0" applyFont="1" applyBorder="1"/>
    <xf numFmtId="0" fontId="24" fillId="0" borderId="0" xfId="4" applyFont="1"/>
    <xf numFmtId="0" fontId="24" fillId="0" borderId="5" xfId="0" applyFont="1" applyBorder="1" applyAlignment="1">
      <alignment horizontal="left"/>
    </xf>
    <xf numFmtId="171" fontId="26" fillId="0" borderId="0" xfId="3" applyNumberFormat="1" applyFont="1" applyAlignment="1"/>
    <xf numFmtId="0" fontId="0" fillId="0" borderId="6" xfId="0" applyBorder="1"/>
    <xf numFmtId="9" fontId="25" fillId="0" borderId="0" xfId="3" applyNumberFormat="1" applyFont="1"/>
    <xf numFmtId="0" fontId="27" fillId="4" borderId="0" xfId="0" applyFont="1" applyFill="1"/>
    <xf numFmtId="0" fontId="28" fillId="4" borderId="0" xfId="0" applyFont="1" applyFill="1" applyAlignment="1">
      <alignment wrapText="1"/>
    </xf>
    <xf numFmtId="0" fontId="29" fillId="4" borderId="0" xfId="0" applyFont="1" applyFill="1"/>
    <xf numFmtId="0" fontId="28" fillId="4" borderId="0" xfId="0" applyFont="1" applyFill="1"/>
    <xf numFmtId="0" fontId="0" fillId="0" borderId="6" xfId="0" applyBorder="1" applyAlignment="1">
      <alignment horizontal="right"/>
    </xf>
    <xf numFmtId="2" fontId="0" fillId="0" borderId="6" xfId="0" applyNumberFormat="1" applyBorder="1" applyAlignment="1">
      <alignment horizontal="right"/>
    </xf>
    <xf numFmtId="0" fontId="17" fillId="0" borderId="6" xfId="0" applyFont="1" applyBorder="1"/>
    <xf numFmtId="0" fontId="17" fillId="0" borderId="6" xfId="0" applyFont="1" applyBorder="1" applyAlignment="1">
      <alignment horizontal="right"/>
    </xf>
    <xf numFmtId="10" fontId="3" fillId="0" borderId="6" xfId="2" applyNumberFormat="1" applyFont="1" applyBorder="1" applyAlignment="1">
      <alignment horizontal="right"/>
    </xf>
    <xf numFmtId="169" fontId="20" fillId="4" borderId="10" xfId="0" applyNumberFormat="1" applyFont="1" applyFill="1" applyBorder="1" applyAlignment="1">
      <alignment horizontal="left"/>
    </xf>
    <xf numFmtId="169" fontId="20" fillId="4" borderId="8" xfId="0" applyNumberFormat="1" applyFont="1" applyFill="1" applyBorder="1" applyAlignment="1">
      <alignment horizontal="left"/>
    </xf>
    <xf numFmtId="0" fontId="24" fillId="4" borderId="10" xfId="0" applyFont="1" applyFill="1" applyBorder="1"/>
    <xf numFmtId="10" fontId="24" fillId="4" borderId="10" xfId="0" applyNumberFormat="1" applyFont="1" applyFill="1" applyBorder="1"/>
    <xf numFmtId="2" fontId="24" fillId="4" borderId="10" xfId="0" applyNumberFormat="1" applyFont="1" applyFill="1" applyBorder="1" applyAlignment="1">
      <alignment horizontal="right"/>
    </xf>
    <xf numFmtId="0" fontId="24" fillId="4" borderId="8" xfId="0" applyFont="1" applyFill="1" applyBorder="1"/>
    <xf numFmtId="10" fontId="24" fillId="4" borderId="8" xfId="0" applyNumberFormat="1" applyFont="1" applyFill="1" applyBorder="1"/>
    <xf numFmtId="2" fontId="24" fillId="4" borderId="8" xfId="0" applyNumberFormat="1" applyFont="1" applyFill="1" applyBorder="1" applyAlignment="1">
      <alignment horizontal="right"/>
    </xf>
    <xf numFmtId="0" fontId="24" fillId="4" borderId="7" xfId="0" applyFont="1" applyFill="1" applyBorder="1"/>
    <xf numFmtId="0" fontId="24" fillId="4" borderId="7" xfId="0" applyFont="1" applyFill="1" applyBorder="1" applyAlignment="1">
      <alignment horizontal="right"/>
    </xf>
    <xf numFmtId="0" fontId="20" fillId="4" borderId="9" xfId="0" applyFont="1" applyFill="1" applyBorder="1"/>
    <xf numFmtId="0" fontId="21" fillId="4" borderId="9" xfId="0" applyFont="1" applyFill="1" applyBorder="1"/>
    <xf numFmtId="0" fontId="3" fillId="0" borderId="4" xfId="0" applyFont="1" applyBorder="1"/>
    <xf numFmtId="10" fontId="24" fillId="4" borderId="4" xfId="0" applyNumberFormat="1" applyFont="1" applyFill="1" applyBorder="1"/>
    <xf numFmtId="10" fontId="24" fillId="4" borderId="4" xfId="2" applyNumberFormat="1" applyFont="1" applyFill="1" applyBorder="1"/>
    <xf numFmtId="0" fontId="3" fillId="0" borderId="3" xfId="0" applyFont="1" applyBorder="1" applyAlignment="1">
      <alignment horizontal="right"/>
    </xf>
    <xf numFmtId="10" fontId="31" fillId="0" borderId="0" xfId="2" applyNumberFormat="1" applyFont="1" applyAlignment="1">
      <alignment horizontal="right"/>
    </xf>
    <xf numFmtId="10" fontId="32" fillId="3" borderId="4" xfId="0" applyNumberFormat="1" applyFont="1" applyFill="1" applyBorder="1"/>
    <xf numFmtId="0" fontId="32" fillId="0" borderId="6" xfId="0" applyFont="1" applyBorder="1" applyAlignment="1">
      <alignment horizontal="right"/>
    </xf>
    <xf numFmtId="2" fontId="32" fillId="0" borderId="6" xfId="0" applyNumberFormat="1" applyFont="1" applyBorder="1" applyAlignment="1">
      <alignment horizontal="right"/>
    </xf>
    <xf numFmtId="2" fontId="0" fillId="0" borderId="6" xfId="2" applyNumberFormat="1" applyFont="1" applyBorder="1"/>
    <xf numFmtId="2" fontId="0" fillId="0" borderId="6" xfId="0" applyNumberFormat="1" applyBorder="1"/>
    <xf numFmtId="0" fontId="24" fillId="4" borderId="0" xfId="0" applyFont="1" applyFill="1" applyBorder="1"/>
    <xf numFmtId="0" fontId="24" fillId="4" borderId="0" xfId="0" applyFont="1" applyFill="1" applyBorder="1" applyAlignment="1">
      <alignment horizontal="right"/>
    </xf>
    <xf numFmtId="0" fontId="0" fillId="0" borderId="11" xfId="0" applyBorder="1"/>
    <xf numFmtId="0" fontId="20" fillId="4" borderId="11" xfId="0" applyFont="1" applyFill="1" applyBorder="1"/>
    <xf numFmtId="0" fontId="0" fillId="4" borderId="11" xfId="0" applyFill="1" applyBorder="1"/>
    <xf numFmtId="0" fontId="24" fillId="4" borderId="6" xfId="0" applyFont="1" applyFill="1" applyBorder="1"/>
    <xf numFmtId="0" fontId="24" fillId="4" borderId="15" xfId="0" applyFont="1" applyFill="1" applyBorder="1"/>
    <xf numFmtId="164" fontId="24" fillId="4" borderId="12" xfId="0" applyNumberFormat="1" applyFont="1" applyFill="1" applyBorder="1" applyAlignment="1">
      <alignment horizontal="center"/>
    </xf>
    <xf numFmtId="43" fontId="3" fillId="0" borderId="0" xfId="1" applyFont="1" applyFill="1" applyBorder="1"/>
    <xf numFmtId="43" fontId="3" fillId="0" borderId="6" xfId="1" applyFont="1" applyBorder="1"/>
    <xf numFmtId="43" fontId="0" fillId="0" borderId="6" xfId="1" applyFont="1" applyBorder="1"/>
    <xf numFmtId="43" fontId="3" fillId="0" borderId="6" xfId="1" applyFont="1" applyBorder="1" applyAlignment="1">
      <alignment horizontal="left"/>
    </xf>
    <xf numFmtId="43" fontId="0" fillId="0" borderId="6" xfId="1" applyFont="1" applyBorder="1" applyAlignment="1">
      <alignment horizontal="left"/>
    </xf>
    <xf numFmtId="43" fontId="0" fillId="0" borderId="16" xfId="1" applyFont="1" applyBorder="1"/>
    <xf numFmtId="39" fontId="3" fillId="0" borderId="0" xfId="0" applyNumberFormat="1" applyFont="1" applyBorder="1"/>
    <xf numFmtId="43" fontId="1" fillId="0" borderId="6" xfId="1" applyFont="1" applyFill="1" applyBorder="1"/>
    <xf numFmtId="43" fontId="0" fillId="0" borderId="16" xfId="1" applyFont="1" applyFill="1" applyBorder="1"/>
    <xf numFmtId="164" fontId="24" fillId="4" borderId="12" xfId="0" applyNumberFormat="1" applyFont="1" applyFill="1" applyBorder="1" applyAlignment="1">
      <alignment horizontal="left"/>
    </xf>
    <xf numFmtId="0" fontId="2" fillId="0" borderId="6" xfId="0" applyFont="1" applyBorder="1" applyAlignment="1">
      <alignment horizontal="right"/>
    </xf>
    <xf numFmtId="2" fontId="24" fillId="4" borderId="17" xfId="0" applyNumberFormat="1" applyFont="1" applyFill="1" applyBorder="1"/>
    <xf numFmtId="0" fontId="2" fillId="4" borderId="17" xfId="0" applyFont="1" applyFill="1" applyBorder="1" applyAlignment="1">
      <alignment horizontal="right"/>
    </xf>
    <xf numFmtId="0" fontId="24" fillId="4" borderId="18" xfId="0" applyFont="1" applyFill="1" applyBorder="1"/>
    <xf numFmtId="2" fontId="24" fillId="4" borderId="18" xfId="0" applyNumberFormat="1" applyFont="1" applyFill="1" applyBorder="1"/>
    <xf numFmtId="0" fontId="3" fillId="0" borderId="16" xfId="0" applyFont="1" applyBorder="1"/>
    <xf numFmtId="10" fontId="0" fillId="0" borderId="6" xfId="0" applyNumberFormat="1" applyBorder="1"/>
    <xf numFmtId="10" fontId="0" fillId="0" borderId="19" xfId="0" applyNumberFormat="1" applyBorder="1"/>
    <xf numFmtId="10" fontId="30" fillId="4" borderId="6" xfId="2" applyNumberFormat="1" applyFont="1" applyFill="1" applyBorder="1"/>
    <xf numFmtId="164" fontId="24" fillId="4" borderId="20" xfId="0" applyNumberFormat="1" applyFont="1" applyFill="1" applyBorder="1" applyAlignment="1">
      <alignment horizontal="center"/>
    </xf>
    <xf numFmtId="0" fontId="21" fillId="4" borderId="21" xfId="0" applyFont="1" applyFill="1" applyBorder="1"/>
    <xf numFmtId="164" fontId="24" fillId="4" borderId="25" xfId="0" applyNumberFormat="1" applyFont="1" applyFill="1" applyBorder="1" applyAlignment="1">
      <alignment horizontal="center"/>
    </xf>
    <xf numFmtId="0" fontId="13" fillId="0" borderId="13" xfId="0" applyFont="1" applyBorder="1" applyAlignment="1">
      <alignment vertical="center"/>
    </xf>
    <xf numFmtId="165" fontId="0" fillId="0" borderId="27" xfId="0" applyNumberFormat="1" applyBorder="1" applyAlignment="1">
      <alignment vertical="center" wrapText="1"/>
    </xf>
    <xf numFmtId="165" fontId="0" fillId="0" borderId="26" xfId="0" applyNumberFormat="1" applyBorder="1" applyAlignment="1">
      <alignment vertical="center" wrapText="1"/>
    </xf>
    <xf numFmtId="165" fontId="0" fillId="0" borderId="29" xfId="0" applyNumberFormat="1" applyBorder="1" applyAlignment="1">
      <alignment vertical="center" wrapText="1"/>
    </xf>
    <xf numFmtId="165" fontId="0" fillId="0" borderId="30" xfId="0" applyNumberFormat="1" applyBorder="1" applyAlignment="1">
      <alignment vertical="center" wrapText="1"/>
    </xf>
    <xf numFmtId="0" fontId="0" fillId="0" borderId="7" xfId="0" applyBorder="1"/>
    <xf numFmtId="0" fontId="3" fillId="0" borderId="31" xfId="0" applyFont="1" applyBorder="1" applyAlignment="1">
      <alignment vertical="center" wrapText="1"/>
    </xf>
    <xf numFmtId="0" fontId="0" fillId="0" borderId="17" xfId="0" applyBorder="1"/>
    <xf numFmtId="165" fontId="3" fillId="0" borderId="32" xfId="0" applyNumberFormat="1" applyFont="1" applyBorder="1" applyAlignment="1">
      <alignment vertical="center" wrapText="1"/>
    </xf>
    <xf numFmtId="0" fontId="3" fillId="0" borderId="33" xfId="0" applyFont="1" applyBorder="1" applyAlignment="1">
      <alignment vertical="center" wrapText="1"/>
    </xf>
    <xf numFmtId="0" fontId="0" fillId="0" borderId="34" xfId="0" applyBorder="1"/>
    <xf numFmtId="165" fontId="3" fillId="0" borderId="35" xfId="0" applyNumberFormat="1" applyFont="1" applyBorder="1" applyAlignment="1">
      <alignment vertical="center" wrapText="1"/>
    </xf>
    <xf numFmtId="0" fontId="0" fillId="0" borderId="13" xfId="0" applyBorder="1" applyAlignment="1">
      <alignment horizontal="left" vertical="center" wrapText="1" indent="1"/>
    </xf>
    <xf numFmtId="0" fontId="0" fillId="0" borderId="28" xfId="0" applyBorder="1" applyAlignment="1">
      <alignment horizontal="left" vertical="center" wrapText="1" indent="1"/>
    </xf>
    <xf numFmtId="0" fontId="3" fillId="0" borderId="36" xfId="0" applyFont="1" applyBorder="1" applyAlignment="1">
      <alignment vertical="center" wrapText="1"/>
    </xf>
    <xf numFmtId="0" fontId="0" fillId="0" borderId="37" xfId="0" applyBorder="1"/>
    <xf numFmtId="165" fontId="3" fillId="0" borderId="38" xfId="0" applyNumberFormat="1" applyFont="1" applyBorder="1" applyAlignment="1">
      <alignment vertical="center" wrapText="1"/>
    </xf>
    <xf numFmtId="165" fontId="0" fillId="0" borderId="40" xfId="0" applyNumberFormat="1" applyBorder="1" applyAlignment="1">
      <alignment vertical="center" wrapText="1"/>
    </xf>
    <xf numFmtId="165" fontId="0" fillId="0" borderId="41" xfId="0" applyNumberFormat="1" applyBorder="1" applyAlignment="1">
      <alignment vertical="center" wrapText="1"/>
    </xf>
    <xf numFmtId="0" fontId="0" fillId="0" borderId="39" xfId="0" applyBorder="1" applyAlignment="1">
      <alignment horizontal="left" vertical="center" wrapText="1" indent="1"/>
    </xf>
    <xf numFmtId="0" fontId="0" fillId="0" borderId="0" xfId="0"/>
    <xf numFmtId="0" fontId="0" fillId="0" borderId="9" xfId="0" applyBorder="1"/>
    <xf numFmtId="0" fontId="0" fillId="0" borderId="21" xfId="0" applyBorder="1"/>
    <xf numFmtId="0" fontId="13" fillId="0" borderId="22" xfId="0" applyFont="1" applyBorder="1" applyAlignment="1">
      <alignment vertical="center"/>
    </xf>
    <xf numFmtId="0" fontId="13" fillId="0" borderId="9" xfId="0" applyFont="1" applyBorder="1" applyAlignment="1">
      <alignment vertical="center"/>
    </xf>
    <xf numFmtId="0" fontId="0" fillId="0" borderId="22" xfId="0" applyBorder="1" applyAlignment="1">
      <alignment vertical="center" wrapText="1"/>
    </xf>
    <xf numFmtId="0" fontId="0" fillId="0" borderId="9" xfId="0" applyBorder="1" applyAlignment="1">
      <alignment vertical="center" wrapText="1"/>
    </xf>
    <xf numFmtId="0" fontId="0" fillId="0" borderId="22" xfId="0" applyFont="1" applyBorder="1" applyAlignment="1">
      <alignment vertical="center" wrapText="1"/>
    </xf>
    <xf numFmtId="0" fontId="0" fillId="0" borderId="9" xfId="0" applyFont="1" applyBorder="1" applyAlignment="1">
      <alignment vertical="center" wrapText="1"/>
    </xf>
    <xf numFmtId="165" fontId="0" fillId="0" borderId="20" xfId="0" applyNumberFormat="1" applyBorder="1" applyAlignment="1">
      <alignment vertical="center" wrapText="1"/>
    </xf>
    <xf numFmtId="0" fontId="3" fillId="0" borderId="22" xfId="0" applyFont="1" applyBorder="1" applyAlignment="1">
      <alignment vertical="center" wrapText="1"/>
    </xf>
    <xf numFmtId="0" fontId="0" fillId="0" borderId="23" xfId="0" applyBorder="1" applyAlignment="1">
      <alignment vertical="center" wrapText="1"/>
    </xf>
    <xf numFmtId="0" fontId="0" fillId="0" borderId="10" xfId="0" applyBorder="1" applyAlignment="1">
      <alignment vertical="center" wrapText="1"/>
    </xf>
    <xf numFmtId="165" fontId="0" fillId="0" borderId="25" xfId="0" applyNumberFormat="1" applyBorder="1" applyAlignment="1">
      <alignment vertical="center" wrapText="1"/>
    </xf>
    <xf numFmtId="0" fontId="3" fillId="0" borderId="44" xfId="0" applyFont="1" applyBorder="1" applyAlignment="1">
      <alignment vertical="center" wrapText="1"/>
    </xf>
    <xf numFmtId="0" fontId="0" fillId="0" borderId="45" xfId="0" applyBorder="1" applyAlignment="1">
      <alignment vertical="center" wrapText="1"/>
    </xf>
    <xf numFmtId="0" fontId="0" fillId="0" borderId="0" xfId="0" applyBorder="1" applyAlignment="1">
      <alignment vertical="center" wrapText="1"/>
    </xf>
    <xf numFmtId="0" fontId="0" fillId="0" borderId="21" xfId="0" applyBorder="1" applyAlignment="1">
      <alignment vertical="center" wrapText="1"/>
    </xf>
    <xf numFmtId="0" fontId="13" fillId="0" borderId="21" xfId="0" applyFont="1" applyBorder="1" applyAlignment="1">
      <alignment vertical="center"/>
    </xf>
    <xf numFmtId="165" fontId="3" fillId="0" borderId="20" xfId="0" applyNumberFormat="1" applyFont="1" applyBorder="1" applyAlignment="1">
      <alignment vertical="center" wrapText="1"/>
    </xf>
    <xf numFmtId="165" fontId="0" fillId="0" borderId="20" xfId="0" applyNumberFormat="1" applyBorder="1"/>
    <xf numFmtId="0" fontId="0" fillId="0" borderId="24" xfId="0" applyBorder="1" applyAlignment="1">
      <alignment vertical="center" wrapText="1"/>
    </xf>
    <xf numFmtId="0" fontId="14" fillId="0" borderId="43" xfId="0" applyFont="1" applyBorder="1" applyAlignment="1">
      <alignment vertical="center"/>
    </xf>
    <xf numFmtId="165" fontId="0" fillId="0" borderId="51" xfId="0" applyNumberFormat="1" applyBorder="1"/>
    <xf numFmtId="0" fontId="13" fillId="0" borderId="42" xfId="0" applyFont="1" applyBorder="1" applyAlignment="1">
      <alignment vertical="center"/>
    </xf>
    <xf numFmtId="0" fontId="13" fillId="0" borderId="43" xfId="0" applyFont="1" applyBorder="1" applyAlignment="1">
      <alignment vertical="center"/>
    </xf>
    <xf numFmtId="0" fontId="3" fillId="0" borderId="46" xfId="0" applyFont="1" applyBorder="1" applyAlignment="1">
      <alignment vertical="center" wrapText="1"/>
    </xf>
    <xf numFmtId="0" fontId="0" fillId="0" borderId="52" xfId="0" applyBorder="1" applyAlignment="1">
      <alignment vertical="center" wrapText="1"/>
    </xf>
    <xf numFmtId="0" fontId="0" fillId="0" borderId="20" xfId="0" applyBorder="1"/>
    <xf numFmtId="0" fontId="0" fillId="0" borderId="24" xfId="0" applyBorder="1"/>
    <xf numFmtId="0" fontId="14" fillId="0" borderId="48" xfId="0" applyFont="1" applyBorder="1" applyAlignment="1">
      <alignment vertical="center"/>
    </xf>
    <xf numFmtId="0" fontId="14" fillId="0" borderId="49" xfId="0" applyFont="1" applyBorder="1" applyAlignment="1">
      <alignment vertical="center"/>
    </xf>
    <xf numFmtId="165" fontId="0" fillId="0" borderId="49" xfId="0" applyNumberFormat="1" applyBorder="1"/>
    <xf numFmtId="165" fontId="0" fillId="0" borderId="9" xfId="0" applyNumberFormat="1" applyBorder="1"/>
    <xf numFmtId="165" fontId="0" fillId="0" borderId="50" xfId="0" applyNumberFormat="1" applyBorder="1"/>
    <xf numFmtId="165" fontId="0" fillId="0" borderId="21" xfId="0" applyNumberFormat="1" applyBorder="1"/>
    <xf numFmtId="165" fontId="0" fillId="0" borderId="43" xfId="0" applyNumberFormat="1" applyBorder="1"/>
    <xf numFmtId="0" fontId="13" fillId="0" borderId="48" xfId="0" applyFont="1" applyBorder="1" applyAlignment="1">
      <alignment vertical="center"/>
    </xf>
    <xf numFmtId="0" fontId="13" fillId="0" borderId="49" xfId="0" applyFont="1" applyBorder="1" applyAlignment="1">
      <alignment vertical="center"/>
    </xf>
    <xf numFmtId="0" fontId="3" fillId="0" borderId="54" xfId="0" applyFont="1" applyBorder="1" applyAlignment="1">
      <alignment horizontal="center" vertical="center" wrapText="1"/>
    </xf>
    <xf numFmtId="0" fontId="3" fillId="0" borderId="55" xfId="0" applyFont="1" applyBorder="1" applyAlignment="1">
      <alignment horizontal="center" vertical="center" wrapText="1"/>
    </xf>
    <xf numFmtId="165" fontId="3" fillId="0" borderId="55" xfId="0" applyNumberFormat="1" applyFont="1" applyBorder="1" applyAlignment="1">
      <alignment horizontal="center" vertical="center" wrapText="1"/>
    </xf>
    <xf numFmtId="165" fontId="3" fillId="0" borderId="56" xfId="0" applyNumberFormat="1" applyFont="1" applyBorder="1" applyAlignment="1">
      <alignment horizontal="center" vertical="center" wrapText="1"/>
    </xf>
    <xf numFmtId="165" fontId="0" fillId="0" borderId="14" xfId="0" applyNumberFormat="1" applyBorder="1"/>
    <xf numFmtId="165" fontId="0" fillId="0" borderId="6" xfId="0" applyNumberFormat="1" applyBorder="1"/>
    <xf numFmtId="0" fontId="13" fillId="0" borderId="36" xfId="0" applyFont="1" applyBorder="1" applyAlignment="1">
      <alignment vertical="center"/>
    </xf>
    <xf numFmtId="165" fontId="0" fillId="0" borderId="37" xfId="0" applyNumberFormat="1" applyBorder="1"/>
    <xf numFmtId="165" fontId="0" fillId="0" borderId="57" xfId="0" applyNumberFormat="1" applyBorder="1"/>
    <xf numFmtId="0" fontId="0" fillId="0" borderId="49" xfId="0" applyBorder="1"/>
    <xf numFmtId="4" fontId="0" fillId="0" borderId="0" xfId="0" applyNumberFormat="1" applyBorder="1"/>
    <xf numFmtId="164" fontId="24" fillId="4" borderId="23" xfId="0" applyNumberFormat="1" applyFont="1" applyFill="1" applyBorder="1" applyAlignment="1"/>
    <xf numFmtId="164" fontId="24" fillId="4" borderId="24" xfId="0" applyNumberFormat="1" applyFont="1" applyFill="1" applyBorder="1" applyAlignment="1"/>
    <xf numFmtId="164" fontId="24" fillId="4" borderId="42" xfId="1" applyNumberFormat="1" applyFont="1" applyFill="1" applyBorder="1"/>
    <xf numFmtId="164" fontId="24" fillId="4" borderId="43" xfId="0" applyNumberFormat="1" applyFont="1" applyFill="1" applyBorder="1" applyAlignment="1"/>
    <xf numFmtId="0" fontId="0" fillId="0" borderId="22" xfId="0" applyBorder="1" applyAlignment="1">
      <alignment horizontal="left" vertical="center" wrapText="1" indent="1"/>
    </xf>
    <xf numFmtId="0" fontId="0" fillId="0" borderId="22" xfId="0" applyFont="1" applyBorder="1" applyAlignment="1">
      <alignment horizontal="left" vertical="center" wrapText="1" indent="1"/>
    </xf>
    <xf numFmtId="0" fontId="0" fillId="0" borderId="21" xfId="0" applyFont="1" applyBorder="1" applyAlignment="1">
      <alignment vertical="center" wrapText="1"/>
    </xf>
    <xf numFmtId="0" fontId="0" fillId="0" borderId="22" xfId="0" applyBorder="1"/>
    <xf numFmtId="165" fontId="0" fillId="0" borderId="22" xfId="0" applyNumberFormat="1" applyBorder="1"/>
    <xf numFmtId="0" fontId="0" fillId="0" borderId="23" xfId="0" applyBorder="1" applyAlignment="1">
      <alignment horizontal="left" vertical="center" wrapText="1" indent="1"/>
    </xf>
    <xf numFmtId="0" fontId="0" fillId="0" borderId="25" xfId="0" applyBorder="1"/>
    <xf numFmtId="0" fontId="13" fillId="0" borderId="8" xfId="0" applyFont="1" applyBorder="1" applyAlignment="1">
      <alignment vertical="center"/>
    </xf>
    <xf numFmtId="165" fontId="0" fillId="0" borderId="42" xfId="0" applyNumberFormat="1" applyBorder="1"/>
    <xf numFmtId="165" fontId="0" fillId="0" borderId="8" xfId="0" applyNumberFormat="1" applyBorder="1"/>
    <xf numFmtId="0" fontId="0" fillId="0" borderId="8" xfId="0" applyBorder="1"/>
    <xf numFmtId="0" fontId="3" fillId="0" borderId="59" xfId="0" applyFont="1" applyBorder="1" applyAlignment="1">
      <alignment vertical="center" wrapText="1"/>
    </xf>
    <xf numFmtId="0" fontId="3" fillId="0" borderId="60" xfId="0" applyFont="1" applyBorder="1" applyAlignment="1">
      <alignment vertical="center" wrapText="1"/>
    </xf>
    <xf numFmtId="165" fontId="3" fillId="0" borderId="58" xfId="0" applyNumberFormat="1" applyFont="1" applyBorder="1" applyAlignment="1">
      <alignment vertical="center" wrapText="1"/>
    </xf>
    <xf numFmtId="165" fontId="0" fillId="0" borderId="25" xfId="0" applyNumberFormat="1" applyBorder="1"/>
    <xf numFmtId="165" fontId="0" fillId="0" borderId="48" xfId="0" applyNumberFormat="1" applyBorder="1"/>
    <xf numFmtId="165" fontId="0" fillId="0" borderId="40" xfId="0" applyNumberFormat="1" applyFill="1" applyBorder="1" applyAlignment="1">
      <alignment vertical="center" wrapText="1"/>
    </xf>
    <xf numFmtId="0" fontId="14" fillId="0" borderId="9" xfId="0" applyFont="1" applyBorder="1" applyAlignment="1">
      <alignment vertical="center"/>
    </xf>
    <xf numFmtId="0" fontId="34" fillId="0" borderId="22" xfId="0" applyFont="1" applyBorder="1" applyAlignment="1">
      <alignment vertical="center"/>
    </xf>
    <xf numFmtId="164" fontId="34" fillId="4" borderId="42" xfId="1" applyNumberFormat="1" applyFont="1" applyFill="1" applyBorder="1"/>
    <xf numFmtId="165" fontId="3" fillId="0" borderId="20" xfId="0" applyNumberFormat="1" applyFont="1" applyBorder="1"/>
    <xf numFmtId="0" fontId="3" fillId="0" borderId="22" xfId="0" applyFont="1" applyBorder="1"/>
    <xf numFmtId="0" fontId="0" fillId="0" borderId="22" xfId="0" applyBorder="1" applyAlignment="1">
      <alignment horizontal="left" indent="1"/>
    </xf>
    <xf numFmtId="0" fontId="3" fillId="0" borderId="21" xfId="0" applyFont="1" applyBorder="1"/>
    <xf numFmtId="0" fontId="0" fillId="0" borderId="23" xfId="0" applyBorder="1"/>
    <xf numFmtId="0" fontId="3" fillId="0" borderId="47" xfId="0" applyFont="1" applyBorder="1"/>
    <xf numFmtId="0" fontId="3" fillId="0" borderId="61" xfId="0" applyFont="1" applyBorder="1"/>
    <xf numFmtId="165" fontId="3" fillId="0" borderId="53" xfId="0" applyNumberFormat="1" applyFont="1" applyBorder="1"/>
    <xf numFmtId="0" fontId="0" fillId="0" borderId="23" xfId="0" applyBorder="1" applyAlignment="1">
      <alignment horizontal="left" indent="1"/>
    </xf>
    <xf numFmtId="0" fontId="3" fillId="0" borderId="44" xfId="0" applyFont="1" applyBorder="1"/>
    <xf numFmtId="0" fontId="3" fillId="0" borderId="46" xfId="0" applyFont="1" applyBorder="1"/>
    <xf numFmtId="165" fontId="3" fillId="0" borderId="35" xfId="0" applyNumberFormat="1" applyFont="1" applyBorder="1"/>
    <xf numFmtId="0" fontId="3" fillId="0" borderId="59" xfId="0" applyFont="1" applyBorder="1"/>
    <xf numFmtId="0" fontId="3" fillId="0" borderId="60" xfId="0" applyFont="1" applyBorder="1"/>
    <xf numFmtId="165" fontId="3" fillId="0" borderId="58" xfId="0" applyNumberFormat="1" applyFont="1" applyBorder="1"/>
    <xf numFmtId="165" fontId="21" fillId="4" borderId="9" xfId="0" applyNumberFormat="1" applyFont="1" applyFill="1" applyBorder="1"/>
    <xf numFmtId="165" fontId="21" fillId="4" borderId="21" xfId="0" applyNumberFormat="1" applyFont="1" applyFill="1" applyBorder="1"/>
    <xf numFmtId="165" fontId="24" fillId="4" borderId="25" xfId="0" applyNumberFormat="1" applyFont="1" applyFill="1" applyBorder="1" applyAlignment="1">
      <alignment horizontal="center"/>
    </xf>
    <xf numFmtId="165" fontId="24" fillId="0" borderId="0" xfId="0" applyNumberFormat="1" applyFont="1" applyAlignment="1">
      <alignment horizontal="center"/>
    </xf>
    <xf numFmtId="165" fontId="3" fillId="0" borderId="53" xfId="0" applyNumberFormat="1" applyFont="1" applyBorder="1" applyAlignment="1">
      <alignment vertical="center" wrapText="1"/>
    </xf>
    <xf numFmtId="165" fontId="0" fillId="0" borderId="55" xfId="0" applyNumberFormat="1" applyBorder="1"/>
    <xf numFmtId="165" fontId="0" fillId="0" borderId="56" xfId="0" applyNumberFormat="1" applyBorder="1"/>
    <xf numFmtId="0" fontId="3" fillId="0" borderId="48" xfId="0" applyFont="1" applyBorder="1"/>
    <xf numFmtId="0" fontId="0" fillId="0" borderId="62" xfId="0" applyBorder="1"/>
    <xf numFmtId="165" fontId="0" fillId="0" borderId="62" xfId="0" applyNumberFormat="1" applyBorder="1"/>
    <xf numFmtId="165" fontId="0" fillId="0" borderId="61" xfId="0" applyNumberFormat="1" applyBorder="1"/>
    <xf numFmtId="164" fontId="24" fillId="4" borderId="25" xfId="0" applyNumberFormat="1" applyFont="1" applyFill="1" applyBorder="1" applyAlignment="1"/>
    <xf numFmtId="164" fontId="24" fillId="4" borderId="51" xfId="1" applyNumberFormat="1" applyFont="1" applyFill="1" applyBorder="1"/>
    <xf numFmtId="164" fontId="24" fillId="4" borderId="40" xfId="1" applyNumberFormat="1" applyFont="1" applyFill="1" applyBorder="1"/>
    <xf numFmtId="43" fontId="3" fillId="0" borderId="20" xfId="1" applyFont="1" applyBorder="1"/>
    <xf numFmtId="43" fontId="0" fillId="0" borderId="20" xfId="1" applyFont="1" applyBorder="1"/>
    <xf numFmtId="43" fontId="0" fillId="0" borderId="20" xfId="1" applyFont="1" applyBorder="1" applyAlignment="1">
      <alignment horizontal="left"/>
    </xf>
    <xf numFmtId="43" fontId="0" fillId="0" borderId="25" xfId="1" applyFont="1" applyBorder="1"/>
    <xf numFmtId="43" fontId="3" fillId="0" borderId="53" xfId="1" applyFont="1" applyBorder="1" applyAlignment="1">
      <alignment horizontal="left"/>
    </xf>
    <xf numFmtId="43" fontId="3" fillId="0" borderId="53" xfId="1" applyFont="1" applyBorder="1"/>
    <xf numFmtId="43" fontId="3" fillId="0" borderId="35" xfId="1" applyFont="1" applyBorder="1"/>
    <xf numFmtId="10" fontId="0" fillId="0" borderId="20" xfId="2" applyNumberFormat="1" applyFont="1" applyBorder="1"/>
    <xf numFmtId="10" fontId="0" fillId="0" borderId="20" xfId="0" applyNumberFormat="1" applyBorder="1"/>
    <xf numFmtId="0" fontId="4" fillId="0" borderId="20" xfId="0" applyFont="1" applyFill="1" applyBorder="1" applyAlignment="1">
      <alignment horizontal="left" vertical="center"/>
    </xf>
    <xf numFmtId="0" fontId="0" fillId="6" borderId="0" xfId="0" applyFill="1"/>
    <xf numFmtId="0" fontId="0" fillId="0" borderId="20" xfId="0" applyFont="1" applyBorder="1"/>
    <xf numFmtId="0" fontId="24" fillId="4" borderId="22" xfId="0" applyFont="1" applyFill="1" applyBorder="1"/>
    <xf numFmtId="0" fontId="3" fillId="0" borderId="35" xfId="0" applyFont="1" applyBorder="1"/>
    <xf numFmtId="165" fontId="3" fillId="0" borderId="35" xfId="0" applyNumberFormat="1" applyFont="1" applyFill="1" applyBorder="1"/>
    <xf numFmtId="0" fontId="0" fillId="0" borderId="25" xfId="0" applyFont="1" applyBorder="1"/>
    <xf numFmtId="0" fontId="0" fillId="0" borderId="51" xfId="0" applyFont="1" applyBorder="1"/>
    <xf numFmtId="0" fontId="24" fillId="4" borderId="20" xfId="0" applyFont="1" applyFill="1" applyBorder="1"/>
    <xf numFmtId="0" fontId="0" fillId="0" borderId="20" xfId="0" applyFill="1" applyBorder="1"/>
    <xf numFmtId="9" fontId="8" fillId="0" borderId="20" xfId="0" applyNumberFormat="1" applyFont="1" applyBorder="1"/>
    <xf numFmtId="165" fontId="0" fillId="0" borderId="25" xfId="0" applyNumberFormat="1" applyFont="1" applyBorder="1"/>
    <xf numFmtId="165" fontId="3" fillId="2" borderId="6" xfId="0" applyNumberFormat="1" applyFont="1" applyFill="1" applyBorder="1"/>
    <xf numFmtId="165" fontId="3" fillId="0" borderId="6" xfId="0" applyNumberFormat="1" applyFont="1" applyBorder="1"/>
    <xf numFmtId="165" fontId="0" fillId="2" borderId="6" xfId="0" applyNumberFormat="1" applyFill="1" applyBorder="1"/>
    <xf numFmtId="165" fontId="0" fillId="2" borderId="16" xfId="0" applyNumberFormat="1" applyFill="1" applyBorder="1"/>
    <xf numFmtId="165" fontId="0" fillId="0" borderId="16" xfId="0" applyNumberFormat="1" applyBorder="1"/>
    <xf numFmtId="165" fontId="3" fillId="2" borderId="0" xfId="0" applyNumberFormat="1" applyFont="1" applyFill="1" applyBorder="1"/>
    <xf numFmtId="165" fontId="3" fillId="0" borderId="0" xfId="0" applyNumberFormat="1" applyFont="1" applyBorder="1"/>
    <xf numFmtId="2" fontId="3" fillId="0" borderId="16" xfId="0" applyNumberFormat="1" applyFont="1" applyBorder="1"/>
    <xf numFmtId="2" fontId="0" fillId="0" borderId="11" xfId="0" applyNumberFormat="1" applyBorder="1"/>
    <xf numFmtId="0" fontId="3" fillId="0" borderId="37" xfId="0" applyFont="1" applyBorder="1"/>
    <xf numFmtId="2" fontId="3" fillId="0" borderId="37" xfId="0" applyNumberFormat="1" applyFont="1" applyBorder="1"/>
    <xf numFmtId="0" fontId="3" fillId="0" borderId="63" xfId="0" applyFont="1" applyBorder="1"/>
    <xf numFmtId="2" fontId="3" fillId="0" borderId="63" xfId="0" applyNumberFormat="1" applyFont="1" applyBorder="1"/>
    <xf numFmtId="172" fontId="0" fillId="0" borderId="5" xfId="0" applyNumberFormat="1" applyBorder="1"/>
    <xf numFmtId="172" fontId="16" fillId="0" borderId="5" xfId="0" applyNumberFormat="1" applyFont="1" applyBorder="1"/>
    <xf numFmtId="172" fontId="22" fillId="3" borderId="5" xfId="0" applyNumberFormat="1" applyFont="1" applyFill="1" applyBorder="1" applyAlignment="1">
      <alignment horizontal="right"/>
    </xf>
    <xf numFmtId="172" fontId="16" fillId="0" borderId="5" xfId="0" applyNumberFormat="1" applyFont="1" applyBorder="1" applyAlignment="1">
      <alignment horizontal="right"/>
    </xf>
    <xf numFmtId="172" fontId="0" fillId="3" borderId="5" xfId="0" applyNumberFormat="1" applyFill="1" applyBorder="1"/>
    <xf numFmtId="172" fontId="16" fillId="3" borderId="5" xfId="0" applyNumberFormat="1" applyFont="1" applyFill="1" applyBorder="1" applyAlignment="1">
      <alignment horizontal="right"/>
    </xf>
    <xf numFmtId="0" fontId="20" fillId="4" borderId="9" xfId="0" applyFont="1" applyFill="1" applyBorder="1" applyAlignment="1">
      <alignment horizontal="right" wrapText="1"/>
    </xf>
    <xf numFmtId="0" fontId="20" fillId="4" borderId="9" xfId="0" applyFont="1" applyFill="1" applyBorder="1" applyAlignment="1">
      <alignment horizontal="right"/>
    </xf>
    <xf numFmtId="3" fontId="3" fillId="0" borderId="5" xfId="0" applyNumberFormat="1" applyFont="1" applyBorder="1"/>
    <xf numFmtId="0" fontId="22" fillId="0" borderId="5" xfId="0" applyFont="1" applyBorder="1"/>
    <xf numFmtId="0" fontId="0" fillId="0" borderId="64" xfId="0" applyBorder="1"/>
    <xf numFmtId="3" fontId="0" fillId="0" borderId="64" xfId="0" applyNumberFormat="1" applyBorder="1"/>
    <xf numFmtId="0" fontId="0" fillId="0" borderId="65" xfId="0" applyBorder="1"/>
    <xf numFmtId="2" fontId="0" fillId="0" borderId="65" xfId="0" applyNumberFormat="1" applyBorder="1"/>
    <xf numFmtId="0" fontId="3" fillId="0" borderId="34" xfId="0" applyFont="1" applyBorder="1"/>
    <xf numFmtId="3" fontId="3" fillId="0" borderId="34" xfId="0" applyNumberFormat="1" applyFont="1" applyBorder="1"/>
    <xf numFmtId="0" fontId="22" fillId="0" borderId="34" xfId="0" applyFont="1" applyBorder="1"/>
    <xf numFmtId="0" fontId="12" fillId="4" borderId="9" xfId="0" applyFont="1" applyFill="1" applyBorder="1"/>
    <xf numFmtId="0" fontId="34" fillId="4" borderId="0" xfId="0" applyFont="1" applyFill="1"/>
    <xf numFmtId="164" fontId="24" fillId="4" borderId="20" xfId="0" applyNumberFormat="1" applyFont="1" applyFill="1" applyBorder="1" applyAlignment="1">
      <alignment horizontal="center"/>
    </xf>
    <xf numFmtId="164" fontId="24" fillId="4" borderId="12" xfId="0" applyNumberFormat="1" applyFont="1" applyFill="1" applyBorder="1" applyAlignment="1">
      <alignment horizontal="center"/>
    </xf>
    <xf numFmtId="173" fontId="35" fillId="0" borderId="0" xfId="0" applyNumberFormat="1" applyFont="1"/>
    <xf numFmtId="0" fontId="35" fillId="0" borderId="0" xfId="0" applyFont="1"/>
    <xf numFmtId="0" fontId="36" fillId="0" borderId="0" xfId="0" applyFont="1" applyAlignment="1">
      <alignment horizontal="center"/>
    </xf>
    <xf numFmtId="174" fontId="35" fillId="0" borderId="0" xfId="0" applyNumberFormat="1" applyFont="1" applyAlignment="1">
      <alignment horizontal="center" vertical="center"/>
    </xf>
    <xf numFmtId="175" fontId="35" fillId="3" borderId="0" xfId="0" applyNumberFormat="1" applyFont="1" applyFill="1" applyAlignment="1">
      <alignment horizontal="center"/>
    </xf>
    <xf numFmtId="176" fontId="35" fillId="0" borderId="0" xfId="0" applyNumberFormat="1" applyFont="1" applyAlignment="1">
      <alignment horizontal="center" vertical="center"/>
    </xf>
    <xf numFmtId="174" fontId="35" fillId="0" borderId="0" xfId="0" applyNumberFormat="1" applyFont="1" applyAlignment="1">
      <alignment horizontal="center"/>
    </xf>
    <xf numFmtId="0" fontId="37" fillId="0" borderId="0" xfId="0" applyFont="1"/>
    <xf numFmtId="177" fontId="35" fillId="0" borderId="0" xfId="0" applyNumberFormat="1" applyFont="1"/>
    <xf numFmtId="171" fontId="37" fillId="0" borderId="0" xfId="0" applyNumberFormat="1" applyFont="1"/>
    <xf numFmtId="171" fontId="11" fillId="0" borderId="0" xfId="0" applyNumberFormat="1" applyFont="1" applyAlignment="1">
      <alignment vertical="center" wrapText="1"/>
    </xf>
    <xf numFmtId="171" fontId="0" fillId="0" borderId="0" xfId="0" applyNumberFormat="1" applyAlignment="1">
      <alignment vertical="center" wrapText="1"/>
    </xf>
    <xf numFmtId="173" fontId="11" fillId="0" borderId="0" xfId="0" applyNumberFormat="1" applyFont="1" applyAlignment="1">
      <alignment horizontal="center" vertical="center"/>
    </xf>
    <xf numFmtId="178" fontId="11" fillId="0" borderId="0" xfId="0" applyNumberFormat="1" applyFont="1" applyAlignment="1">
      <alignment horizontal="center" vertical="center"/>
    </xf>
    <xf numFmtId="173" fontId="0" fillId="0" borderId="0" xfId="0" applyNumberFormat="1" applyAlignment="1">
      <alignment horizontal="center" vertical="center"/>
    </xf>
    <xf numFmtId="173" fontId="38" fillId="0" borderId="0" xfId="0" applyNumberFormat="1" applyFont="1" applyAlignment="1">
      <alignment horizontal="center" vertical="center"/>
    </xf>
    <xf numFmtId="171" fontId="11" fillId="0" borderId="0" xfId="0" applyNumberFormat="1" applyFont="1" applyAlignment="1">
      <alignment horizontal="right" vertical="center" wrapText="1"/>
    </xf>
    <xf numFmtId="179" fontId="39" fillId="0" borderId="0" xfId="0" applyNumberFormat="1" applyFont="1" applyAlignment="1">
      <alignment horizontal="left" vertical="top"/>
    </xf>
    <xf numFmtId="180" fontId="39" fillId="0" borderId="0" xfId="0" applyNumberFormat="1" applyFont="1" applyAlignment="1">
      <alignment horizontal="left" vertical="top"/>
    </xf>
    <xf numFmtId="173" fontId="29" fillId="4" borderId="0" xfId="0" applyNumberFormat="1" applyFont="1" applyFill="1"/>
    <xf numFmtId="173" fontId="28" fillId="4" borderId="0" xfId="0" applyNumberFormat="1" applyFont="1" applyFill="1"/>
    <xf numFmtId="177" fontId="28" fillId="4" borderId="0" xfId="0" applyNumberFormat="1" applyFont="1" applyFill="1"/>
    <xf numFmtId="0" fontId="9" fillId="6" borderId="0" xfId="0" applyFont="1" applyFill="1"/>
    <xf numFmtId="0" fontId="0" fillId="3" borderId="0" xfId="0" applyFill="1"/>
    <xf numFmtId="39" fontId="0" fillId="3" borderId="0" xfId="0" applyNumberFormat="1" applyFill="1"/>
    <xf numFmtId="164" fontId="24" fillId="4" borderId="51" xfId="0" applyNumberFormat="1" applyFont="1" applyFill="1" applyBorder="1" applyAlignment="1">
      <alignment horizontal="center"/>
    </xf>
    <xf numFmtId="0" fontId="0" fillId="0" borderId="10" xfId="0" applyBorder="1"/>
    <xf numFmtId="0" fontId="0" fillId="3" borderId="10" xfId="0" applyFill="1" applyBorder="1"/>
    <xf numFmtId="0" fontId="0" fillId="3" borderId="24" xfId="0" applyFill="1" applyBorder="1"/>
    <xf numFmtId="0" fontId="0" fillId="3" borderId="9" xfId="0" applyFill="1" applyBorder="1"/>
    <xf numFmtId="0" fontId="0" fillId="3" borderId="21" xfId="0" applyFill="1" applyBorder="1"/>
    <xf numFmtId="165" fontId="0" fillId="3" borderId="16" xfId="0" applyNumberFormat="1" applyFill="1" applyBorder="1"/>
    <xf numFmtId="10" fontId="24" fillId="4" borderId="6" xfId="0" applyNumberFormat="1" applyFont="1" applyFill="1" applyBorder="1"/>
    <xf numFmtId="0" fontId="3" fillId="4" borderId="0" xfId="0" applyFont="1" applyFill="1"/>
    <xf numFmtId="0" fontId="40" fillId="4" borderId="0" xfId="0" applyFont="1" applyFill="1"/>
    <xf numFmtId="10" fontId="3" fillId="4" borderId="0" xfId="0" applyNumberFormat="1" applyFont="1" applyFill="1"/>
    <xf numFmtId="4" fontId="3" fillId="4" borderId="0" xfId="0" applyNumberFormat="1" applyFont="1" applyFill="1"/>
    <xf numFmtId="170" fontId="3" fillId="4" borderId="0" xfId="0" applyNumberFormat="1" applyFont="1" applyFill="1"/>
    <xf numFmtId="10" fontId="0" fillId="0" borderId="6" xfId="2" applyNumberFormat="1" applyFont="1" applyBorder="1" applyAlignment="1">
      <alignment horizontal="right"/>
    </xf>
    <xf numFmtId="10" fontId="0" fillId="0" borderId="9" xfId="2" applyNumberFormat="1" applyFont="1" applyBorder="1"/>
    <xf numFmtId="17" fontId="21" fillId="3" borderId="0" xfId="0" applyNumberFormat="1" applyFont="1" applyFill="1"/>
    <xf numFmtId="0" fontId="0" fillId="0" borderId="9" xfId="0" applyFont="1" applyBorder="1"/>
    <xf numFmtId="0" fontId="21" fillId="3" borderId="0" xfId="0" applyFont="1" applyFill="1"/>
    <xf numFmtId="17" fontId="21" fillId="3" borderId="0" xfId="0" applyNumberFormat="1" applyFont="1" applyFill="1" applyAlignment="1">
      <alignment horizontal="right"/>
    </xf>
    <xf numFmtId="0" fontId="21" fillId="3" borderId="0" xfId="0" applyFont="1" applyFill="1" applyAlignment="1">
      <alignment horizontal="right"/>
    </xf>
    <xf numFmtId="167" fontId="0" fillId="0" borderId="9" xfId="0" applyNumberFormat="1" applyBorder="1"/>
    <xf numFmtId="10" fontId="0" fillId="4" borderId="0" xfId="2" applyNumberFormat="1" applyFont="1" applyFill="1"/>
    <xf numFmtId="10" fontId="0" fillId="4" borderId="9" xfId="2" applyNumberFormat="1" applyFont="1" applyFill="1" applyBorder="1"/>
    <xf numFmtId="167" fontId="0" fillId="4" borderId="9" xfId="0" applyNumberFormat="1" applyFill="1" applyBorder="1"/>
    <xf numFmtId="10" fontId="0" fillId="4" borderId="8" xfId="2" applyNumberFormat="1" applyFont="1" applyFill="1" applyBorder="1"/>
    <xf numFmtId="165" fontId="24" fillId="4" borderId="9" xfId="0" applyNumberFormat="1" applyFont="1" applyFill="1" applyBorder="1" applyAlignment="1">
      <alignment horizontal="center"/>
    </xf>
    <xf numFmtId="165" fontId="24" fillId="4" borderId="24" xfId="0" applyNumberFormat="1" applyFont="1" applyFill="1" applyBorder="1" applyAlignment="1">
      <alignment horizontal="center"/>
    </xf>
    <xf numFmtId="0" fontId="0" fillId="0" borderId="16" xfId="0" applyBorder="1" applyAlignment="1">
      <alignment horizontal="right"/>
    </xf>
    <xf numFmtId="9" fontId="0" fillId="0" borderId="0" xfId="2" applyFont="1" applyBorder="1"/>
    <xf numFmtId="0" fontId="0" fillId="3" borderId="0" xfId="0" applyFill="1" applyBorder="1"/>
    <xf numFmtId="43" fontId="3" fillId="2" borderId="6" xfId="1" applyFont="1" applyFill="1" applyBorder="1"/>
    <xf numFmtId="43" fontId="0" fillId="2" borderId="6" xfId="1" applyFont="1" applyFill="1" applyBorder="1"/>
    <xf numFmtId="43" fontId="3" fillId="2" borderId="6" xfId="1" applyFont="1" applyFill="1" applyBorder="1" applyAlignment="1">
      <alignment horizontal="left"/>
    </xf>
    <xf numFmtId="43" fontId="0" fillId="2" borderId="6" xfId="1" applyFont="1" applyFill="1" applyBorder="1" applyAlignment="1">
      <alignment horizontal="left"/>
    </xf>
    <xf numFmtId="43" fontId="0" fillId="2" borderId="16" xfId="1" applyFont="1" applyFill="1" applyBorder="1"/>
    <xf numFmtId="43" fontId="1" fillId="2" borderId="6" xfId="1" applyFont="1" applyFill="1" applyBorder="1"/>
    <xf numFmtId="39" fontId="3" fillId="2" borderId="0" xfId="0" applyNumberFormat="1" applyFont="1" applyFill="1" applyBorder="1"/>
    <xf numFmtId="0" fontId="24" fillId="0" borderId="0" xfId="0" applyFont="1" applyAlignment="1">
      <alignment horizontal="center"/>
    </xf>
    <xf numFmtId="4" fontId="0" fillId="0" borderId="20" xfId="0" applyNumberFormat="1" applyBorder="1"/>
    <xf numFmtId="4" fontId="0" fillId="6" borderId="0" xfId="0" applyNumberFormat="1" applyFill="1"/>
    <xf numFmtId="168" fontId="0" fillId="6" borderId="0" xfId="0" applyNumberFormat="1" applyFill="1"/>
    <xf numFmtId="0" fontId="41" fillId="0" borderId="0" xfId="0" applyFont="1"/>
    <xf numFmtId="0" fontId="42" fillId="0" borderId="0" xfId="0" applyFont="1"/>
    <xf numFmtId="0" fontId="42" fillId="0" borderId="0" xfId="0" applyFont="1" applyAlignment="1">
      <alignment horizontal="center"/>
    </xf>
    <xf numFmtId="0" fontId="41" fillId="0" borderId="0" xfId="0" applyFont="1" applyAlignment="1">
      <alignment horizontal="center"/>
    </xf>
    <xf numFmtId="43" fontId="42" fillId="0" borderId="0" xfId="1" applyFont="1"/>
    <xf numFmtId="9" fontId="42" fillId="0" borderId="0" xfId="2" applyFont="1"/>
    <xf numFmtId="181" fontId="42" fillId="0" borderId="0" xfId="0" applyNumberFormat="1" applyFont="1"/>
    <xf numFmtId="0" fontId="41" fillId="0" borderId="0" xfId="0" applyFont="1" applyAlignment="1">
      <alignment horizontal="center" vertical="center"/>
    </xf>
    <xf numFmtId="0" fontId="42" fillId="0" borderId="0" xfId="0" applyFont="1" applyAlignment="1">
      <alignment horizontal="center" vertical="center"/>
    </xf>
    <xf numFmtId="0" fontId="44" fillId="0" borderId="0" xfId="0" applyFont="1"/>
    <xf numFmtId="0" fontId="44" fillId="0" borderId="0" xfId="0" applyFont="1" applyAlignment="1">
      <alignment horizontal="center"/>
    </xf>
    <xf numFmtId="181" fontId="44" fillId="0" borderId="0" xfId="0" applyNumberFormat="1" applyFont="1"/>
    <xf numFmtId="0" fontId="45" fillId="4" borderId="0" xfId="0" applyFont="1" applyFill="1" applyAlignment="1">
      <alignment horizontal="center"/>
    </xf>
    <xf numFmtId="0" fontId="42" fillId="2" borderId="0" xfId="0" applyFont="1" applyFill="1" applyAlignment="1">
      <alignment horizontal="center"/>
    </xf>
    <xf numFmtId="0" fontId="42" fillId="0" borderId="22" xfId="0" applyFont="1" applyBorder="1" applyAlignment="1">
      <alignment horizontal="center" vertical="center"/>
    </xf>
    <xf numFmtId="43" fontId="42" fillId="0" borderId="9" xfId="1" applyFont="1" applyBorder="1" applyAlignment="1">
      <alignment horizontal="center"/>
    </xf>
    <xf numFmtId="0" fontId="45" fillId="0" borderId="22" xfId="0" applyFont="1" applyBorder="1" applyAlignment="1">
      <alignment horizontal="center" vertical="center"/>
    </xf>
    <xf numFmtId="0" fontId="45" fillId="0" borderId="9" xfId="0" applyFont="1" applyBorder="1" applyAlignment="1">
      <alignment horizontal="center" vertical="center" wrapText="1"/>
    </xf>
    <xf numFmtId="0" fontId="45" fillId="0" borderId="21" xfId="0" applyFont="1" applyBorder="1" applyAlignment="1">
      <alignment horizontal="center" vertical="center"/>
    </xf>
    <xf numFmtId="0" fontId="42" fillId="0" borderId="22" xfId="0" applyFont="1" applyBorder="1"/>
    <xf numFmtId="0" fontId="42" fillId="0" borderId="9" xfId="0" applyFont="1" applyBorder="1" applyAlignment="1">
      <alignment horizontal="center"/>
    </xf>
    <xf numFmtId="3" fontId="47" fillId="0" borderId="21" xfId="0" applyNumberFormat="1" applyFont="1" applyBorder="1"/>
    <xf numFmtId="182" fontId="42" fillId="0" borderId="21" xfId="1" applyNumberFormat="1" applyFont="1" applyBorder="1"/>
    <xf numFmtId="43" fontId="42" fillId="0" borderId="21" xfId="1" applyFont="1" applyBorder="1"/>
    <xf numFmtId="0" fontId="45" fillId="0" borderId="22" xfId="0" applyFont="1" applyBorder="1" applyAlignment="1">
      <alignment horizontal="center"/>
    </xf>
    <xf numFmtId="0" fontId="45" fillId="0" borderId="9" xfId="0" applyFont="1" applyBorder="1" applyAlignment="1">
      <alignment horizontal="center"/>
    </xf>
    <xf numFmtId="0" fontId="45" fillId="0" borderId="21" xfId="0" applyFont="1" applyBorder="1" applyAlignment="1">
      <alignment horizontal="center"/>
    </xf>
    <xf numFmtId="17" fontId="24" fillId="4" borderId="20" xfId="0" applyNumberFormat="1" applyFont="1" applyFill="1" applyBorder="1" applyAlignment="1">
      <alignment horizontal="right"/>
    </xf>
    <xf numFmtId="17" fontId="24" fillId="4" borderId="20" xfId="0" applyNumberFormat="1" applyFont="1" applyFill="1" applyBorder="1"/>
    <xf numFmtId="10" fontId="0" fillId="2" borderId="9" xfId="2" applyNumberFormat="1" applyFont="1" applyFill="1" applyBorder="1"/>
    <xf numFmtId="167" fontId="0" fillId="2" borderId="9" xfId="0" applyNumberFormat="1" applyFill="1" applyBorder="1"/>
    <xf numFmtId="0" fontId="0" fillId="2" borderId="20" xfId="0" applyFill="1" applyBorder="1"/>
    <xf numFmtId="10" fontId="0" fillId="2" borderId="20" xfId="2" applyNumberFormat="1" applyFont="1" applyFill="1" applyBorder="1"/>
    <xf numFmtId="0" fontId="48" fillId="3" borderId="0" xfId="5" applyFont="1" applyFill="1" applyBorder="1" applyAlignment="1">
      <alignment horizontal="center" vertical="center"/>
    </xf>
    <xf numFmtId="43" fontId="0" fillId="0" borderId="40" xfId="1" applyFont="1" applyBorder="1"/>
    <xf numFmtId="165" fontId="0" fillId="0" borderId="40" xfId="0" applyNumberFormat="1" applyBorder="1"/>
    <xf numFmtId="43" fontId="0" fillId="0" borderId="45" xfId="1" applyFont="1" applyBorder="1"/>
    <xf numFmtId="0" fontId="0" fillId="0" borderId="70" xfId="0" applyBorder="1"/>
    <xf numFmtId="0" fontId="3" fillId="0" borderId="71" xfId="0" applyFont="1" applyBorder="1" applyAlignment="1">
      <alignment vertical="center" wrapText="1"/>
    </xf>
    <xf numFmtId="0" fontId="0" fillId="0" borderId="72" xfId="0" applyBorder="1"/>
    <xf numFmtId="165" fontId="3" fillId="0" borderId="73" xfId="0" applyNumberFormat="1" applyFont="1" applyBorder="1" applyAlignment="1">
      <alignment vertical="center" wrapText="1"/>
    </xf>
    <xf numFmtId="165" fontId="0" fillId="0" borderId="40" xfId="0" applyNumberFormat="1" applyFont="1" applyBorder="1" applyAlignment="1">
      <alignment vertical="center" wrapText="1"/>
    </xf>
    <xf numFmtId="0" fontId="0" fillId="0" borderId="0" xfId="0" applyFont="1"/>
    <xf numFmtId="0" fontId="45" fillId="4" borderId="20" xfId="0" applyFont="1" applyFill="1" applyBorder="1" applyAlignment="1">
      <alignment horizontal="center" vertical="center"/>
    </xf>
    <xf numFmtId="0" fontId="48" fillId="0" borderId="20" xfId="6" applyFont="1" applyBorder="1" applyAlignment="1">
      <alignment horizontal="center" vertical="center"/>
    </xf>
    <xf numFmtId="0" fontId="46" fillId="4" borderId="20" xfId="0" applyFont="1" applyFill="1" applyBorder="1"/>
    <xf numFmtId="0" fontId="46" fillId="4" borderId="20" xfId="0" applyFont="1" applyFill="1" applyBorder="1" applyAlignment="1">
      <alignment vertical="center"/>
    </xf>
    <xf numFmtId="10" fontId="42" fillId="0" borderId="21" xfId="0" applyNumberFormat="1" applyFont="1" applyBorder="1"/>
    <xf numFmtId="0" fontId="50" fillId="4" borderId="0" xfId="0" applyFont="1" applyFill="1"/>
    <xf numFmtId="0" fontId="24" fillId="4" borderId="17" xfId="0" applyFont="1" applyFill="1" applyBorder="1" applyAlignment="1">
      <alignment horizontal="left"/>
    </xf>
    <xf numFmtId="10" fontId="0" fillId="3" borderId="9" xfId="2" applyNumberFormat="1" applyFont="1" applyFill="1" applyBorder="1"/>
    <xf numFmtId="2" fontId="0" fillId="3" borderId="0" xfId="0" applyNumberFormat="1" applyFill="1"/>
    <xf numFmtId="167" fontId="0" fillId="3" borderId="0" xfId="0" applyNumberFormat="1" applyFill="1"/>
    <xf numFmtId="2" fontId="0" fillId="4" borderId="0" xfId="0" applyNumberFormat="1" applyFill="1" applyBorder="1"/>
    <xf numFmtId="2" fontId="0" fillId="8" borderId="0" xfId="0" applyNumberFormat="1" applyFill="1" applyBorder="1"/>
    <xf numFmtId="2" fontId="0" fillId="7" borderId="0" xfId="0" applyNumberFormat="1" applyFill="1" applyBorder="1"/>
    <xf numFmtId="2" fontId="0" fillId="4" borderId="52" xfId="0" applyNumberFormat="1" applyFill="1" applyBorder="1"/>
    <xf numFmtId="2" fontId="0" fillId="4" borderId="8" xfId="0" applyNumberFormat="1" applyFill="1" applyBorder="1"/>
    <xf numFmtId="2" fontId="0" fillId="4" borderId="43" xfId="0" applyNumberFormat="1" applyFill="1" applyBorder="1"/>
    <xf numFmtId="10" fontId="3" fillId="9" borderId="45" xfId="0" applyNumberFormat="1" applyFont="1" applyFill="1" applyBorder="1"/>
    <xf numFmtId="10" fontId="3" fillId="9" borderId="42" xfId="0" applyNumberFormat="1" applyFont="1" applyFill="1" applyBorder="1"/>
    <xf numFmtId="10" fontId="3" fillId="9" borderId="10" xfId="0" applyNumberFormat="1" applyFont="1" applyFill="1" applyBorder="1"/>
    <xf numFmtId="10" fontId="3" fillId="9" borderId="24" xfId="0" applyNumberFormat="1" applyFont="1" applyFill="1" applyBorder="1"/>
    <xf numFmtId="2" fontId="21" fillId="9" borderId="23" xfId="0" applyNumberFormat="1" applyFont="1" applyFill="1" applyBorder="1"/>
    <xf numFmtId="167" fontId="3" fillId="9" borderId="45" xfId="0" applyNumberFormat="1" applyFont="1" applyFill="1" applyBorder="1"/>
    <xf numFmtId="167" fontId="3" fillId="9" borderId="42" xfId="0" applyNumberFormat="1" applyFont="1" applyFill="1" applyBorder="1"/>
    <xf numFmtId="167" fontId="3" fillId="9" borderId="10" xfId="0" applyNumberFormat="1" applyFont="1" applyFill="1" applyBorder="1"/>
    <xf numFmtId="167" fontId="3" fillId="9" borderId="24" xfId="0" applyNumberFormat="1" applyFont="1" applyFill="1" applyBorder="1"/>
    <xf numFmtId="167" fontId="0" fillId="3" borderId="9" xfId="0" applyNumberFormat="1" applyFill="1" applyBorder="1"/>
    <xf numFmtId="173" fontId="24" fillId="4" borderId="20" xfId="0" applyNumberFormat="1" applyFont="1" applyFill="1" applyBorder="1"/>
    <xf numFmtId="171" fontId="51" fillId="4" borderId="20" xfId="0" applyNumberFormat="1" applyFont="1" applyFill="1" applyBorder="1"/>
    <xf numFmtId="10" fontId="40" fillId="4" borderId="20" xfId="2" applyNumberFormat="1" applyFont="1" applyFill="1" applyBorder="1"/>
    <xf numFmtId="0" fontId="24" fillId="0" borderId="0" xfId="0" applyFont="1" applyFill="1" applyAlignment="1"/>
    <xf numFmtId="10" fontId="0" fillId="0" borderId="9" xfId="2" applyNumberFormat="1" applyFont="1" applyFill="1" applyBorder="1"/>
    <xf numFmtId="183" fontId="0" fillId="0" borderId="20" xfId="0" applyNumberFormat="1" applyBorder="1"/>
    <xf numFmtId="43" fontId="0" fillId="0" borderId="45" xfId="1" applyFont="1" applyBorder="1" applyAlignment="1">
      <alignment horizontal="left" vertical="center"/>
    </xf>
    <xf numFmtId="2" fontId="0" fillId="2" borderId="20" xfId="2" applyNumberFormat="1" applyFont="1" applyFill="1" applyBorder="1"/>
    <xf numFmtId="2" fontId="0" fillId="0" borderId="20" xfId="2" applyNumberFormat="1" applyFont="1" applyBorder="1"/>
    <xf numFmtId="173" fontId="24" fillId="3" borderId="0" xfId="0" applyNumberFormat="1" applyFont="1" applyFill="1" applyBorder="1"/>
    <xf numFmtId="171" fontId="51" fillId="3" borderId="0" xfId="0" applyNumberFormat="1" applyFont="1" applyFill="1" applyBorder="1"/>
    <xf numFmtId="10" fontId="0" fillId="0" borderId="20" xfId="2" applyNumberFormat="1" applyFont="1" applyBorder="1" applyAlignment="1">
      <alignment horizontal="right" vertical="center"/>
    </xf>
    <xf numFmtId="10" fontId="0" fillId="0" borderId="20" xfId="2" applyNumberFormat="1" applyFont="1" applyBorder="1" applyAlignment="1">
      <alignment horizontal="right"/>
    </xf>
    <xf numFmtId="0" fontId="0" fillId="0" borderId="20" xfId="6" applyFont="1" applyBorder="1" applyAlignment="1">
      <alignment horizontal="left" vertical="center" wrapText="1"/>
    </xf>
    <xf numFmtId="0" fontId="45" fillId="4" borderId="22" xfId="0" applyFont="1" applyFill="1" applyBorder="1" applyAlignment="1">
      <alignment horizontal="center"/>
    </xf>
    <xf numFmtId="0" fontId="45" fillId="4" borderId="9" xfId="0" applyFont="1" applyFill="1" applyBorder="1" applyAlignment="1">
      <alignment horizontal="center"/>
    </xf>
    <xf numFmtId="0" fontId="45" fillId="4" borderId="21" xfId="0" applyFont="1" applyFill="1" applyBorder="1" applyAlignment="1">
      <alignment horizontal="center"/>
    </xf>
    <xf numFmtId="0" fontId="45" fillId="4" borderId="20" xfId="0" applyFont="1" applyFill="1" applyBorder="1" applyAlignment="1">
      <alignment horizontal="center" vertical="center"/>
    </xf>
    <xf numFmtId="0" fontId="0" fillId="0" borderId="20" xfId="0" applyFont="1" applyBorder="1" applyAlignment="1">
      <alignment vertical="center" wrapText="1"/>
    </xf>
    <xf numFmtId="0" fontId="48" fillId="0" borderId="20" xfId="6" applyFont="1" applyBorder="1" applyAlignment="1">
      <alignment horizontal="center" vertical="center"/>
    </xf>
    <xf numFmtId="0" fontId="0" fillId="0" borderId="20" xfId="0" applyFont="1" applyBorder="1" applyAlignment="1">
      <alignment horizontal="left" vertical="center" wrapText="1"/>
    </xf>
    <xf numFmtId="0" fontId="48" fillId="0" borderId="25" xfId="0" applyFont="1" applyBorder="1" applyAlignment="1">
      <alignment horizontal="center" vertical="center"/>
    </xf>
    <xf numFmtId="0" fontId="48" fillId="0" borderId="51" xfId="0" applyFont="1" applyBorder="1" applyAlignment="1">
      <alignment horizontal="center" vertical="center"/>
    </xf>
    <xf numFmtId="0" fontId="45" fillId="4" borderId="20" xfId="0" applyFont="1" applyFill="1" applyBorder="1" applyAlignment="1">
      <alignment horizontal="center"/>
    </xf>
    <xf numFmtId="0" fontId="41" fillId="0" borderId="20" xfId="0" applyFont="1" applyBorder="1" applyAlignment="1">
      <alignment horizontal="left"/>
    </xf>
    <xf numFmtId="0" fontId="42" fillId="0" borderId="20" xfId="0" applyFont="1" applyBorder="1" applyAlignment="1">
      <alignment horizontal="left"/>
    </xf>
    <xf numFmtId="0" fontId="42" fillId="0" borderId="20" xfId="0" applyFont="1" applyBorder="1" applyAlignment="1">
      <alignment horizontal="left" wrapText="1"/>
    </xf>
    <xf numFmtId="0" fontId="43" fillId="0" borderId="20" xfId="4" applyFont="1" applyBorder="1" applyAlignment="1">
      <alignment horizontal="left"/>
    </xf>
    <xf numFmtId="0" fontId="42" fillId="0" borderId="20" xfId="0" applyFont="1" applyBorder="1" applyAlignment="1">
      <alignment horizontal="left" vertical="top" wrapText="1"/>
    </xf>
    <xf numFmtId="2" fontId="42" fillId="0" borderId="20" xfId="0" applyNumberFormat="1" applyFont="1" applyBorder="1" applyAlignment="1">
      <alignment horizontal="center"/>
    </xf>
    <xf numFmtId="0" fontId="45" fillId="4" borderId="0" xfId="0" applyFont="1" applyFill="1" applyAlignment="1">
      <alignment horizontal="center"/>
    </xf>
    <xf numFmtId="0" fontId="42" fillId="2" borderId="0" xfId="0" applyFont="1" applyFill="1" applyAlignment="1">
      <alignment horizontal="center"/>
    </xf>
    <xf numFmtId="0" fontId="45" fillId="4" borderId="66" xfId="0" applyFont="1" applyFill="1" applyBorder="1" applyAlignment="1">
      <alignment horizontal="center"/>
    </xf>
    <xf numFmtId="0" fontId="45" fillId="4" borderId="67" xfId="0" applyFont="1" applyFill="1" applyBorder="1" applyAlignment="1">
      <alignment horizontal="center"/>
    </xf>
    <xf numFmtId="0" fontId="45" fillId="4" borderId="68" xfId="0" applyFont="1" applyFill="1" applyBorder="1" applyAlignment="1">
      <alignment horizontal="center"/>
    </xf>
    <xf numFmtId="0" fontId="0" fillId="0" borderId="22" xfId="0" applyFill="1" applyBorder="1" applyAlignment="1">
      <alignment wrapText="1"/>
    </xf>
    <xf numFmtId="0" fontId="0" fillId="0" borderId="9" xfId="0" applyFill="1" applyBorder="1" applyAlignment="1">
      <alignment wrapText="1"/>
    </xf>
    <xf numFmtId="0" fontId="0" fillId="0" borderId="21" xfId="0" applyFill="1" applyBorder="1" applyAlignment="1">
      <alignment wrapText="1"/>
    </xf>
    <xf numFmtId="0" fontId="0" fillId="0" borderId="22" xfId="0" applyFont="1" applyBorder="1" applyAlignment="1">
      <alignment vertical="center" wrapText="1"/>
    </xf>
    <xf numFmtId="0" fontId="0" fillId="0" borderId="9" xfId="0" applyFont="1" applyBorder="1" applyAlignment="1">
      <alignment vertical="center" wrapText="1"/>
    </xf>
    <xf numFmtId="0" fontId="0" fillId="0" borderId="21" xfId="0" applyFont="1" applyBorder="1" applyAlignment="1">
      <alignment vertical="center" wrapText="1"/>
    </xf>
    <xf numFmtId="0" fontId="48" fillId="0" borderId="40" xfId="0" applyFont="1" applyBorder="1" applyAlignment="1">
      <alignment horizontal="center" vertical="center"/>
    </xf>
    <xf numFmtId="0" fontId="48" fillId="0" borderId="25" xfId="0" applyFont="1" applyBorder="1" applyAlignment="1">
      <alignment horizontal="center" vertical="center" wrapText="1"/>
    </xf>
    <xf numFmtId="0" fontId="48" fillId="0" borderId="40" xfId="0" applyFont="1" applyBorder="1" applyAlignment="1">
      <alignment horizontal="center" vertical="center" wrapText="1"/>
    </xf>
    <xf numFmtId="0" fontId="48" fillId="0" borderId="51" xfId="0" applyFont="1" applyBorder="1" applyAlignment="1">
      <alignment horizontal="center" vertical="center" wrapText="1"/>
    </xf>
    <xf numFmtId="164" fontId="24" fillId="4" borderId="20" xfId="1" applyNumberFormat="1" applyFont="1" applyFill="1" applyBorder="1" applyAlignment="1">
      <alignment horizontal="center"/>
    </xf>
    <xf numFmtId="164" fontId="24" fillId="4" borderId="20" xfId="1" applyNumberFormat="1" applyFont="1" applyFill="1" applyBorder="1"/>
    <xf numFmtId="164" fontId="24" fillId="4" borderId="22" xfId="1" applyNumberFormat="1" applyFont="1" applyFill="1" applyBorder="1" applyAlignment="1">
      <alignment horizontal="center"/>
    </xf>
    <xf numFmtId="164" fontId="24" fillId="4" borderId="9" xfId="1" applyNumberFormat="1" applyFont="1" applyFill="1" applyBorder="1" applyAlignment="1">
      <alignment horizontal="center"/>
    </xf>
    <xf numFmtId="164" fontId="24" fillId="4" borderId="21" xfId="1" applyNumberFormat="1" applyFont="1" applyFill="1" applyBorder="1" applyAlignment="1">
      <alignment horizontal="center"/>
    </xf>
    <xf numFmtId="0" fontId="3" fillId="0" borderId="35" xfId="0" applyFont="1" applyBorder="1" applyAlignment="1">
      <alignment horizontal="left" vertical="center" wrapText="1"/>
    </xf>
    <xf numFmtId="0" fontId="13" fillId="0" borderId="48" xfId="0" applyFont="1" applyBorder="1" applyAlignment="1">
      <alignment horizontal="left" vertical="center"/>
    </xf>
    <xf numFmtId="0" fontId="13" fillId="0" borderId="49" xfId="0" applyFont="1" applyBorder="1" applyAlignment="1">
      <alignment horizontal="left" vertical="center"/>
    </xf>
    <xf numFmtId="0" fontId="13" fillId="0" borderId="22" xfId="0" applyFont="1" applyBorder="1" applyAlignment="1">
      <alignment horizontal="left" vertical="center"/>
    </xf>
    <xf numFmtId="0" fontId="13" fillId="0" borderId="9" xfId="0" applyFont="1" applyBorder="1" applyAlignment="1">
      <alignment horizontal="left" vertical="center"/>
    </xf>
    <xf numFmtId="0" fontId="3" fillId="0" borderId="53" xfId="0" applyFont="1" applyBorder="1" applyAlignment="1">
      <alignment horizontal="left" vertical="center" wrapText="1"/>
    </xf>
    <xf numFmtId="0" fontId="3" fillId="0" borderId="44" xfId="0" applyFont="1" applyBorder="1" applyAlignment="1">
      <alignment horizontal="left" vertical="center" wrapText="1"/>
    </xf>
    <xf numFmtId="0" fontId="3" fillId="0" borderId="46" xfId="0" applyFont="1" applyBorder="1" applyAlignment="1">
      <alignment horizontal="left" vertical="center" wrapText="1"/>
    </xf>
    <xf numFmtId="0" fontId="3" fillId="0" borderId="34" xfId="0" applyFont="1" applyBorder="1" applyAlignment="1">
      <alignment horizontal="left" vertical="center" wrapText="1"/>
    </xf>
    <xf numFmtId="171" fontId="26" fillId="0" borderId="0" xfId="3" applyNumberFormat="1" applyFont="1" applyAlignment="1">
      <alignment horizontal="right"/>
    </xf>
    <xf numFmtId="0" fontId="33" fillId="4" borderId="22" xfId="0" applyFont="1" applyFill="1" applyBorder="1" applyAlignment="1">
      <alignment horizontal="left" vertical="center"/>
    </xf>
    <xf numFmtId="0" fontId="33" fillId="4" borderId="9" xfId="0" applyFont="1" applyFill="1" applyBorder="1" applyAlignment="1">
      <alignment horizontal="left" vertical="center"/>
    </xf>
    <xf numFmtId="164" fontId="24" fillId="4" borderId="23" xfId="1" applyNumberFormat="1" applyFont="1" applyFill="1" applyBorder="1" applyAlignment="1">
      <alignment horizontal="left"/>
    </xf>
    <xf numFmtId="164" fontId="24" fillId="4" borderId="10" xfId="1" applyNumberFormat="1" applyFont="1" applyFill="1" applyBorder="1" applyAlignment="1">
      <alignment horizontal="left"/>
    </xf>
    <xf numFmtId="164" fontId="24" fillId="4" borderId="24" xfId="1" applyNumberFormat="1" applyFont="1" applyFill="1" applyBorder="1" applyAlignment="1">
      <alignment horizontal="left"/>
    </xf>
    <xf numFmtId="165" fontId="0" fillId="0" borderId="9" xfId="0" applyNumberFormat="1" applyBorder="1" applyAlignment="1">
      <alignment horizontal="center"/>
    </xf>
    <xf numFmtId="165" fontId="0" fillId="0" borderId="21" xfId="0" applyNumberFormat="1" applyBorder="1" applyAlignment="1">
      <alignment horizontal="center"/>
    </xf>
    <xf numFmtId="165" fontId="0" fillId="0" borderId="49" xfId="0" applyNumberFormat="1" applyBorder="1" applyAlignment="1">
      <alignment horizontal="center"/>
    </xf>
    <xf numFmtId="165" fontId="0" fillId="0" borderId="50" xfId="0" applyNumberFormat="1" applyBorder="1" applyAlignment="1">
      <alignment horizontal="center"/>
    </xf>
    <xf numFmtId="0" fontId="13" fillId="0" borderId="42" xfId="0" applyFont="1" applyBorder="1" applyAlignment="1">
      <alignment horizontal="left" vertical="center"/>
    </xf>
    <xf numFmtId="0" fontId="13" fillId="0" borderId="8" xfId="0" applyFont="1" applyBorder="1" applyAlignment="1">
      <alignment horizontal="left" vertical="center"/>
    </xf>
    <xf numFmtId="165" fontId="0" fillId="0" borderId="20" xfId="0" applyNumberFormat="1" applyBorder="1" applyAlignment="1">
      <alignment horizontal="center"/>
    </xf>
    <xf numFmtId="164" fontId="24" fillId="4" borderId="45" xfId="0" applyNumberFormat="1" applyFont="1" applyFill="1" applyBorder="1" applyAlignment="1">
      <alignment horizontal="center"/>
    </xf>
    <xf numFmtId="164" fontId="24" fillId="4" borderId="0" xfId="0" applyNumberFormat="1" applyFont="1" applyFill="1" applyBorder="1" applyAlignment="1">
      <alignment horizontal="center"/>
    </xf>
    <xf numFmtId="0" fontId="34" fillId="0" borderId="20" xfId="0" applyFont="1" applyBorder="1" applyAlignment="1">
      <alignment horizontal="left" vertical="center"/>
    </xf>
    <xf numFmtId="0" fontId="34" fillId="0" borderId="22" xfId="0" applyFont="1" applyBorder="1" applyAlignment="1">
      <alignment horizontal="left" vertical="center"/>
    </xf>
    <xf numFmtId="164" fontId="24" fillId="4" borderId="66" xfId="0" applyNumberFormat="1" applyFont="1" applyFill="1" applyBorder="1" applyAlignment="1">
      <alignment horizontal="center"/>
    </xf>
    <xf numFmtId="164" fontId="24" fillId="4" borderId="67" xfId="0" applyNumberFormat="1" applyFont="1" applyFill="1" applyBorder="1" applyAlignment="1">
      <alignment horizontal="center"/>
    </xf>
    <xf numFmtId="164" fontId="24" fillId="4" borderId="68" xfId="0" applyNumberFormat="1" applyFont="1" applyFill="1" applyBorder="1" applyAlignment="1">
      <alignment horizontal="center"/>
    </xf>
    <xf numFmtId="164" fontId="24" fillId="4" borderId="20" xfId="0" applyNumberFormat="1" applyFont="1" applyFill="1" applyBorder="1" applyAlignment="1">
      <alignment horizontal="center"/>
    </xf>
    <xf numFmtId="0" fontId="3" fillId="0" borderId="22" xfId="0" applyFont="1" applyBorder="1" applyAlignment="1">
      <alignment horizontal="left"/>
    </xf>
    <xf numFmtId="0" fontId="3" fillId="0" borderId="9" xfId="0" applyFont="1" applyBorder="1" applyAlignment="1">
      <alignment horizontal="left"/>
    </xf>
    <xf numFmtId="0" fontId="24" fillId="4" borderId="17" xfId="0" applyFont="1" applyFill="1" applyBorder="1" applyAlignment="1">
      <alignment horizontal="left"/>
    </xf>
    <xf numFmtId="0" fontId="0" fillId="0" borderId="19" xfId="0" applyBorder="1" applyAlignment="1">
      <alignment horizontal="left"/>
    </xf>
    <xf numFmtId="0" fontId="0" fillId="0" borderId="6" xfId="0" applyFont="1" applyFill="1" applyBorder="1" applyAlignment="1">
      <alignment horizontal="left"/>
    </xf>
    <xf numFmtId="0" fontId="0" fillId="0" borderId="6" xfId="0" applyBorder="1" applyAlignment="1">
      <alignment horizontal="left"/>
    </xf>
    <xf numFmtId="0" fontId="3" fillId="0" borderId="6" xfId="0" applyFont="1" applyBorder="1" applyAlignment="1">
      <alignment horizontal="left"/>
    </xf>
    <xf numFmtId="164" fontId="24" fillId="4" borderId="13" xfId="0" applyNumberFormat="1" applyFont="1" applyFill="1" applyBorder="1" applyAlignment="1">
      <alignment horizontal="center"/>
    </xf>
    <xf numFmtId="164" fontId="24" fillId="4" borderId="6" xfId="0" applyNumberFormat="1" applyFont="1" applyFill="1" applyBorder="1" applyAlignment="1">
      <alignment horizontal="center"/>
    </xf>
    <xf numFmtId="164" fontId="24" fillId="4" borderId="14" xfId="0" applyNumberFormat="1" applyFont="1" applyFill="1" applyBorder="1" applyAlignment="1">
      <alignment horizontal="center"/>
    </xf>
    <xf numFmtId="0" fontId="24" fillId="4" borderId="6" xfId="0" applyFont="1" applyFill="1" applyBorder="1" applyAlignment="1">
      <alignment horizontal="left"/>
    </xf>
    <xf numFmtId="0" fontId="3" fillId="0" borderId="0" xfId="0" applyFont="1" applyBorder="1" applyAlignment="1">
      <alignment horizontal="center"/>
    </xf>
    <xf numFmtId="0" fontId="3" fillId="0" borderId="0" xfId="0" applyFont="1" applyBorder="1" applyAlignment="1">
      <alignment horizontal="right" vertical="center" textRotation="90"/>
    </xf>
    <xf numFmtId="164" fontId="24" fillId="4" borderId="15" xfId="0" applyNumberFormat="1" applyFont="1" applyFill="1" applyBorder="1" applyAlignment="1">
      <alignment horizontal="left"/>
    </xf>
    <xf numFmtId="164" fontId="24" fillId="4" borderId="69" xfId="0" applyNumberFormat="1" applyFont="1" applyFill="1" applyBorder="1" applyAlignment="1">
      <alignment horizontal="left"/>
    </xf>
    <xf numFmtId="0" fontId="34" fillId="4" borderId="45" xfId="0" applyFont="1" applyFill="1" applyBorder="1" applyAlignment="1">
      <alignment horizontal="left" vertical="center"/>
    </xf>
    <xf numFmtId="0" fontId="34" fillId="4" borderId="0" xfId="0" applyFont="1" applyFill="1" applyBorder="1" applyAlignment="1">
      <alignment horizontal="left" vertical="center"/>
    </xf>
    <xf numFmtId="0" fontId="19" fillId="4" borderId="0" xfId="0" applyFont="1" applyFill="1" applyAlignment="1">
      <alignment horizontal="center"/>
    </xf>
    <xf numFmtId="171" fontId="26" fillId="0" borderId="0" xfId="3" applyNumberFormat="1" applyFont="1" applyAlignment="1">
      <alignment horizontal="left" indent="2"/>
    </xf>
    <xf numFmtId="0" fontId="24" fillId="4" borderId="13" xfId="0" applyFont="1" applyFill="1" applyBorder="1" applyAlignment="1">
      <alignment horizontal="center"/>
    </xf>
    <xf numFmtId="0" fontId="24" fillId="4" borderId="6" xfId="0" applyFont="1" applyFill="1" applyBorder="1" applyAlignment="1">
      <alignment horizontal="center"/>
    </xf>
    <xf numFmtId="0" fontId="24" fillId="4" borderId="14" xfId="0" applyFont="1" applyFill="1" applyBorder="1" applyAlignment="1">
      <alignment horizontal="center"/>
    </xf>
    <xf numFmtId="0" fontId="24" fillId="4" borderId="12" xfId="0" applyFont="1" applyFill="1" applyBorder="1" applyAlignment="1">
      <alignment horizontal="center"/>
    </xf>
    <xf numFmtId="0" fontId="24" fillId="4" borderId="22" xfId="0" applyFont="1" applyFill="1" applyBorder="1" applyAlignment="1">
      <alignment horizontal="left"/>
    </xf>
    <xf numFmtId="0" fontId="24" fillId="4" borderId="9" xfId="0" applyFont="1" applyFill="1" applyBorder="1" applyAlignment="1">
      <alignment horizontal="left"/>
    </xf>
    <xf numFmtId="0" fontId="24" fillId="4" borderId="21" xfId="0" applyFont="1" applyFill="1" applyBorder="1" applyAlignment="1">
      <alignment horizontal="left"/>
    </xf>
    <xf numFmtId="0" fontId="19" fillId="4" borderId="9" xfId="0" applyFont="1" applyFill="1" applyBorder="1"/>
    <xf numFmtId="0" fontId="20" fillId="4" borderId="7" xfId="0" applyFont="1" applyFill="1" applyBorder="1" applyAlignment="1">
      <alignment horizontal="center"/>
    </xf>
    <xf numFmtId="0" fontId="20" fillId="4" borderId="8" xfId="0" applyFont="1" applyFill="1" applyBorder="1" applyAlignment="1">
      <alignment horizontal="center"/>
    </xf>
    <xf numFmtId="0" fontId="24" fillId="4" borderId="8" xfId="0" applyFont="1" applyFill="1" applyBorder="1" applyAlignment="1">
      <alignment horizontal="left"/>
    </xf>
    <xf numFmtId="0" fontId="24" fillId="4" borderId="25" xfId="0" applyFont="1" applyFill="1" applyBorder="1" applyAlignment="1">
      <alignment horizontal="center"/>
    </xf>
    <xf numFmtId="0" fontId="24" fillId="4" borderId="51" xfId="0" applyFont="1" applyFill="1" applyBorder="1" applyAlignment="1">
      <alignment horizontal="center"/>
    </xf>
    <xf numFmtId="0" fontId="24" fillId="4" borderId="20" xfId="0" applyFont="1" applyFill="1" applyBorder="1" applyAlignment="1">
      <alignment horizontal="center"/>
    </xf>
    <xf numFmtId="0" fontId="24" fillId="4" borderId="25" xfId="0" applyFont="1" applyFill="1" applyBorder="1" applyAlignment="1">
      <alignment horizontal="left"/>
    </xf>
    <xf numFmtId="0" fontId="24" fillId="4" borderId="51" xfId="0" applyFont="1" applyFill="1" applyBorder="1" applyAlignment="1">
      <alignment horizontal="left"/>
    </xf>
    <xf numFmtId="0" fontId="49" fillId="4" borderId="22" xfId="0" applyFont="1" applyFill="1" applyBorder="1" applyAlignment="1">
      <alignment horizontal="left" wrapText="1"/>
    </xf>
    <xf numFmtId="0" fontId="49" fillId="4" borderId="9" xfId="0" applyFont="1" applyFill="1" applyBorder="1" applyAlignment="1">
      <alignment horizontal="left" wrapText="1"/>
    </xf>
    <xf numFmtId="0" fontId="49" fillId="4" borderId="21" xfId="0" applyFont="1" applyFill="1" applyBorder="1" applyAlignment="1">
      <alignment horizontal="left" wrapText="1"/>
    </xf>
    <xf numFmtId="0" fontId="49" fillId="4" borderId="22" xfId="0" applyFont="1" applyFill="1" applyBorder="1" applyAlignment="1">
      <alignment horizontal="left" vertical="top" wrapText="1"/>
    </xf>
    <xf numFmtId="0" fontId="49" fillId="4" borderId="9" xfId="0" applyFont="1" applyFill="1" applyBorder="1" applyAlignment="1">
      <alignment horizontal="left" vertical="top" wrapText="1"/>
    </xf>
    <xf numFmtId="0" fontId="49" fillId="4" borderId="21" xfId="0" applyFont="1" applyFill="1" applyBorder="1" applyAlignment="1">
      <alignment horizontal="left" vertical="top" wrapText="1"/>
    </xf>
    <xf numFmtId="0" fontId="0" fillId="4" borderId="22" xfId="0" applyFill="1" applyBorder="1" applyAlignment="1">
      <alignment horizontal="left" wrapText="1"/>
    </xf>
    <xf numFmtId="0" fontId="0" fillId="4" borderId="9" xfId="0" applyFill="1" applyBorder="1" applyAlignment="1">
      <alignment horizontal="left" wrapText="1"/>
    </xf>
    <xf numFmtId="0" fontId="0" fillId="4" borderId="21" xfId="0" applyFill="1" applyBorder="1" applyAlignment="1">
      <alignment horizontal="left" wrapText="1"/>
    </xf>
    <xf numFmtId="0" fontId="48" fillId="4" borderId="23" xfId="5" applyFont="1" applyFill="1" applyBorder="1" applyAlignment="1">
      <alignment horizontal="center" vertical="center" wrapText="1"/>
    </xf>
    <xf numFmtId="0" fontId="48" fillId="4" borderId="10" xfId="5" applyFont="1" applyFill="1" applyBorder="1" applyAlignment="1">
      <alignment horizontal="center" vertical="center" wrapText="1"/>
    </xf>
    <xf numFmtId="0" fontId="48" fillId="4" borderId="24" xfId="5" applyFont="1" applyFill="1" applyBorder="1" applyAlignment="1">
      <alignment horizontal="center" vertical="center" wrapText="1"/>
    </xf>
    <xf numFmtId="0" fontId="48" fillId="4" borderId="42" xfId="5" applyFont="1" applyFill="1" applyBorder="1" applyAlignment="1">
      <alignment horizontal="center" vertical="center" wrapText="1"/>
    </xf>
    <xf numFmtId="0" fontId="48" fillId="4" borderId="8" xfId="5" applyFont="1" applyFill="1" applyBorder="1" applyAlignment="1">
      <alignment horizontal="center" vertical="center" wrapText="1"/>
    </xf>
    <xf numFmtId="0" fontId="48" fillId="4" borderId="43" xfId="5" applyFont="1" applyFill="1" applyBorder="1" applyAlignment="1">
      <alignment horizontal="center" vertical="center" wrapText="1"/>
    </xf>
    <xf numFmtId="0" fontId="0" fillId="3" borderId="0" xfId="0" applyFill="1" applyAlignment="1">
      <alignment horizontal="left" wrapText="1"/>
    </xf>
  </cellXfs>
  <cellStyles count="7">
    <cellStyle name="Comma" xfId="1" builtinId="3"/>
    <cellStyle name="Explanatory Text" xfId="3" builtinId="53"/>
    <cellStyle name="Hyperlink" xfId="4" builtinId="8"/>
    <cellStyle name="Normal" xfId="0" builtinId="0"/>
    <cellStyle name="Normal 2" xfId="5"/>
    <cellStyle name="Normal 3" xfId="6"/>
    <cellStyle name="Percent" xfId="2" builtinId="5"/>
  </cellStyles>
  <dxfs count="4">
    <dxf>
      <fill>
        <patternFill>
          <bgColor theme="9" tint="-0.24994659260841701"/>
        </patternFill>
      </fill>
    </dxf>
    <dxf>
      <fill>
        <patternFill>
          <bgColor rgb="FFFF0000"/>
        </patternFill>
      </fill>
    </dxf>
    <dxf>
      <fill>
        <patternFill>
          <bgColor theme="9" tint="-0.24994659260841701"/>
        </patternFill>
      </fill>
    </dxf>
    <dxf>
      <fill>
        <patternFill>
          <bgColor rgb="FFFF0000"/>
        </patternFill>
      </fill>
    </dxf>
  </dxfs>
  <tableStyles count="0" defaultTableStyle="TableStyleMedium2" defaultPivotStyle="PivotStyleLight16"/>
  <colors>
    <mruColors>
      <color rgb="FFFBEED9"/>
      <color rgb="FF99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C000"/>
                </a:solidFill>
              </a:rPr>
              <a:t>Valuation</a:t>
            </a:r>
            <a:r>
              <a:rPr lang="en-IN" b="1" baseline="0">
                <a:solidFill>
                  <a:srgbClr val="FFC000"/>
                </a:solidFill>
              </a:rPr>
              <a:t> Summary</a:t>
            </a:r>
            <a:endParaRPr lang="en-IN" b="1">
              <a:solidFill>
                <a:srgbClr val="FFC000"/>
              </a:solidFill>
            </a:endParaRPr>
          </a:p>
        </c:rich>
      </c:tx>
      <c:overlay val="0"/>
      <c:spPr>
        <a:solidFill>
          <a:schemeClr val="accent4">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tockChart>
        <c:ser>
          <c:idx val="0"/>
          <c:order val="0"/>
          <c:spPr>
            <a:ln w="19050" cap="rnd">
              <a:noFill/>
              <a:round/>
            </a:ln>
            <a:effectLst/>
          </c:spPr>
          <c:marker>
            <c:symbol val="none"/>
          </c:marker>
          <c:dLbls>
            <c:dLbl>
              <c:idx val="0"/>
              <c:layout>
                <c:manualLayout>
                  <c:x val="-7.7041776027996528E-2"/>
                  <c:y val="-3.00579615048118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9B9-4DE4-B0A9-F9A8D4B9E392}"/>
                </c:ext>
              </c:extLst>
            </c:dLbl>
            <c:dLbl>
              <c:idx val="1"/>
              <c:layout>
                <c:manualLayout>
                  <c:x val="-8.2597331583552105E-2"/>
                  <c:y val="-3.0057961504811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9B9-4DE4-B0A9-F9A8D4B9E392}"/>
                </c:ext>
              </c:extLst>
            </c:dLbl>
            <c:dLbl>
              <c:idx val="2"/>
              <c:layout>
                <c:manualLayout>
                  <c:x val="-7.7041776027996597E-2"/>
                  <c:y val="-3.46875911344415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9B9-4DE4-B0A9-F9A8D4B9E392}"/>
                </c:ext>
              </c:extLst>
            </c:dLbl>
            <c:dLbl>
              <c:idx val="3"/>
              <c:layout>
                <c:manualLayout>
                  <c:x val="-7.1458661417322836E-2"/>
                  <c:y val="-3.9317220764071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9B9-4DE4-B0A9-F9A8D4B9E3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Summary!$H$9:$K$9</c:f>
              <c:strCache>
                <c:ptCount val="4"/>
                <c:pt idx="0">
                  <c:v>Comps</c:v>
                </c:pt>
                <c:pt idx="1">
                  <c:v>DCF</c:v>
                </c:pt>
                <c:pt idx="2">
                  <c:v>52-week hi/low</c:v>
                </c:pt>
                <c:pt idx="3">
                  <c:v>Consensus</c:v>
                </c:pt>
              </c:strCache>
            </c:strRef>
          </c:cat>
          <c:val>
            <c:numRef>
              <c:f>Summary!$H$10:$K$10</c:f>
              <c:numCache>
                <c:formatCode>"₹"\ #,##0.00</c:formatCode>
                <c:ptCount val="4"/>
                <c:pt idx="0" formatCode="&quot;₹&quot;\ #,##0.00;[Red]&quot;₹&quot;\ \-#,##0.00">
                  <c:v>1331.6828064541439</c:v>
                </c:pt>
                <c:pt idx="1">
                  <c:v>1774.49</c:v>
                </c:pt>
                <c:pt idx="2" formatCode="&quot;₹&quot;\ #,##0.00;[Red]&quot;₹&quot;\ \-#,##0.00">
                  <c:v>1916.6</c:v>
                </c:pt>
                <c:pt idx="3" formatCode="&quot;₹&quot;\ #,##0.00;[Red]&quot;₹&quot;\ \-#,##0.00">
                  <c:v>2392</c:v>
                </c:pt>
              </c:numCache>
            </c:numRef>
          </c:val>
          <c:smooth val="0"/>
          <c:extLst>
            <c:ext xmlns:c16="http://schemas.microsoft.com/office/drawing/2014/chart" uri="{C3380CC4-5D6E-409C-BE32-E72D297353CC}">
              <c16:uniqueId val="{00000000-79B9-4DE4-B0A9-F9A8D4B9E392}"/>
            </c:ext>
          </c:extLst>
        </c:ser>
        <c:ser>
          <c:idx val="1"/>
          <c:order val="1"/>
          <c:spPr>
            <a:ln w="19050" cap="rnd">
              <a:noFill/>
              <a:round/>
            </a:ln>
            <a:effectLst/>
          </c:spPr>
          <c:marker>
            <c:symbol val="none"/>
          </c:marker>
          <c:dLbls>
            <c:delete val="1"/>
          </c:dLbls>
          <c:cat>
            <c:strRef>
              <c:f>Summary!$H$9:$K$9</c:f>
              <c:strCache>
                <c:ptCount val="4"/>
                <c:pt idx="0">
                  <c:v>Comps</c:v>
                </c:pt>
                <c:pt idx="1">
                  <c:v>DCF</c:v>
                </c:pt>
                <c:pt idx="2">
                  <c:v>52-week hi/low</c:v>
                </c:pt>
                <c:pt idx="3">
                  <c:v>Consensus</c:v>
                </c:pt>
              </c:strCache>
            </c:strRef>
          </c:cat>
          <c:val>
            <c:numRef>
              <c:f>Summary!$H$11:$K$11</c:f>
              <c:numCache>
                <c:formatCode>"₹"\ #,##0.00;[Red]"₹"\ \-#,##0.00</c:formatCode>
                <c:ptCount val="4"/>
                <c:pt idx="0">
                  <c:v>1331.6828064541439</c:v>
                </c:pt>
                <c:pt idx="1">
                  <c:v>1774.4902199999999</c:v>
                </c:pt>
                <c:pt idx="2">
                  <c:v>1916.6001999999999</c:v>
                </c:pt>
                <c:pt idx="3">
                  <c:v>2392.0002199999999</c:v>
                </c:pt>
              </c:numCache>
            </c:numRef>
          </c:val>
          <c:smooth val="0"/>
          <c:extLst>
            <c:ext xmlns:c16="http://schemas.microsoft.com/office/drawing/2014/chart" uri="{C3380CC4-5D6E-409C-BE32-E72D297353CC}">
              <c16:uniqueId val="{00000001-79B9-4DE4-B0A9-F9A8D4B9E392}"/>
            </c:ext>
          </c:extLst>
        </c:ser>
        <c:ser>
          <c:idx val="2"/>
          <c:order val="2"/>
          <c:spPr>
            <a:ln w="19050" cap="rnd">
              <a:noFill/>
              <a:round/>
            </a:ln>
            <a:effectLst/>
          </c:spPr>
          <c:marker>
            <c:symbol val="none"/>
          </c:marker>
          <c:dLbls>
            <c:delete val="1"/>
          </c:dLbls>
          <c:cat>
            <c:strRef>
              <c:f>Summary!$H$9:$K$9</c:f>
              <c:strCache>
                <c:ptCount val="4"/>
                <c:pt idx="0">
                  <c:v>Comps</c:v>
                </c:pt>
                <c:pt idx="1">
                  <c:v>DCF</c:v>
                </c:pt>
                <c:pt idx="2">
                  <c:v>52-week hi/low</c:v>
                </c:pt>
                <c:pt idx="3">
                  <c:v>Consensus</c:v>
                </c:pt>
              </c:strCache>
            </c:strRef>
          </c:cat>
          <c:val>
            <c:numRef>
              <c:f>Summary!$H$12:$K$12</c:f>
              <c:numCache>
                <c:formatCode>"₹"\ #,##0.00</c:formatCode>
                <c:ptCount val="4"/>
                <c:pt idx="0" formatCode="&quot;₹&quot;\ #,##0.00;[Red]&quot;₹&quot;\ \-#,##0.00">
                  <c:v>1061.3104923372616</c:v>
                </c:pt>
                <c:pt idx="1">
                  <c:v>1293.04</c:v>
                </c:pt>
                <c:pt idx="2" formatCode="&quot;₹&quot;\ #,##0.00;[Red]&quot;₹&quot;\ \-#,##0.00">
                  <c:v>1548</c:v>
                </c:pt>
                <c:pt idx="3" formatCode="&quot;₹&quot;\ #,##0.00;[Red]&quot;₹&quot;\ \-#,##0.00">
                  <c:v>1550</c:v>
                </c:pt>
              </c:numCache>
            </c:numRef>
          </c:val>
          <c:smooth val="0"/>
          <c:extLst>
            <c:ext xmlns:c16="http://schemas.microsoft.com/office/drawing/2014/chart" uri="{C3380CC4-5D6E-409C-BE32-E72D297353CC}">
              <c16:uniqueId val="{00000002-79B9-4DE4-B0A9-F9A8D4B9E392}"/>
            </c:ext>
          </c:extLst>
        </c:ser>
        <c:ser>
          <c:idx val="3"/>
          <c:order val="3"/>
          <c:spPr>
            <a:ln w="19050" cap="rnd">
              <a:noFill/>
              <a:round/>
            </a:ln>
            <a:effectLst/>
          </c:spPr>
          <c:marker>
            <c:symbol val="none"/>
          </c:marker>
          <c:dLbls>
            <c:dLbl>
              <c:idx val="0"/>
              <c:layout>
                <c:manualLayout>
                  <c:x val="-6.1111111111111137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9B9-4DE4-B0A9-F9A8D4B9E392}"/>
                </c:ext>
              </c:extLst>
            </c:dLbl>
            <c:dLbl>
              <c:idx val="1"/>
              <c:layout>
                <c:manualLayout>
                  <c:x val="-7.7777777777777835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9B9-4DE4-B0A9-F9A8D4B9E392}"/>
                </c:ext>
              </c:extLst>
            </c:dLbl>
            <c:dLbl>
              <c:idx val="2"/>
              <c:layout>
                <c:manualLayout>
                  <c:x val="-7.4999999999999997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9B9-4DE4-B0A9-F9A8D4B9E392}"/>
                </c:ext>
              </c:extLst>
            </c:dLbl>
            <c:dLbl>
              <c:idx val="3"/>
              <c:layout>
                <c:manualLayout>
                  <c:x val="-6.9444444444444545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9B9-4DE4-B0A9-F9A8D4B9E3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Summary!$H$9:$K$9</c:f>
              <c:strCache>
                <c:ptCount val="4"/>
                <c:pt idx="0">
                  <c:v>Comps</c:v>
                </c:pt>
                <c:pt idx="1">
                  <c:v>DCF</c:v>
                </c:pt>
                <c:pt idx="2">
                  <c:v>52-week hi/low</c:v>
                </c:pt>
                <c:pt idx="3">
                  <c:v>Consensus</c:v>
                </c:pt>
              </c:strCache>
            </c:strRef>
          </c:cat>
          <c:val>
            <c:numRef>
              <c:f>Summary!$H$13:$K$13</c:f>
              <c:numCache>
                <c:formatCode>"₹"\ #,##0.00;[Red]"₹"\ \-#,##0.00</c:formatCode>
                <c:ptCount val="4"/>
                <c:pt idx="0">
                  <c:v>1061.3104923372616</c:v>
                </c:pt>
                <c:pt idx="1">
                  <c:v>1293.04</c:v>
                </c:pt>
                <c:pt idx="2">
                  <c:v>1548.0001999999999</c:v>
                </c:pt>
                <c:pt idx="3">
                  <c:v>1550.0021999999999</c:v>
                </c:pt>
              </c:numCache>
            </c:numRef>
          </c:val>
          <c:smooth val="0"/>
          <c:extLst>
            <c:ext xmlns:c16="http://schemas.microsoft.com/office/drawing/2014/chart" uri="{C3380CC4-5D6E-409C-BE32-E72D297353CC}">
              <c16:uniqueId val="{00000003-79B9-4DE4-B0A9-F9A8D4B9E392}"/>
            </c:ext>
          </c:extLst>
        </c:ser>
        <c:dLbls>
          <c:showLegendKey val="0"/>
          <c:showVal val="1"/>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rgbClr val="FFC000"/>
              </a:solidFill>
              <a:ln w="9525" cap="flat" cmpd="sng" algn="ctr">
                <a:solidFill>
                  <a:srgbClr val="FFC000"/>
                </a:solidFill>
                <a:round/>
              </a:ln>
              <a:effectLst/>
            </c:spPr>
          </c:upBars>
          <c:downBars>
            <c:spPr>
              <a:solidFill>
                <a:srgbClr val="FFC000"/>
              </a:solidFill>
              <a:ln w="9525" cap="flat" cmpd="sng" algn="ctr">
                <a:solidFill>
                  <a:srgbClr val="FFC000"/>
                </a:solidFill>
                <a:round/>
              </a:ln>
              <a:effectLst/>
            </c:spPr>
          </c:downBars>
        </c:upDownBars>
        <c:axId val="562762184"/>
        <c:axId val="562760544"/>
      </c:stockChart>
      <c:catAx>
        <c:axId val="562762184"/>
        <c:scaling>
          <c:orientation val="minMax"/>
        </c:scaling>
        <c:delete val="0"/>
        <c:axPos val="b"/>
        <c:numFmt formatCode="General" sourceLinked="1"/>
        <c:majorTickMark val="none"/>
        <c:minorTickMark val="none"/>
        <c:tickLblPos val="nextTo"/>
        <c:spPr>
          <a:solidFill>
            <a:schemeClr val="bg1">
              <a:alpha val="99000"/>
            </a:schemeClr>
          </a:solidFill>
          <a:ln w="9525" cap="flat" cmpd="sng" algn="ctr">
            <a:solidFill>
              <a:srgbClr val="FFC00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760544"/>
        <c:crossesAt val="500"/>
        <c:auto val="1"/>
        <c:lblAlgn val="ctr"/>
        <c:lblOffset val="100"/>
        <c:noMultiLvlLbl val="0"/>
      </c:catAx>
      <c:valAx>
        <c:axId val="562760544"/>
        <c:scaling>
          <c:orientation val="minMax"/>
          <c:max val="2500"/>
          <c:min val="500"/>
        </c:scaling>
        <c:delete val="0"/>
        <c:axPos val="l"/>
        <c:numFmt formatCode="&quot;₹&quot;\ #,##0.00;[Red]&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762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250682</xdr:colOff>
      <xdr:row>2</xdr:row>
      <xdr:rowOff>121920</xdr:rowOff>
    </xdr:from>
    <xdr:to>
      <xdr:col>12</xdr:col>
      <xdr:colOff>98297</xdr:colOff>
      <xdr:row>16</xdr:row>
      <xdr:rowOff>30480</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184882" y="487680"/>
          <a:ext cx="5722635" cy="3444240"/>
        </a:xfrm>
        <a:prstGeom prst="rect">
          <a:avLst/>
        </a:prstGeom>
      </xdr:spPr>
    </xdr:pic>
    <xdr:clientData/>
  </xdr:twoCellAnchor>
  <xdr:twoCellAnchor editAs="oneCell">
    <xdr:from>
      <xdr:col>6</xdr:col>
      <xdr:colOff>381000</xdr:colOff>
      <xdr:row>17</xdr:row>
      <xdr:rowOff>152400</xdr:rowOff>
    </xdr:from>
    <xdr:to>
      <xdr:col>12</xdr:col>
      <xdr:colOff>78147</xdr:colOff>
      <xdr:row>36</xdr:row>
      <xdr:rowOff>30623</xdr:rowOff>
    </xdr:to>
    <xdr:pic>
      <xdr:nvPicPr>
        <xdr:cNvPr id="4" name="Picture 3"/>
        <xdr:cNvPicPr>
          <a:picLocks noChangeAspect="1"/>
        </xdr:cNvPicPr>
      </xdr:nvPicPr>
      <xdr:blipFill>
        <a:blip xmlns:r="http://schemas.openxmlformats.org/officeDocument/2006/relationships" r:embed="rId2"/>
        <a:stretch>
          <a:fillRect/>
        </a:stretch>
      </xdr:blipFill>
      <xdr:spPr>
        <a:xfrm>
          <a:off x="7315200" y="4236720"/>
          <a:ext cx="5572167" cy="3352943"/>
        </a:xfrm>
        <a:prstGeom prst="rect">
          <a:avLst/>
        </a:prstGeom>
      </xdr:spPr>
    </xdr:pic>
    <xdr:clientData/>
  </xdr:twoCellAnchor>
  <xdr:twoCellAnchor>
    <xdr:from>
      <xdr:col>4</xdr:col>
      <xdr:colOff>53340</xdr:colOff>
      <xdr:row>29</xdr:row>
      <xdr:rowOff>68580</xdr:rowOff>
    </xdr:from>
    <xdr:to>
      <xdr:col>6</xdr:col>
      <xdr:colOff>342900</xdr:colOff>
      <xdr:row>29</xdr:row>
      <xdr:rowOff>91440</xdr:rowOff>
    </xdr:to>
    <xdr:cxnSp macro="">
      <xdr:nvCxnSpPr>
        <xdr:cNvPr id="6" name="Straight Arrow Connector 5"/>
        <xdr:cNvCxnSpPr/>
      </xdr:nvCxnSpPr>
      <xdr:spPr>
        <a:xfrm flipV="1">
          <a:off x="4244340" y="6347460"/>
          <a:ext cx="3032760" cy="22860"/>
        </a:xfrm>
        <a:prstGeom prst="straightConnector1">
          <a:avLst/>
        </a:prstGeom>
        <a:ln>
          <a:solidFill>
            <a:srgbClr val="FFC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351829</xdr:colOff>
      <xdr:row>0</xdr:row>
      <xdr:rowOff>71573</xdr:rowOff>
    </xdr:from>
    <xdr:to>
      <xdr:col>16</xdr:col>
      <xdr:colOff>520504</xdr:colOff>
      <xdr:row>4</xdr:row>
      <xdr:rowOff>116807</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65449" y="71573"/>
          <a:ext cx="785895" cy="776754"/>
        </a:xfrm>
        <a:prstGeom prst="rect">
          <a:avLst/>
        </a:prstGeom>
      </xdr:spPr>
    </xdr:pic>
    <xdr:clientData/>
  </xdr:twoCellAnchor>
  <xdr:oneCellAnchor>
    <xdr:from>
      <xdr:col>1</xdr:col>
      <xdr:colOff>0</xdr:colOff>
      <xdr:row>0</xdr:row>
      <xdr:rowOff>67735</xdr:rowOff>
    </xdr:from>
    <xdr:ext cx="4800600" cy="936396"/>
    <xdr:sp macro="" textlink="">
      <xdr:nvSpPr>
        <xdr:cNvPr id="3" name="TextBox 2">
          <a:extLst>
            <a:ext uri="{FF2B5EF4-FFF2-40B4-BE49-F238E27FC236}">
              <a16:creationId xmlns:a16="http://schemas.microsoft.com/office/drawing/2014/main" id="{A601E16E-E347-4323-8372-515C24972555}"/>
            </a:ext>
          </a:extLst>
        </xdr:cNvPr>
        <xdr:cNvSpPr txBox="1"/>
      </xdr:nvSpPr>
      <xdr:spPr>
        <a:xfrm>
          <a:off x="198120" y="67735"/>
          <a:ext cx="4800600" cy="936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i="0">
              <a:solidFill>
                <a:srgbClr val="FFC000"/>
              </a:solidFill>
              <a:effectLst/>
              <a:latin typeface="+mn-lt"/>
              <a:ea typeface="+mn-ea"/>
              <a:cs typeface="+mn-cs"/>
            </a:rPr>
            <a:t>Sun Pharmaceutical Industries Ltd</a:t>
          </a:r>
          <a:endParaRPr lang="en-IN" sz="2000" b="1" i="0">
            <a:solidFill>
              <a:srgbClr val="FFC000"/>
            </a:solidFill>
            <a:effectLst/>
            <a:latin typeface="+mn-lt"/>
            <a:ea typeface="+mn-ea"/>
            <a:cs typeface="+mn-cs"/>
          </a:endParaRPr>
        </a:p>
        <a:p>
          <a:r>
            <a:rPr lang="en-US" sz="1200" b="1" i="0">
              <a:solidFill>
                <a:srgbClr val="FFC000"/>
              </a:solidFill>
              <a:latin typeface="+mn-lt"/>
            </a:rPr>
            <a:t>BSE:</a:t>
          </a:r>
          <a:r>
            <a:rPr lang="en-US" sz="1200" b="1" i="0" baseline="0">
              <a:solidFill>
                <a:srgbClr val="FFC000"/>
              </a:solidFill>
              <a:latin typeface="+mn-lt"/>
            </a:rPr>
            <a:t> 524715| NSE: SUNPHARMA</a:t>
          </a:r>
          <a:endParaRPr lang="en-US" sz="900" b="1" i="0">
            <a:solidFill>
              <a:srgbClr val="FFC000"/>
            </a:solidFill>
            <a:latin typeface="+mn-lt"/>
          </a:endParaRP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13</xdr:col>
      <xdr:colOff>387234</xdr:colOff>
      <xdr:row>0</xdr:row>
      <xdr:rowOff>71351</xdr:rowOff>
    </xdr:from>
    <xdr:to>
      <xdr:col>14</xdr:col>
      <xdr:colOff>557299</xdr:colOff>
      <xdr:row>4</xdr:row>
      <xdr:rowOff>116585</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48254" y="71351"/>
          <a:ext cx="779665" cy="776754"/>
        </a:xfrm>
        <a:prstGeom prst="rect">
          <a:avLst/>
        </a:prstGeom>
      </xdr:spPr>
    </xdr:pic>
    <xdr:clientData/>
  </xdr:twoCellAnchor>
  <xdr:oneCellAnchor>
    <xdr:from>
      <xdr:col>1</xdr:col>
      <xdr:colOff>0</xdr:colOff>
      <xdr:row>0</xdr:row>
      <xdr:rowOff>60614</xdr:rowOff>
    </xdr:from>
    <xdr:ext cx="5295900" cy="884266"/>
    <xdr:sp macro="" textlink="">
      <xdr:nvSpPr>
        <xdr:cNvPr id="3" name="TextBox 2">
          <a:extLst>
            <a:ext uri="{FF2B5EF4-FFF2-40B4-BE49-F238E27FC236}">
              <a16:creationId xmlns:a16="http://schemas.microsoft.com/office/drawing/2014/main" id="{A601E16E-E347-4323-8372-515C24972555}"/>
            </a:ext>
          </a:extLst>
        </xdr:cNvPr>
        <xdr:cNvSpPr txBox="1"/>
      </xdr:nvSpPr>
      <xdr:spPr>
        <a:xfrm>
          <a:off x="129540" y="60614"/>
          <a:ext cx="5295900" cy="8842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i="0">
              <a:solidFill>
                <a:srgbClr val="FFC000"/>
              </a:solidFill>
              <a:effectLst/>
              <a:latin typeface="+mn-lt"/>
              <a:ea typeface="+mn-ea"/>
              <a:cs typeface="+mn-cs"/>
            </a:rPr>
            <a:t>Sun Pharmaceutical Industries Ltd</a:t>
          </a:r>
          <a:endParaRPr lang="en-IN" sz="2000" b="1" i="0">
            <a:solidFill>
              <a:srgbClr val="FFC000"/>
            </a:solidFill>
            <a:effectLst/>
            <a:latin typeface="+mn-lt"/>
            <a:ea typeface="+mn-ea"/>
            <a:cs typeface="+mn-cs"/>
          </a:endParaRPr>
        </a:p>
        <a:p>
          <a:r>
            <a:rPr lang="en-US" sz="1200" b="1" i="0">
              <a:solidFill>
                <a:srgbClr val="FFC000"/>
              </a:solidFill>
              <a:latin typeface="+mn-lt"/>
            </a:rPr>
            <a:t>BSE:</a:t>
          </a:r>
          <a:r>
            <a:rPr lang="en-US" sz="1200" b="1" i="0" baseline="0">
              <a:solidFill>
                <a:srgbClr val="FFC000"/>
              </a:solidFill>
              <a:latin typeface="+mn-lt"/>
            </a:rPr>
            <a:t> 524715| NSE: SUNPHARMA</a:t>
          </a:r>
          <a:endParaRPr lang="en-US" sz="900" b="1" i="0">
            <a:solidFill>
              <a:srgbClr val="FFC000"/>
            </a:solidFill>
            <a:latin typeface="+mn-lt"/>
          </a:endParaRP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6</xdr:col>
      <xdr:colOff>562494</xdr:colOff>
      <xdr:row>0</xdr:row>
      <xdr:rowOff>71351</xdr:rowOff>
    </xdr:from>
    <xdr:to>
      <xdr:col>7</xdr:col>
      <xdr:colOff>625879</xdr:colOff>
      <xdr:row>4</xdr:row>
      <xdr:rowOff>116585</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06194" y="71351"/>
          <a:ext cx="779665" cy="776754"/>
        </a:xfrm>
        <a:prstGeom prst="rect">
          <a:avLst/>
        </a:prstGeom>
      </xdr:spPr>
    </xdr:pic>
    <xdr:clientData/>
  </xdr:twoCellAnchor>
  <xdr:oneCellAnchor>
    <xdr:from>
      <xdr:col>1</xdr:col>
      <xdr:colOff>0</xdr:colOff>
      <xdr:row>0</xdr:row>
      <xdr:rowOff>60614</xdr:rowOff>
    </xdr:from>
    <xdr:ext cx="4800600" cy="777586"/>
    <xdr:sp macro="" textlink="">
      <xdr:nvSpPr>
        <xdr:cNvPr id="5" name="TextBox 4">
          <a:extLst>
            <a:ext uri="{FF2B5EF4-FFF2-40B4-BE49-F238E27FC236}">
              <a16:creationId xmlns:a16="http://schemas.microsoft.com/office/drawing/2014/main" id="{A601E16E-E347-4323-8372-515C24972555}"/>
            </a:ext>
          </a:extLst>
        </xdr:cNvPr>
        <xdr:cNvSpPr txBox="1"/>
      </xdr:nvSpPr>
      <xdr:spPr>
        <a:xfrm>
          <a:off x="129540" y="60614"/>
          <a:ext cx="4800600" cy="777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i="0">
              <a:solidFill>
                <a:srgbClr val="FFC000"/>
              </a:solidFill>
              <a:effectLst/>
              <a:latin typeface="+mn-lt"/>
              <a:ea typeface="+mn-ea"/>
              <a:cs typeface="+mn-cs"/>
            </a:rPr>
            <a:t>Sun Pharmaceutical Industries Ltd</a:t>
          </a:r>
          <a:endParaRPr lang="en-IN" sz="2000" b="1" i="0">
            <a:solidFill>
              <a:srgbClr val="FFC000"/>
            </a:solidFill>
            <a:effectLst/>
            <a:latin typeface="+mn-lt"/>
            <a:ea typeface="+mn-ea"/>
            <a:cs typeface="+mn-cs"/>
          </a:endParaRPr>
        </a:p>
        <a:p>
          <a:r>
            <a:rPr lang="en-US" sz="1200" b="1" i="0">
              <a:solidFill>
                <a:srgbClr val="FFC000"/>
              </a:solidFill>
              <a:latin typeface="+mn-lt"/>
            </a:rPr>
            <a:t>BSE:</a:t>
          </a:r>
          <a:r>
            <a:rPr lang="en-US" sz="1200" b="1" i="0" baseline="0">
              <a:solidFill>
                <a:srgbClr val="FFC000"/>
              </a:solidFill>
              <a:latin typeface="+mn-lt"/>
            </a:rPr>
            <a:t> 524715| NSE: SUNPHARMA</a:t>
          </a:r>
          <a:endParaRPr lang="en-US" sz="900" b="1" i="0">
            <a:solidFill>
              <a:srgbClr val="FFC000"/>
            </a:solidFill>
            <a:latin typeface="+mn-lt"/>
          </a:endParaRP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15</xdr:col>
      <xdr:colOff>570114</xdr:colOff>
      <xdr:row>0</xdr:row>
      <xdr:rowOff>63731</xdr:rowOff>
    </xdr:from>
    <xdr:to>
      <xdr:col>16</xdr:col>
      <xdr:colOff>633499</xdr:colOff>
      <xdr:row>4</xdr:row>
      <xdr:rowOff>108965</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42914" y="63731"/>
          <a:ext cx="779665" cy="776754"/>
        </a:xfrm>
        <a:prstGeom prst="rect">
          <a:avLst/>
        </a:prstGeom>
      </xdr:spPr>
    </xdr:pic>
    <xdr:clientData/>
  </xdr:twoCellAnchor>
  <xdr:oneCellAnchor>
    <xdr:from>
      <xdr:col>1</xdr:col>
      <xdr:colOff>0</xdr:colOff>
      <xdr:row>0</xdr:row>
      <xdr:rowOff>60614</xdr:rowOff>
    </xdr:from>
    <xdr:ext cx="4800600" cy="777586"/>
    <xdr:sp macro="" textlink="">
      <xdr:nvSpPr>
        <xdr:cNvPr id="3" name="TextBox 2">
          <a:extLst>
            <a:ext uri="{FF2B5EF4-FFF2-40B4-BE49-F238E27FC236}">
              <a16:creationId xmlns:a16="http://schemas.microsoft.com/office/drawing/2014/main" id="{A601E16E-E347-4323-8372-515C24972555}"/>
            </a:ext>
          </a:extLst>
        </xdr:cNvPr>
        <xdr:cNvSpPr txBox="1"/>
      </xdr:nvSpPr>
      <xdr:spPr>
        <a:xfrm>
          <a:off x="129540" y="60614"/>
          <a:ext cx="4800600" cy="777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i="0">
              <a:solidFill>
                <a:srgbClr val="FFC000"/>
              </a:solidFill>
              <a:effectLst/>
              <a:latin typeface="+mn-lt"/>
              <a:ea typeface="+mn-ea"/>
              <a:cs typeface="+mn-cs"/>
            </a:rPr>
            <a:t>Sun Pharmaceutical Industries Ltd</a:t>
          </a:r>
          <a:endParaRPr lang="en-IN" sz="2000" b="1" i="0">
            <a:solidFill>
              <a:srgbClr val="FFC000"/>
            </a:solidFill>
            <a:effectLst/>
            <a:latin typeface="+mn-lt"/>
            <a:ea typeface="+mn-ea"/>
            <a:cs typeface="+mn-cs"/>
          </a:endParaRPr>
        </a:p>
        <a:p>
          <a:r>
            <a:rPr lang="en-US" sz="1200" b="1" i="0">
              <a:solidFill>
                <a:srgbClr val="FFC000"/>
              </a:solidFill>
              <a:latin typeface="+mn-lt"/>
            </a:rPr>
            <a:t>BSE:</a:t>
          </a:r>
          <a:r>
            <a:rPr lang="en-US" sz="1200" b="1" i="0" baseline="0">
              <a:solidFill>
                <a:srgbClr val="FFC000"/>
              </a:solidFill>
              <a:latin typeface="+mn-lt"/>
            </a:rPr>
            <a:t> 524715| NSE: SUNPHARMA</a:t>
          </a:r>
          <a:endParaRPr lang="en-US" sz="900" b="1" i="0">
            <a:solidFill>
              <a:srgbClr val="FFC000"/>
            </a:solidFill>
            <a:latin typeface="+mn-lt"/>
          </a:endParaRP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17</xdr:col>
      <xdr:colOff>2848</xdr:colOff>
      <xdr:row>0</xdr:row>
      <xdr:rowOff>78971</xdr:rowOff>
    </xdr:from>
    <xdr:to>
      <xdr:col>17</xdr:col>
      <xdr:colOff>791347</xdr:colOff>
      <xdr:row>4</xdr:row>
      <xdr:rowOff>124205</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345911" y="78971"/>
          <a:ext cx="788499" cy="775484"/>
        </a:xfrm>
        <a:prstGeom prst="rect">
          <a:avLst/>
        </a:prstGeom>
      </xdr:spPr>
    </xdr:pic>
    <xdr:clientData/>
  </xdr:twoCellAnchor>
  <xdr:oneCellAnchor>
    <xdr:from>
      <xdr:col>1</xdr:col>
      <xdr:colOff>0</xdr:colOff>
      <xdr:row>0</xdr:row>
      <xdr:rowOff>67735</xdr:rowOff>
    </xdr:from>
    <xdr:ext cx="4800600" cy="936396"/>
    <xdr:sp macro="" textlink="">
      <xdr:nvSpPr>
        <xdr:cNvPr id="3" name="TextBox 2">
          <a:extLst>
            <a:ext uri="{FF2B5EF4-FFF2-40B4-BE49-F238E27FC236}">
              <a16:creationId xmlns:a16="http://schemas.microsoft.com/office/drawing/2014/main" id="{A601E16E-E347-4323-8372-515C24972555}"/>
            </a:ext>
          </a:extLst>
        </xdr:cNvPr>
        <xdr:cNvSpPr txBox="1"/>
      </xdr:nvSpPr>
      <xdr:spPr>
        <a:xfrm>
          <a:off x="213645" y="67735"/>
          <a:ext cx="4800600" cy="936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i="0">
              <a:solidFill>
                <a:srgbClr val="FFC000"/>
              </a:solidFill>
              <a:effectLst/>
              <a:latin typeface="+mn-lt"/>
              <a:ea typeface="+mn-ea"/>
              <a:cs typeface="+mn-cs"/>
            </a:rPr>
            <a:t>Sun Pharmaceutical Industries Ltd</a:t>
          </a:r>
          <a:endParaRPr lang="en-IN" sz="2000" b="1" i="0">
            <a:solidFill>
              <a:srgbClr val="FFC000"/>
            </a:solidFill>
            <a:effectLst/>
            <a:latin typeface="+mn-lt"/>
            <a:ea typeface="+mn-ea"/>
            <a:cs typeface="+mn-cs"/>
          </a:endParaRPr>
        </a:p>
        <a:p>
          <a:r>
            <a:rPr lang="en-US" sz="1200" b="1" i="0">
              <a:solidFill>
                <a:srgbClr val="FFC000"/>
              </a:solidFill>
              <a:latin typeface="+mn-lt"/>
            </a:rPr>
            <a:t>BSE:</a:t>
          </a:r>
          <a:r>
            <a:rPr lang="en-US" sz="1200" b="1" i="0" baseline="0">
              <a:solidFill>
                <a:srgbClr val="FFC000"/>
              </a:solidFill>
              <a:latin typeface="+mn-lt"/>
            </a:rPr>
            <a:t> 524715| NSE: SUNPHARMA</a:t>
          </a:r>
          <a:endParaRPr lang="en-US" sz="900" b="1" i="0">
            <a:solidFill>
              <a:srgbClr val="FFC000"/>
            </a:solidFill>
            <a:latin typeface="+mn-lt"/>
          </a:endParaRP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15</xdr:col>
      <xdr:colOff>717589</xdr:colOff>
      <xdr:row>0</xdr:row>
      <xdr:rowOff>71573</xdr:rowOff>
    </xdr:from>
    <xdr:to>
      <xdr:col>16</xdr:col>
      <xdr:colOff>703384</xdr:colOff>
      <xdr:row>4</xdr:row>
      <xdr:rowOff>116807</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46749" y="71573"/>
          <a:ext cx="785895" cy="776754"/>
        </a:xfrm>
        <a:prstGeom prst="rect">
          <a:avLst/>
        </a:prstGeom>
      </xdr:spPr>
    </xdr:pic>
    <xdr:clientData/>
  </xdr:twoCellAnchor>
  <xdr:oneCellAnchor>
    <xdr:from>
      <xdr:col>1</xdr:col>
      <xdr:colOff>0</xdr:colOff>
      <xdr:row>0</xdr:row>
      <xdr:rowOff>67735</xdr:rowOff>
    </xdr:from>
    <xdr:ext cx="4800600" cy="936396"/>
    <xdr:sp macro="" textlink="">
      <xdr:nvSpPr>
        <xdr:cNvPr id="3" name="TextBox 2">
          <a:extLst>
            <a:ext uri="{FF2B5EF4-FFF2-40B4-BE49-F238E27FC236}">
              <a16:creationId xmlns:a16="http://schemas.microsoft.com/office/drawing/2014/main" id="{A601E16E-E347-4323-8372-515C24972555}"/>
            </a:ext>
          </a:extLst>
        </xdr:cNvPr>
        <xdr:cNvSpPr txBox="1"/>
      </xdr:nvSpPr>
      <xdr:spPr>
        <a:xfrm>
          <a:off x="129540" y="67735"/>
          <a:ext cx="4800600" cy="936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i="0">
              <a:solidFill>
                <a:srgbClr val="FFC000"/>
              </a:solidFill>
              <a:effectLst/>
              <a:latin typeface="+mn-lt"/>
              <a:ea typeface="+mn-ea"/>
              <a:cs typeface="+mn-cs"/>
            </a:rPr>
            <a:t>Sun Pharmaceutical Industries Ltd</a:t>
          </a:r>
          <a:endParaRPr lang="en-IN" sz="2000" b="1" i="0">
            <a:solidFill>
              <a:srgbClr val="FFC000"/>
            </a:solidFill>
            <a:effectLst/>
            <a:latin typeface="+mn-lt"/>
            <a:ea typeface="+mn-ea"/>
            <a:cs typeface="+mn-cs"/>
          </a:endParaRPr>
        </a:p>
        <a:p>
          <a:r>
            <a:rPr lang="en-US" sz="1200" b="1" i="0">
              <a:solidFill>
                <a:srgbClr val="FFC000"/>
              </a:solidFill>
              <a:latin typeface="+mn-lt"/>
            </a:rPr>
            <a:t>BSE:</a:t>
          </a:r>
          <a:r>
            <a:rPr lang="en-US" sz="1200" b="1" i="0" baseline="0">
              <a:solidFill>
                <a:srgbClr val="FFC000"/>
              </a:solidFill>
              <a:latin typeface="+mn-lt"/>
            </a:rPr>
            <a:t> 524715| NSE: SUNPHARMA</a:t>
          </a:r>
          <a:endParaRPr lang="en-US" sz="900" b="1" i="0">
            <a:solidFill>
              <a:srgbClr val="FFC000"/>
            </a:solidFill>
            <a:latin typeface="+mn-lt"/>
          </a:endParaRPr>
        </a:p>
      </xdr:txBody>
    </xdr:sp>
    <xdr:clientData/>
  </xdr:oneCellAnchor>
</xdr:wsDr>
</file>

<file path=xl/drawings/drawing8.xml><?xml version="1.0" encoding="utf-8"?>
<xdr:wsDr xmlns:xdr="http://schemas.openxmlformats.org/drawingml/2006/spreadsheetDrawing" xmlns:a="http://schemas.openxmlformats.org/drawingml/2006/main">
  <xdr:twoCellAnchor editAs="oneCell">
    <xdr:from>
      <xdr:col>16</xdr:col>
      <xdr:colOff>793486</xdr:colOff>
      <xdr:row>0</xdr:row>
      <xdr:rowOff>71573</xdr:rowOff>
    </xdr:from>
    <xdr:to>
      <xdr:col>17</xdr:col>
      <xdr:colOff>752611</xdr:colOff>
      <xdr:row>4</xdr:row>
      <xdr:rowOff>116807</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104799" y="71573"/>
          <a:ext cx="784625" cy="775484"/>
        </a:xfrm>
        <a:prstGeom prst="rect">
          <a:avLst/>
        </a:prstGeom>
      </xdr:spPr>
    </xdr:pic>
    <xdr:clientData/>
  </xdr:twoCellAnchor>
  <xdr:oneCellAnchor>
    <xdr:from>
      <xdr:col>1</xdr:col>
      <xdr:colOff>0</xdr:colOff>
      <xdr:row>0</xdr:row>
      <xdr:rowOff>67735</xdr:rowOff>
    </xdr:from>
    <xdr:ext cx="4800600" cy="936396"/>
    <xdr:sp macro="" textlink="">
      <xdr:nvSpPr>
        <xdr:cNvPr id="3" name="TextBox 2">
          <a:extLst>
            <a:ext uri="{FF2B5EF4-FFF2-40B4-BE49-F238E27FC236}">
              <a16:creationId xmlns:a16="http://schemas.microsoft.com/office/drawing/2014/main" id="{A601E16E-E347-4323-8372-515C24972555}"/>
            </a:ext>
          </a:extLst>
        </xdr:cNvPr>
        <xdr:cNvSpPr txBox="1"/>
      </xdr:nvSpPr>
      <xdr:spPr>
        <a:xfrm>
          <a:off x="213360" y="67735"/>
          <a:ext cx="4800600" cy="936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i="0">
              <a:solidFill>
                <a:srgbClr val="FFC000"/>
              </a:solidFill>
              <a:effectLst/>
              <a:latin typeface="+mn-lt"/>
              <a:ea typeface="+mn-ea"/>
              <a:cs typeface="+mn-cs"/>
            </a:rPr>
            <a:t>Sun Pharmaceutical Industries Ltd</a:t>
          </a:r>
          <a:endParaRPr lang="en-IN" sz="2000" b="1" i="0">
            <a:solidFill>
              <a:srgbClr val="FFC000"/>
            </a:solidFill>
            <a:effectLst/>
            <a:latin typeface="+mn-lt"/>
            <a:ea typeface="+mn-ea"/>
            <a:cs typeface="+mn-cs"/>
          </a:endParaRPr>
        </a:p>
        <a:p>
          <a:r>
            <a:rPr lang="en-US" sz="1200" b="1" i="0">
              <a:solidFill>
                <a:srgbClr val="FFC000"/>
              </a:solidFill>
              <a:latin typeface="+mn-lt"/>
            </a:rPr>
            <a:t>BSE:</a:t>
          </a:r>
          <a:r>
            <a:rPr lang="en-US" sz="1200" b="1" i="0" baseline="0">
              <a:solidFill>
                <a:srgbClr val="FFC000"/>
              </a:solidFill>
              <a:latin typeface="+mn-lt"/>
            </a:rPr>
            <a:t> 524715| NSE: SUNPHARMA</a:t>
          </a:r>
          <a:endParaRPr lang="en-US" sz="900" b="1" i="0">
            <a:solidFill>
              <a:srgbClr val="FFC000"/>
            </a:solidFill>
            <a:latin typeface="+mn-lt"/>
          </a:endParaRPr>
        </a:p>
      </xdr:txBody>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15</xdr:col>
      <xdr:colOff>768234</xdr:colOff>
      <xdr:row>0</xdr:row>
      <xdr:rowOff>71351</xdr:rowOff>
    </xdr:from>
    <xdr:to>
      <xdr:col>16</xdr:col>
      <xdr:colOff>747799</xdr:colOff>
      <xdr:row>4</xdr:row>
      <xdr:rowOff>116585</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44994" y="71351"/>
          <a:ext cx="779665" cy="776754"/>
        </a:xfrm>
        <a:prstGeom prst="rect">
          <a:avLst/>
        </a:prstGeom>
      </xdr:spPr>
    </xdr:pic>
    <xdr:clientData/>
  </xdr:twoCellAnchor>
  <xdr:oneCellAnchor>
    <xdr:from>
      <xdr:col>1</xdr:col>
      <xdr:colOff>0</xdr:colOff>
      <xdr:row>0</xdr:row>
      <xdr:rowOff>60614</xdr:rowOff>
    </xdr:from>
    <xdr:ext cx="4800600" cy="777586"/>
    <xdr:sp macro="" textlink="">
      <xdr:nvSpPr>
        <xdr:cNvPr id="3" name="TextBox 2">
          <a:extLst>
            <a:ext uri="{FF2B5EF4-FFF2-40B4-BE49-F238E27FC236}">
              <a16:creationId xmlns:a16="http://schemas.microsoft.com/office/drawing/2014/main" id="{A601E16E-E347-4323-8372-515C24972555}"/>
            </a:ext>
          </a:extLst>
        </xdr:cNvPr>
        <xdr:cNvSpPr txBox="1"/>
      </xdr:nvSpPr>
      <xdr:spPr>
        <a:xfrm>
          <a:off x="129540" y="60614"/>
          <a:ext cx="4800600" cy="777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i="0">
              <a:solidFill>
                <a:srgbClr val="FFC000"/>
              </a:solidFill>
              <a:effectLst/>
              <a:latin typeface="+mn-lt"/>
              <a:ea typeface="+mn-ea"/>
              <a:cs typeface="+mn-cs"/>
            </a:rPr>
            <a:t>Sun Pharmaceutical Industries Ltd</a:t>
          </a:r>
          <a:endParaRPr lang="en-IN" sz="2000" b="1" i="0">
            <a:solidFill>
              <a:srgbClr val="FFC000"/>
            </a:solidFill>
            <a:effectLst/>
            <a:latin typeface="+mn-lt"/>
            <a:ea typeface="+mn-ea"/>
            <a:cs typeface="+mn-cs"/>
          </a:endParaRPr>
        </a:p>
        <a:p>
          <a:r>
            <a:rPr lang="en-US" sz="1200" b="1" i="0">
              <a:solidFill>
                <a:srgbClr val="FFC000"/>
              </a:solidFill>
              <a:latin typeface="+mn-lt"/>
            </a:rPr>
            <a:t>BSE:</a:t>
          </a:r>
          <a:r>
            <a:rPr lang="en-US" sz="1200" b="1" i="0" baseline="0">
              <a:solidFill>
                <a:srgbClr val="FFC000"/>
              </a:solidFill>
              <a:latin typeface="+mn-lt"/>
            </a:rPr>
            <a:t> 524715| NSE: SUNPHARMA</a:t>
          </a:r>
          <a:endParaRPr lang="en-US" sz="900" b="1" i="0">
            <a:solidFill>
              <a:srgbClr val="FFC000"/>
            </a:solidFill>
            <a:latin typeface="+mn-lt"/>
          </a:endParaRPr>
        </a:p>
      </xdr:txBody>
    </xdr:sp>
    <xdr:clientData/>
  </xdr:oneCellAnchor>
</xdr:wsDr>
</file>

<file path=xl/drawings/drawing10.xml><?xml version="1.0" encoding="utf-8"?>
<xdr:wsDr xmlns:xdr="http://schemas.openxmlformats.org/drawingml/2006/spreadsheetDrawing" xmlns:a="http://schemas.openxmlformats.org/drawingml/2006/main">
  <xdr:twoCellAnchor editAs="oneCell">
    <xdr:from>
      <xdr:col>9</xdr:col>
      <xdr:colOff>646314</xdr:colOff>
      <xdr:row>0</xdr:row>
      <xdr:rowOff>63731</xdr:rowOff>
    </xdr:from>
    <xdr:to>
      <xdr:col>10</xdr:col>
      <xdr:colOff>717319</xdr:colOff>
      <xdr:row>4</xdr:row>
      <xdr:rowOff>108965</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36674" y="63731"/>
          <a:ext cx="779665" cy="776754"/>
        </a:xfrm>
        <a:prstGeom prst="rect">
          <a:avLst/>
        </a:prstGeom>
      </xdr:spPr>
    </xdr:pic>
    <xdr:clientData/>
  </xdr:twoCellAnchor>
  <xdr:oneCellAnchor>
    <xdr:from>
      <xdr:col>1</xdr:col>
      <xdr:colOff>0</xdr:colOff>
      <xdr:row>0</xdr:row>
      <xdr:rowOff>60614</xdr:rowOff>
    </xdr:from>
    <xdr:ext cx="4800600" cy="777586"/>
    <xdr:sp macro="" textlink="">
      <xdr:nvSpPr>
        <xdr:cNvPr id="5" name="TextBox 4">
          <a:extLst>
            <a:ext uri="{FF2B5EF4-FFF2-40B4-BE49-F238E27FC236}">
              <a16:creationId xmlns:a16="http://schemas.microsoft.com/office/drawing/2014/main" id="{A601E16E-E347-4323-8372-515C24972555}"/>
            </a:ext>
          </a:extLst>
        </xdr:cNvPr>
        <xdr:cNvSpPr txBox="1"/>
      </xdr:nvSpPr>
      <xdr:spPr>
        <a:xfrm>
          <a:off x="129540" y="60614"/>
          <a:ext cx="4800600" cy="777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i="0">
              <a:solidFill>
                <a:srgbClr val="FFC000"/>
              </a:solidFill>
              <a:effectLst/>
              <a:latin typeface="+mn-lt"/>
              <a:ea typeface="+mn-ea"/>
              <a:cs typeface="+mn-cs"/>
            </a:rPr>
            <a:t>Sun Pharmaceutical Industries Ltd</a:t>
          </a:r>
          <a:endParaRPr lang="en-IN" sz="2000" b="1" i="0">
            <a:solidFill>
              <a:srgbClr val="FFC000"/>
            </a:solidFill>
            <a:effectLst/>
            <a:latin typeface="+mn-lt"/>
            <a:ea typeface="+mn-ea"/>
            <a:cs typeface="+mn-cs"/>
          </a:endParaRPr>
        </a:p>
        <a:p>
          <a:r>
            <a:rPr lang="en-US" sz="1200" b="1" i="0">
              <a:solidFill>
                <a:srgbClr val="FFC000"/>
              </a:solidFill>
              <a:latin typeface="+mn-lt"/>
            </a:rPr>
            <a:t>BSE:</a:t>
          </a:r>
          <a:r>
            <a:rPr lang="en-US" sz="1200" b="1" i="0" baseline="0">
              <a:solidFill>
                <a:srgbClr val="FFC000"/>
              </a:solidFill>
              <a:latin typeface="+mn-lt"/>
            </a:rPr>
            <a:t> 524715| NSE: SUNPHARMA</a:t>
          </a:r>
          <a:endParaRPr lang="en-US" sz="900" b="1" i="0">
            <a:solidFill>
              <a:srgbClr val="FFC000"/>
            </a:solidFill>
            <a:latin typeface="+mn-lt"/>
          </a:endParaRP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0</xdr:row>
      <xdr:rowOff>60614</xdr:rowOff>
    </xdr:from>
    <xdr:ext cx="4800600" cy="777586"/>
    <xdr:sp macro="" textlink="">
      <xdr:nvSpPr>
        <xdr:cNvPr id="3" name="TextBox 2">
          <a:extLst>
            <a:ext uri="{FF2B5EF4-FFF2-40B4-BE49-F238E27FC236}">
              <a16:creationId xmlns:a16="http://schemas.microsoft.com/office/drawing/2014/main" id="{A601E16E-E347-4323-8372-515C24972555}"/>
            </a:ext>
          </a:extLst>
        </xdr:cNvPr>
        <xdr:cNvSpPr txBox="1"/>
      </xdr:nvSpPr>
      <xdr:spPr>
        <a:xfrm>
          <a:off x="129540" y="60614"/>
          <a:ext cx="4800600" cy="777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i="0">
              <a:solidFill>
                <a:srgbClr val="FFC000"/>
              </a:solidFill>
              <a:effectLst/>
              <a:latin typeface="+mn-lt"/>
              <a:ea typeface="+mn-ea"/>
              <a:cs typeface="+mn-cs"/>
            </a:rPr>
            <a:t>Sun Pharmaceutical Industries Ltd</a:t>
          </a:r>
          <a:endParaRPr lang="en-IN" sz="2000" b="1" i="0">
            <a:solidFill>
              <a:srgbClr val="FFC000"/>
            </a:solidFill>
            <a:effectLst/>
            <a:latin typeface="+mn-lt"/>
            <a:ea typeface="+mn-ea"/>
            <a:cs typeface="+mn-cs"/>
          </a:endParaRPr>
        </a:p>
        <a:p>
          <a:r>
            <a:rPr lang="en-US" sz="1200" b="1" i="0">
              <a:solidFill>
                <a:srgbClr val="FFC000"/>
              </a:solidFill>
              <a:latin typeface="+mn-lt"/>
            </a:rPr>
            <a:t>BSE:</a:t>
          </a:r>
          <a:r>
            <a:rPr lang="en-US" sz="1200" b="1" i="0" baseline="0">
              <a:solidFill>
                <a:srgbClr val="FFC000"/>
              </a:solidFill>
              <a:latin typeface="+mn-lt"/>
            </a:rPr>
            <a:t> 524715| NSE: SUNPHARMA</a:t>
          </a:r>
          <a:endParaRPr lang="en-US" sz="900" b="1" i="0">
            <a:solidFill>
              <a:srgbClr val="FFC000"/>
            </a:solidFill>
            <a:latin typeface="+mn-lt"/>
          </a:endParaRPr>
        </a:p>
      </xdr:txBody>
    </xdr:sp>
    <xdr:clientData/>
  </xdr:oneCellAnchor>
  <xdr:oneCellAnchor>
    <xdr:from>
      <xdr:col>16</xdr:col>
      <xdr:colOff>821574</xdr:colOff>
      <xdr:row>0</xdr:row>
      <xdr:rowOff>71351</xdr:rowOff>
    </xdr:from>
    <xdr:ext cx="779665" cy="776754"/>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205854" y="71351"/>
          <a:ext cx="779665" cy="776754"/>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15</xdr:col>
      <xdr:colOff>813954</xdr:colOff>
      <xdr:row>0</xdr:row>
      <xdr:rowOff>86591</xdr:rowOff>
    </xdr:from>
    <xdr:to>
      <xdr:col>16</xdr:col>
      <xdr:colOff>770659</xdr:colOff>
      <xdr:row>4</xdr:row>
      <xdr:rowOff>131825</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06545" y="86591"/>
          <a:ext cx="779319" cy="772598"/>
        </a:xfrm>
        <a:prstGeom prst="rect">
          <a:avLst/>
        </a:prstGeom>
      </xdr:spPr>
    </xdr:pic>
    <xdr:clientData/>
  </xdr:twoCellAnchor>
  <xdr:oneCellAnchor>
    <xdr:from>
      <xdr:col>1</xdr:col>
      <xdr:colOff>0</xdr:colOff>
      <xdr:row>0</xdr:row>
      <xdr:rowOff>60614</xdr:rowOff>
    </xdr:from>
    <xdr:ext cx="4563340" cy="736023"/>
    <xdr:sp macro="" textlink="">
      <xdr:nvSpPr>
        <xdr:cNvPr id="4" name="TextBox 3">
          <a:extLst>
            <a:ext uri="{FF2B5EF4-FFF2-40B4-BE49-F238E27FC236}">
              <a16:creationId xmlns:a16="http://schemas.microsoft.com/office/drawing/2014/main" id="{A601E16E-E347-4323-8372-515C24972555}"/>
            </a:ext>
          </a:extLst>
        </xdr:cNvPr>
        <xdr:cNvSpPr txBox="1"/>
      </xdr:nvSpPr>
      <xdr:spPr>
        <a:xfrm>
          <a:off x="147205" y="60614"/>
          <a:ext cx="4563340" cy="736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i="0">
              <a:solidFill>
                <a:srgbClr val="FFC000"/>
              </a:solidFill>
              <a:effectLst/>
              <a:latin typeface="+mn-lt"/>
              <a:ea typeface="+mn-ea"/>
              <a:cs typeface="+mn-cs"/>
            </a:rPr>
            <a:t>Sun Pharmaceutical Industries Ltd</a:t>
          </a:r>
          <a:endParaRPr lang="en-IN" sz="2000" b="1" i="0">
            <a:solidFill>
              <a:srgbClr val="FFC000"/>
            </a:solidFill>
            <a:effectLst/>
            <a:latin typeface="+mn-lt"/>
            <a:ea typeface="+mn-ea"/>
            <a:cs typeface="+mn-cs"/>
          </a:endParaRPr>
        </a:p>
        <a:p>
          <a:r>
            <a:rPr lang="en-US" sz="1200" b="1" i="0">
              <a:solidFill>
                <a:srgbClr val="FFC000"/>
              </a:solidFill>
              <a:latin typeface="+mn-lt"/>
            </a:rPr>
            <a:t>BSE:</a:t>
          </a:r>
          <a:r>
            <a:rPr lang="en-US" sz="1200" b="1" i="0" baseline="0">
              <a:solidFill>
                <a:srgbClr val="FFC000"/>
              </a:solidFill>
              <a:latin typeface="+mn-lt"/>
            </a:rPr>
            <a:t> 524715| NSE: SUNPHARMA</a:t>
          </a:r>
          <a:endParaRPr lang="en-US" sz="900" b="1" i="0">
            <a:solidFill>
              <a:srgbClr val="FFC000"/>
            </a:solidFill>
            <a:latin typeface="+mn-lt"/>
          </a:endParaRPr>
        </a:p>
      </xdr:txBody>
    </xdr:sp>
    <xdr:clientData/>
  </xdr:oneCellAnchor>
</xdr:wsDr>
</file>

<file path=xl/drawings/drawing13.xml><?xml version="1.0" encoding="utf-8"?>
<xdr:wsDr xmlns:xdr="http://schemas.openxmlformats.org/drawingml/2006/spreadsheetDrawing" xmlns:a="http://schemas.openxmlformats.org/drawingml/2006/main">
  <xdr:twoCellAnchor editAs="oneCell">
    <xdr:from>
      <xdr:col>13</xdr:col>
      <xdr:colOff>547254</xdr:colOff>
      <xdr:row>0</xdr:row>
      <xdr:rowOff>63731</xdr:rowOff>
    </xdr:from>
    <xdr:to>
      <xdr:col>14</xdr:col>
      <xdr:colOff>572539</xdr:colOff>
      <xdr:row>4</xdr:row>
      <xdr:rowOff>108965</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85514" y="63731"/>
          <a:ext cx="779665" cy="776754"/>
        </a:xfrm>
        <a:prstGeom prst="rect">
          <a:avLst/>
        </a:prstGeom>
      </xdr:spPr>
    </xdr:pic>
    <xdr:clientData/>
  </xdr:twoCellAnchor>
  <xdr:oneCellAnchor>
    <xdr:from>
      <xdr:col>0</xdr:col>
      <xdr:colOff>138546</xdr:colOff>
      <xdr:row>0</xdr:row>
      <xdr:rowOff>86592</xdr:rowOff>
    </xdr:from>
    <xdr:ext cx="4563340" cy="805295"/>
    <xdr:sp macro="" textlink="">
      <xdr:nvSpPr>
        <xdr:cNvPr id="3" name="TextBox 2">
          <a:extLst>
            <a:ext uri="{FF2B5EF4-FFF2-40B4-BE49-F238E27FC236}">
              <a16:creationId xmlns:a16="http://schemas.microsoft.com/office/drawing/2014/main" id="{A601E16E-E347-4323-8372-515C24972555}"/>
            </a:ext>
          </a:extLst>
        </xdr:cNvPr>
        <xdr:cNvSpPr txBox="1"/>
      </xdr:nvSpPr>
      <xdr:spPr>
        <a:xfrm>
          <a:off x="138546" y="86592"/>
          <a:ext cx="4563340" cy="80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i="0">
              <a:solidFill>
                <a:srgbClr val="FFC000"/>
              </a:solidFill>
              <a:effectLst/>
              <a:latin typeface="+mn-lt"/>
              <a:ea typeface="+mn-ea"/>
              <a:cs typeface="+mn-cs"/>
            </a:rPr>
            <a:t>Sun Pharmaceutical Industries Ltd</a:t>
          </a:r>
          <a:endParaRPr lang="en-IN" sz="2000" b="1" i="0">
            <a:solidFill>
              <a:srgbClr val="FFC000"/>
            </a:solidFill>
            <a:effectLst/>
            <a:latin typeface="+mn-lt"/>
            <a:ea typeface="+mn-ea"/>
            <a:cs typeface="+mn-cs"/>
          </a:endParaRPr>
        </a:p>
        <a:p>
          <a:r>
            <a:rPr lang="en-US" sz="1200" b="1" i="0">
              <a:solidFill>
                <a:srgbClr val="FFC000"/>
              </a:solidFill>
              <a:latin typeface="+mn-lt"/>
            </a:rPr>
            <a:t>BSE:</a:t>
          </a:r>
          <a:r>
            <a:rPr lang="en-US" sz="1200" b="1" i="0" baseline="0">
              <a:solidFill>
                <a:srgbClr val="FFC000"/>
              </a:solidFill>
              <a:latin typeface="+mn-lt"/>
            </a:rPr>
            <a:t> 524715| NSE: SUNPHARMA</a:t>
          </a:r>
          <a:endParaRPr lang="en-US" sz="900" b="1" i="0">
            <a:solidFill>
              <a:srgbClr val="FFC000"/>
            </a:solidFill>
            <a:latin typeface="+mn-lt"/>
          </a:endParaRPr>
        </a:p>
      </xdr:txBody>
    </xdr:sp>
    <xdr:clientData/>
  </xdr:oneCellAnchor>
</xdr:wsDr>
</file>

<file path=xl/drawings/drawing14.xml><?xml version="1.0" encoding="utf-8"?>
<xdr:wsDr xmlns:xdr="http://schemas.openxmlformats.org/drawingml/2006/spreadsheetDrawing" xmlns:a="http://schemas.openxmlformats.org/drawingml/2006/main">
  <xdr:twoCellAnchor editAs="oneCell">
    <xdr:from>
      <xdr:col>34</xdr:col>
      <xdr:colOff>359449</xdr:colOff>
      <xdr:row>0</xdr:row>
      <xdr:rowOff>71573</xdr:rowOff>
    </xdr:from>
    <xdr:to>
      <xdr:col>35</xdr:col>
      <xdr:colOff>535744</xdr:colOff>
      <xdr:row>4</xdr:row>
      <xdr:rowOff>116807</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788669" y="71573"/>
          <a:ext cx="785895" cy="776754"/>
        </a:xfrm>
        <a:prstGeom prst="rect">
          <a:avLst/>
        </a:prstGeom>
      </xdr:spPr>
    </xdr:pic>
    <xdr:clientData/>
  </xdr:twoCellAnchor>
  <xdr:oneCellAnchor>
    <xdr:from>
      <xdr:col>1</xdr:col>
      <xdr:colOff>0</xdr:colOff>
      <xdr:row>0</xdr:row>
      <xdr:rowOff>67735</xdr:rowOff>
    </xdr:from>
    <xdr:ext cx="4800600" cy="936396"/>
    <xdr:sp macro="" textlink="">
      <xdr:nvSpPr>
        <xdr:cNvPr id="3" name="TextBox 2">
          <a:extLst>
            <a:ext uri="{FF2B5EF4-FFF2-40B4-BE49-F238E27FC236}">
              <a16:creationId xmlns:a16="http://schemas.microsoft.com/office/drawing/2014/main" id="{A601E16E-E347-4323-8372-515C24972555}"/>
            </a:ext>
          </a:extLst>
        </xdr:cNvPr>
        <xdr:cNvSpPr txBox="1"/>
      </xdr:nvSpPr>
      <xdr:spPr>
        <a:xfrm>
          <a:off x="198120" y="67735"/>
          <a:ext cx="4800600" cy="936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i="0">
              <a:solidFill>
                <a:srgbClr val="FFC000"/>
              </a:solidFill>
              <a:effectLst/>
              <a:latin typeface="+mn-lt"/>
              <a:ea typeface="+mn-ea"/>
              <a:cs typeface="+mn-cs"/>
            </a:rPr>
            <a:t>Sun Pharmaceutical Industries Ltd</a:t>
          </a:r>
          <a:endParaRPr lang="en-IN" sz="2000" b="1" i="0">
            <a:solidFill>
              <a:srgbClr val="FFC000"/>
            </a:solidFill>
            <a:effectLst/>
            <a:latin typeface="+mn-lt"/>
            <a:ea typeface="+mn-ea"/>
            <a:cs typeface="+mn-cs"/>
          </a:endParaRPr>
        </a:p>
        <a:p>
          <a:r>
            <a:rPr lang="en-US" sz="1200" b="1" i="0">
              <a:solidFill>
                <a:srgbClr val="FFC000"/>
              </a:solidFill>
              <a:latin typeface="+mn-lt"/>
            </a:rPr>
            <a:t>BSE:</a:t>
          </a:r>
          <a:r>
            <a:rPr lang="en-US" sz="1200" b="1" i="0" baseline="0">
              <a:solidFill>
                <a:srgbClr val="FFC000"/>
              </a:solidFill>
              <a:latin typeface="+mn-lt"/>
            </a:rPr>
            <a:t> 524715| NSE: SUNPHARMA</a:t>
          </a:r>
          <a:endParaRPr lang="en-US" sz="900" b="1" i="0">
            <a:solidFill>
              <a:srgbClr val="FFC000"/>
            </a:solidFill>
            <a:latin typeface="+mn-lt"/>
          </a:endParaRPr>
        </a:p>
      </xdr:txBody>
    </xdr:sp>
    <xdr:clientData/>
  </xdr:oneCellAnchor>
</xdr:wsDr>
</file>

<file path=xl/drawings/drawing15.xml><?xml version="1.0" encoding="utf-8"?>
<xdr:wsDr xmlns:xdr="http://schemas.openxmlformats.org/drawingml/2006/spreadsheetDrawing" xmlns:a="http://schemas.openxmlformats.org/drawingml/2006/main">
  <xdr:twoCellAnchor>
    <xdr:from>
      <xdr:col>1</xdr:col>
      <xdr:colOff>15240</xdr:colOff>
      <xdr:row>15</xdr:row>
      <xdr:rowOff>144780</xdr:rowOff>
    </xdr:from>
    <xdr:to>
      <xdr:col>8</xdr:col>
      <xdr:colOff>213360</xdr:colOff>
      <xdr:row>29</xdr:row>
      <xdr:rowOff>129540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21</xdr:row>
      <xdr:rowOff>76200</xdr:rowOff>
    </xdr:from>
    <xdr:to>
      <xdr:col>8</xdr:col>
      <xdr:colOff>7620</xdr:colOff>
      <xdr:row>21</xdr:row>
      <xdr:rowOff>121920</xdr:rowOff>
    </xdr:to>
    <xdr:cxnSp macro="">
      <xdr:nvCxnSpPr>
        <xdr:cNvPr id="7" name="Straight Connector 6"/>
        <xdr:cNvCxnSpPr/>
      </xdr:nvCxnSpPr>
      <xdr:spPr>
        <a:xfrm flipV="1">
          <a:off x="739140" y="4145280"/>
          <a:ext cx="3771900" cy="45720"/>
        </a:xfrm>
        <a:prstGeom prst="line">
          <a:avLst/>
        </a:prstGeom>
        <a:ln w="12700">
          <a:solidFill>
            <a:schemeClr val="accent4">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594360</xdr:colOff>
      <xdr:row>22</xdr:row>
      <xdr:rowOff>144780</xdr:rowOff>
    </xdr:from>
    <xdr:to>
      <xdr:col>7</xdr:col>
      <xdr:colOff>708660</xdr:colOff>
      <xdr:row>22</xdr:row>
      <xdr:rowOff>190500</xdr:rowOff>
    </xdr:to>
    <xdr:cxnSp macro="">
      <xdr:nvCxnSpPr>
        <xdr:cNvPr id="15" name="Straight Connector 14"/>
        <xdr:cNvCxnSpPr/>
      </xdr:nvCxnSpPr>
      <xdr:spPr>
        <a:xfrm flipV="1">
          <a:off x="723900" y="4411980"/>
          <a:ext cx="3771900" cy="45720"/>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411480</xdr:colOff>
      <xdr:row>18</xdr:row>
      <xdr:rowOff>114300</xdr:rowOff>
    </xdr:from>
    <xdr:to>
      <xdr:col>9</xdr:col>
      <xdr:colOff>868680</xdr:colOff>
      <xdr:row>18</xdr:row>
      <xdr:rowOff>129540</xdr:rowOff>
    </xdr:to>
    <xdr:cxnSp macro="">
      <xdr:nvCxnSpPr>
        <xdr:cNvPr id="16" name="Straight Connector 15"/>
        <xdr:cNvCxnSpPr/>
      </xdr:nvCxnSpPr>
      <xdr:spPr>
        <a:xfrm flipV="1">
          <a:off x="4914900" y="3589020"/>
          <a:ext cx="1173480" cy="15240"/>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388620</xdr:colOff>
      <xdr:row>19</xdr:row>
      <xdr:rowOff>114300</xdr:rowOff>
    </xdr:from>
    <xdr:to>
      <xdr:col>9</xdr:col>
      <xdr:colOff>876300</xdr:colOff>
      <xdr:row>19</xdr:row>
      <xdr:rowOff>137160</xdr:rowOff>
    </xdr:to>
    <xdr:cxnSp macro="">
      <xdr:nvCxnSpPr>
        <xdr:cNvPr id="21" name="Straight Connector 20"/>
        <xdr:cNvCxnSpPr/>
      </xdr:nvCxnSpPr>
      <xdr:spPr>
        <a:xfrm flipV="1">
          <a:off x="4892040" y="3787140"/>
          <a:ext cx="1203960" cy="22860"/>
        </a:xfrm>
        <a:prstGeom prst="line">
          <a:avLst/>
        </a:prstGeom>
        <a:ln w="12700">
          <a:solidFill>
            <a:schemeClr val="accent4">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394854</xdr:colOff>
      <xdr:row>0</xdr:row>
      <xdr:rowOff>71351</xdr:rowOff>
    </xdr:from>
    <xdr:to>
      <xdr:col>12</xdr:col>
      <xdr:colOff>564919</xdr:colOff>
      <xdr:row>4</xdr:row>
      <xdr:rowOff>116585</xdr:rowOff>
    </xdr:to>
    <xdr:pic>
      <xdr:nvPicPr>
        <xdr:cNvPr id="25" name="Picture 2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397634" y="71351"/>
          <a:ext cx="779665" cy="776754"/>
        </a:xfrm>
        <a:prstGeom prst="rect">
          <a:avLst/>
        </a:prstGeom>
      </xdr:spPr>
    </xdr:pic>
    <xdr:clientData/>
  </xdr:twoCellAnchor>
  <xdr:oneCellAnchor>
    <xdr:from>
      <xdr:col>1</xdr:col>
      <xdr:colOff>0</xdr:colOff>
      <xdr:row>0</xdr:row>
      <xdr:rowOff>60614</xdr:rowOff>
    </xdr:from>
    <xdr:ext cx="4792980" cy="777586"/>
    <xdr:sp macro="" textlink="">
      <xdr:nvSpPr>
        <xdr:cNvPr id="26" name="TextBox 25">
          <a:extLst>
            <a:ext uri="{FF2B5EF4-FFF2-40B4-BE49-F238E27FC236}">
              <a16:creationId xmlns:a16="http://schemas.microsoft.com/office/drawing/2014/main" id="{A601E16E-E347-4323-8372-515C24972555}"/>
            </a:ext>
          </a:extLst>
        </xdr:cNvPr>
        <xdr:cNvSpPr txBox="1"/>
      </xdr:nvSpPr>
      <xdr:spPr>
        <a:xfrm>
          <a:off x="129540" y="60614"/>
          <a:ext cx="4792980" cy="777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i="0">
              <a:solidFill>
                <a:srgbClr val="FFC000"/>
              </a:solidFill>
              <a:effectLst/>
              <a:latin typeface="+mn-lt"/>
              <a:ea typeface="+mn-ea"/>
              <a:cs typeface="+mn-cs"/>
            </a:rPr>
            <a:t>Sun Pharmaceutical Industries Ltd</a:t>
          </a:r>
          <a:endParaRPr lang="en-IN" sz="2000" b="1" i="0">
            <a:solidFill>
              <a:srgbClr val="FFC000"/>
            </a:solidFill>
            <a:effectLst/>
            <a:latin typeface="+mn-lt"/>
            <a:ea typeface="+mn-ea"/>
            <a:cs typeface="+mn-cs"/>
          </a:endParaRPr>
        </a:p>
        <a:p>
          <a:r>
            <a:rPr lang="en-US" sz="1200" b="1" i="0">
              <a:solidFill>
                <a:srgbClr val="FFC000"/>
              </a:solidFill>
              <a:latin typeface="+mn-lt"/>
            </a:rPr>
            <a:t>BSE:</a:t>
          </a:r>
          <a:r>
            <a:rPr lang="en-US" sz="1200" b="1" i="0" baseline="0">
              <a:solidFill>
                <a:srgbClr val="FFC000"/>
              </a:solidFill>
              <a:latin typeface="+mn-lt"/>
            </a:rPr>
            <a:t> 524715| NSE: SUNPHARMA</a:t>
          </a:r>
          <a:endParaRPr lang="en-US" sz="900" b="1" i="0">
            <a:solidFill>
              <a:srgbClr val="FFC000"/>
            </a:solidFill>
            <a:latin typeface="+mn-lt"/>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varunbeverages.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3.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0.xml"/><Relationship Id="rId1" Type="http://schemas.openxmlformats.org/officeDocument/2006/relationships/printerSettings" Target="../printerSettings/printerSettings4.bin"/><Relationship Id="rId4"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hyperlink" Target="https://www.nseindia.com/get-quotes/equity?symbol=DRREDDY" TargetMode="External"/><Relationship Id="rId2" Type="http://schemas.openxmlformats.org/officeDocument/2006/relationships/hyperlink" Target="https://www.nseindia.com/get-quotes/equity?symbol=TORNTPHARM" TargetMode="External"/><Relationship Id="rId1" Type="http://schemas.openxmlformats.org/officeDocument/2006/relationships/hyperlink" Target="https://www.nseindia.com/get-quotes/equity?symbol=DIVISLAB" TargetMode="External"/><Relationship Id="rId6" Type="http://schemas.openxmlformats.org/officeDocument/2006/relationships/drawing" Target="../drawings/drawing12.xml"/><Relationship Id="rId5" Type="http://schemas.openxmlformats.org/officeDocument/2006/relationships/printerSettings" Target="../printerSettings/printerSettings7.bin"/><Relationship Id="rId4" Type="http://schemas.openxmlformats.org/officeDocument/2006/relationships/hyperlink" Target="https://www.nseindia.com/get-quotes/equity?symbol=ZYDUSLIFE"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BEED9"/>
  </sheetPr>
  <dimension ref="A1:N63"/>
  <sheetViews>
    <sheetView showGridLines="0" topLeftCell="A41" zoomScale="87" workbookViewId="0">
      <selection activeCell="C47" sqref="C47:G47"/>
    </sheetView>
  </sheetViews>
  <sheetFormatPr defaultRowHeight="14.4" x14ac:dyDescent="0.3"/>
  <cols>
    <col min="1" max="1" width="1.88671875" customWidth="1"/>
    <col min="2" max="2" width="36.21875" bestFit="1" customWidth="1"/>
    <col min="3" max="3" width="8.44140625" bestFit="1" customWidth="1"/>
    <col min="4" max="4" width="14.5546875" bestFit="1" customWidth="1"/>
    <col min="6" max="6" width="31.109375" customWidth="1"/>
    <col min="7" max="7" width="41.21875" customWidth="1"/>
    <col min="14" max="14" width="2.33203125" customWidth="1"/>
    <col min="15" max="16384" width="8.88671875" style="255"/>
  </cols>
  <sheetData>
    <row r="1" spans="1:14" x14ac:dyDescent="0.3">
      <c r="A1" s="142"/>
      <c r="B1" s="142"/>
      <c r="C1" s="142"/>
      <c r="D1" s="142"/>
      <c r="E1" s="142"/>
      <c r="F1" s="142"/>
      <c r="G1" s="142"/>
      <c r="H1" s="142"/>
      <c r="I1" s="142"/>
      <c r="J1" s="142"/>
      <c r="K1" s="142"/>
      <c r="L1" s="142"/>
      <c r="M1" s="142"/>
      <c r="N1" s="142"/>
    </row>
    <row r="2" spans="1:14" x14ac:dyDescent="0.3">
      <c r="A2" s="142"/>
      <c r="B2" s="142"/>
      <c r="C2" s="142"/>
      <c r="D2" s="142"/>
      <c r="E2" s="142"/>
      <c r="F2" s="142"/>
      <c r="G2" s="142"/>
      <c r="H2" s="142"/>
      <c r="I2" s="142"/>
      <c r="J2" s="142"/>
      <c r="K2" s="142"/>
      <c r="L2" s="142"/>
      <c r="M2" s="142"/>
      <c r="N2" s="142"/>
    </row>
    <row r="3" spans="1:14" x14ac:dyDescent="0.3">
      <c r="A3" s="142"/>
      <c r="B3" s="142"/>
      <c r="C3" s="142"/>
      <c r="D3" s="142"/>
      <c r="E3" s="142"/>
      <c r="F3" s="142"/>
      <c r="G3" s="142"/>
      <c r="H3" s="142"/>
      <c r="I3" s="142"/>
      <c r="J3" s="142"/>
      <c r="K3" s="142"/>
      <c r="L3" s="142"/>
      <c r="M3" s="142"/>
      <c r="N3" s="142"/>
    </row>
    <row r="4" spans="1:14" x14ac:dyDescent="0.3">
      <c r="B4" s="411" t="s">
        <v>338</v>
      </c>
      <c r="C4" s="459" t="s">
        <v>367</v>
      </c>
      <c r="D4" s="459"/>
      <c r="E4" s="459"/>
      <c r="F4" s="459"/>
      <c r="G4" s="366"/>
    </row>
    <row r="5" spans="1:14" x14ac:dyDescent="0.3">
      <c r="B5" s="411" t="s">
        <v>339</v>
      </c>
      <c r="C5" s="460" t="s">
        <v>368</v>
      </c>
      <c r="D5" s="460"/>
      <c r="E5" s="460"/>
      <c r="F5" s="460"/>
      <c r="G5" s="367"/>
    </row>
    <row r="6" spans="1:14" x14ac:dyDescent="0.3">
      <c r="B6" s="411" t="s">
        <v>340</v>
      </c>
      <c r="C6" t="s">
        <v>381</v>
      </c>
      <c r="F6" s="144"/>
      <c r="G6" s="367"/>
    </row>
    <row r="7" spans="1:14" x14ac:dyDescent="0.3">
      <c r="B7" s="411" t="s">
        <v>341</v>
      </c>
      <c r="C7" s="460" t="s">
        <v>387</v>
      </c>
      <c r="D7" s="460"/>
      <c r="E7" s="460"/>
      <c r="F7" s="460"/>
      <c r="G7" s="367"/>
    </row>
    <row r="8" spans="1:14" x14ac:dyDescent="0.3">
      <c r="B8" s="411" t="s">
        <v>342</v>
      </c>
      <c r="C8" s="461" t="s">
        <v>370</v>
      </c>
      <c r="D8" s="460"/>
      <c r="E8" s="460"/>
      <c r="F8" s="460"/>
      <c r="G8" s="367"/>
    </row>
    <row r="9" spans="1:14" ht="15.6" x14ac:dyDescent="0.3">
      <c r="B9" s="411" t="s">
        <v>343</v>
      </c>
      <c r="C9" s="462" t="s">
        <v>369</v>
      </c>
      <c r="D9" s="462"/>
      <c r="E9" s="462"/>
      <c r="F9" s="462"/>
      <c r="G9" s="367"/>
    </row>
    <row r="10" spans="1:14" ht="90" customHeight="1" x14ac:dyDescent="0.3">
      <c r="B10" s="412" t="s">
        <v>338</v>
      </c>
      <c r="C10" s="463" t="s">
        <v>312</v>
      </c>
      <c r="D10" s="463"/>
      <c r="E10" s="463"/>
      <c r="F10" s="463"/>
      <c r="G10" s="367"/>
    </row>
    <row r="11" spans="1:14" x14ac:dyDescent="0.3">
      <c r="B11" s="411" t="s">
        <v>344</v>
      </c>
      <c r="C11" s="464">
        <v>1840</v>
      </c>
      <c r="D11" s="464"/>
      <c r="E11" s="464"/>
      <c r="F11" s="464"/>
      <c r="G11" s="367"/>
    </row>
    <row r="12" spans="1:14" x14ac:dyDescent="0.3">
      <c r="B12" s="367"/>
      <c r="C12" s="368"/>
      <c r="D12" s="367"/>
      <c r="E12" s="367"/>
      <c r="F12" s="367"/>
      <c r="G12" s="367"/>
    </row>
    <row r="13" spans="1:14" x14ac:dyDescent="0.3">
      <c r="B13" s="367"/>
      <c r="C13" s="368"/>
      <c r="D13" s="367"/>
      <c r="E13" s="367"/>
      <c r="F13" s="367"/>
      <c r="G13" s="367"/>
    </row>
    <row r="14" spans="1:14" x14ac:dyDescent="0.3">
      <c r="B14" s="465" t="s">
        <v>345</v>
      </c>
      <c r="C14" s="465"/>
      <c r="D14" s="378" t="s">
        <v>346</v>
      </c>
      <c r="E14" s="369"/>
      <c r="F14" s="369"/>
      <c r="G14" s="369"/>
    </row>
    <row r="15" spans="1:14" x14ac:dyDescent="0.3">
      <c r="B15" s="466" t="s">
        <v>347</v>
      </c>
      <c r="C15" s="466"/>
      <c r="D15" s="379">
        <f>IF(B15="Best case",1,IF(B15="Base case",2,3))</f>
        <v>2</v>
      </c>
      <c r="E15" s="370"/>
      <c r="F15" s="367"/>
      <c r="G15" s="367"/>
    </row>
    <row r="16" spans="1:14" x14ac:dyDescent="0.3">
      <c r="B16" s="367"/>
      <c r="C16" s="368"/>
      <c r="D16" s="367"/>
      <c r="E16" s="367"/>
      <c r="F16" s="367"/>
      <c r="G16" s="367"/>
    </row>
    <row r="17" spans="2:7" x14ac:dyDescent="0.3">
      <c r="B17" s="367"/>
      <c r="C17" s="368"/>
      <c r="D17" s="367"/>
      <c r="E17" s="371"/>
      <c r="F17" s="370"/>
      <c r="G17" s="367"/>
    </row>
    <row r="18" spans="2:7" x14ac:dyDescent="0.3">
      <c r="B18" s="467" t="s">
        <v>348</v>
      </c>
      <c r="C18" s="468"/>
      <c r="D18" s="469"/>
      <c r="E18" s="371"/>
      <c r="F18" s="370"/>
      <c r="G18" s="372"/>
    </row>
    <row r="19" spans="2:7" x14ac:dyDescent="0.3">
      <c r="B19" s="390" t="s">
        <v>14</v>
      </c>
      <c r="C19" s="391"/>
      <c r="D19" s="392" t="s">
        <v>349</v>
      </c>
      <c r="E19" s="371"/>
      <c r="F19" s="370"/>
      <c r="G19" s="372"/>
    </row>
    <row r="20" spans="2:7" x14ac:dyDescent="0.3">
      <c r="B20" s="385" t="s">
        <v>350</v>
      </c>
      <c r="C20" s="386" t="s">
        <v>351</v>
      </c>
      <c r="D20" s="387">
        <v>2406292857</v>
      </c>
      <c r="E20" s="367"/>
      <c r="F20" s="370"/>
      <c r="G20" s="372"/>
    </row>
    <row r="21" spans="2:7" x14ac:dyDescent="0.3">
      <c r="B21" s="385" t="s">
        <v>352</v>
      </c>
      <c r="C21" s="386" t="s">
        <v>353</v>
      </c>
      <c r="D21" s="388">
        <v>1</v>
      </c>
      <c r="E21" s="367"/>
      <c r="F21" s="367"/>
      <c r="G21" s="372"/>
    </row>
    <row r="22" spans="2:7" x14ac:dyDescent="0.3">
      <c r="B22" s="385" t="s">
        <v>344</v>
      </c>
      <c r="C22" s="386" t="s">
        <v>353</v>
      </c>
      <c r="D22" s="388">
        <f>C11</f>
        <v>1840</v>
      </c>
      <c r="E22" s="367"/>
      <c r="F22" s="367"/>
      <c r="G22" s="367"/>
    </row>
    <row r="23" spans="2:7" x14ac:dyDescent="0.3">
      <c r="B23" s="385" t="s">
        <v>257</v>
      </c>
      <c r="C23" s="386" t="s">
        <v>354</v>
      </c>
      <c r="D23" s="389">
        <f>D20*D22/10^7</f>
        <v>442757.88568800001</v>
      </c>
      <c r="E23" s="367"/>
      <c r="F23" s="367"/>
      <c r="G23" s="367"/>
    </row>
    <row r="24" spans="2:7" x14ac:dyDescent="0.3">
      <c r="B24" s="367"/>
      <c r="C24" s="368"/>
      <c r="D24" s="370"/>
      <c r="E24" s="367"/>
      <c r="F24" s="367"/>
      <c r="G24" s="367"/>
    </row>
    <row r="25" spans="2:7" x14ac:dyDescent="0.3">
      <c r="B25" s="458" t="s">
        <v>355</v>
      </c>
      <c r="C25" s="458"/>
      <c r="D25" s="458"/>
      <c r="E25" s="367"/>
      <c r="F25" s="367"/>
      <c r="G25" s="367"/>
    </row>
    <row r="26" spans="2:7" x14ac:dyDescent="0.3">
      <c r="B26" s="385" t="s">
        <v>357</v>
      </c>
      <c r="C26" s="386" t="s">
        <v>356</v>
      </c>
      <c r="D26" s="413">
        <f>Assumptions!G10</f>
        <v>8.4161961034582705E-2</v>
      </c>
      <c r="E26" s="367"/>
      <c r="F26" s="367"/>
      <c r="G26" s="367"/>
    </row>
    <row r="27" spans="2:7" x14ac:dyDescent="0.3">
      <c r="B27" s="385" t="s">
        <v>358</v>
      </c>
      <c r="C27" s="386" t="s">
        <v>356</v>
      </c>
      <c r="D27" s="413">
        <f>'DCF Valuation'!C26</f>
        <v>0.04</v>
      </c>
      <c r="E27" s="367"/>
      <c r="F27" s="367"/>
      <c r="G27" s="367"/>
    </row>
    <row r="28" spans="2:7" x14ac:dyDescent="0.3">
      <c r="B28" s="385" t="s">
        <v>359</v>
      </c>
      <c r="C28" s="386" t="s">
        <v>356</v>
      </c>
      <c r="D28" s="413">
        <f>WACC!K27</f>
        <v>6.8900000000000003E-2</v>
      </c>
      <c r="E28" s="367"/>
      <c r="F28" s="367"/>
      <c r="G28" s="367"/>
    </row>
    <row r="29" spans="2:7" x14ac:dyDescent="0.3">
      <c r="B29" s="385" t="s">
        <v>360</v>
      </c>
      <c r="C29" s="386" t="s">
        <v>356</v>
      </c>
      <c r="D29" s="413">
        <f>Assumptions!G15</f>
        <v>8.1301898660781746E-2</v>
      </c>
      <c r="E29" s="367"/>
      <c r="F29" s="367"/>
      <c r="G29" s="367"/>
    </row>
    <row r="30" spans="2:7" x14ac:dyDescent="0.3">
      <c r="B30" s="385" t="s">
        <v>406</v>
      </c>
      <c r="C30" s="386" t="s">
        <v>356</v>
      </c>
      <c r="D30" s="413">
        <v>0.1</v>
      </c>
      <c r="E30" s="367"/>
      <c r="F30" s="367"/>
      <c r="G30" s="367"/>
    </row>
    <row r="31" spans="2:7" x14ac:dyDescent="0.3">
      <c r="B31" s="367"/>
      <c r="C31" s="368"/>
      <c r="D31" s="367"/>
      <c r="E31" s="367"/>
      <c r="F31" s="367"/>
      <c r="G31" s="367"/>
    </row>
    <row r="32" spans="2:7" x14ac:dyDescent="0.3">
      <c r="B32" s="449" t="s">
        <v>361</v>
      </c>
      <c r="C32" s="450"/>
      <c r="D32" s="451"/>
      <c r="E32" s="367"/>
      <c r="F32" s="367"/>
      <c r="G32" s="367"/>
    </row>
    <row r="33" spans="1:14" x14ac:dyDescent="0.3">
      <c r="B33" s="382" t="s">
        <v>47</v>
      </c>
      <c r="C33" s="383"/>
      <c r="D33" s="384" t="s">
        <v>362</v>
      </c>
      <c r="E33" s="367"/>
      <c r="F33" s="367"/>
      <c r="G33" s="367"/>
    </row>
    <row r="34" spans="1:14" x14ac:dyDescent="0.3">
      <c r="B34" s="380">
        <v>2021</v>
      </c>
      <c r="C34" s="381"/>
      <c r="D34" s="144">
        <v>33498.14</v>
      </c>
      <c r="E34" s="373"/>
      <c r="F34" s="373"/>
      <c r="G34" s="373"/>
    </row>
    <row r="35" spans="1:14" x14ac:dyDescent="0.3">
      <c r="B35" s="380">
        <f>B34+1</f>
        <v>2022</v>
      </c>
      <c r="C35" s="381"/>
      <c r="D35" s="144">
        <v>38654.490000000005</v>
      </c>
      <c r="E35" s="374"/>
      <c r="F35" s="374"/>
      <c r="G35" s="374"/>
    </row>
    <row r="36" spans="1:14" x14ac:dyDescent="0.3">
      <c r="B36" s="380">
        <f t="shared" ref="B36:B38" si="0">B35+1</f>
        <v>2023</v>
      </c>
      <c r="C36" s="381"/>
      <c r="D36" s="144">
        <v>43885.68</v>
      </c>
      <c r="E36" s="367"/>
      <c r="F36" s="372"/>
      <c r="G36" s="367"/>
    </row>
    <row r="37" spans="1:14" x14ac:dyDescent="0.3">
      <c r="B37" s="380">
        <f t="shared" si="0"/>
        <v>2024</v>
      </c>
      <c r="C37" s="381"/>
      <c r="D37" s="144">
        <v>48496.85</v>
      </c>
      <c r="E37" s="367"/>
      <c r="F37" s="372"/>
      <c r="G37" s="367"/>
    </row>
    <row r="38" spans="1:14" x14ac:dyDescent="0.3">
      <c r="B38" s="380">
        <f t="shared" si="0"/>
        <v>2025</v>
      </c>
      <c r="C38" s="381"/>
      <c r="D38" s="144">
        <v>52578.44</v>
      </c>
      <c r="E38" s="367"/>
      <c r="F38" s="372"/>
      <c r="G38" s="367"/>
    </row>
    <row r="39" spans="1:14" x14ac:dyDescent="0.3">
      <c r="B39" s="375"/>
      <c r="C39" s="376"/>
      <c r="D39" s="375"/>
      <c r="E39" s="375"/>
      <c r="F39" s="377"/>
      <c r="G39" s="375"/>
    </row>
    <row r="40" spans="1:14" x14ac:dyDescent="0.3">
      <c r="B40" s="367"/>
      <c r="C40" s="368"/>
      <c r="D40" s="367"/>
      <c r="E40" s="367"/>
      <c r="F40" s="367"/>
      <c r="G40" s="367"/>
    </row>
    <row r="41" spans="1:14" x14ac:dyDescent="0.3">
      <c r="B41" s="409" t="s">
        <v>363</v>
      </c>
      <c r="C41" s="452" t="s">
        <v>355</v>
      </c>
      <c r="D41" s="452"/>
      <c r="E41" s="452"/>
      <c r="F41" s="452"/>
      <c r="G41" s="452"/>
    </row>
    <row r="42" spans="1:14" ht="29.4" customHeight="1" x14ac:dyDescent="0.3">
      <c r="A42" s="142"/>
      <c r="B42" s="456" t="s">
        <v>364</v>
      </c>
      <c r="C42" s="455" t="s">
        <v>407</v>
      </c>
      <c r="D42" s="455"/>
      <c r="E42" s="455"/>
      <c r="F42" s="455"/>
      <c r="G42" s="455"/>
      <c r="H42" s="142"/>
      <c r="I42" s="142"/>
      <c r="J42" s="142"/>
      <c r="K42" s="142"/>
      <c r="L42" s="142"/>
      <c r="M42" s="142"/>
      <c r="N42" s="142"/>
    </row>
    <row r="43" spans="1:14" ht="16.8" customHeight="1" x14ac:dyDescent="0.3">
      <c r="B43" s="457"/>
      <c r="C43" s="470" t="s">
        <v>408</v>
      </c>
      <c r="D43" s="471"/>
      <c r="E43" s="471"/>
      <c r="F43" s="471"/>
      <c r="G43" s="472"/>
    </row>
    <row r="44" spans="1:14" ht="28.2" customHeight="1" x14ac:dyDescent="0.3">
      <c r="B44" s="477" t="s">
        <v>365</v>
      </c>
      <c r="C44" s="453" t="s">
        <v>409</v>
      </c>
      <c r="D44" s="453"/>
      <c r="E44" s="453"/>
      <c r="F44" s="453"/>
      <c r="G44" s="453"/>
    </row>
    <row r="45" spans="1:14" ht="28.8" customHeight="1" x14ac:dyDescent="0.3">
      <c r="B45" s="478"/>
      <c r="C45" s="455" t="s">
        <v>389</v>
      </c>
      <c r="D45" s="455"/>
      <c r="E45" s="455"/>
      <c r="F45" s="455"/>
      <c r="G45" s="455"/>
    </row>
    <row r="46" spans="1:14" ht="28.8" customHeight="1" x14ac:dyDescent="0.3">
      <c r="A46" s="142"/>
      <c r="B46" s="478"/>
      <c r="C46" s="453" t="s">
        <v>416</v>
      </c>
      <c r="D46" s="453"/>
      <c r="E46" s="453"/>
      <c r="F46" s="453"/>
      <c r="G46" s="453"/>
      <c r="H46" s="142"/>
      <c r="I46" s="142"/>
      <c r="J46" s="142"/>
      <c r="K46" s="142"/>
      <c r="L46" s="142"/>
      <c r="M46" s="142"/>
      <c r="N46" s="142"/>
    </row>
    <row r="47" spans="1:14" ht="28.8" customHeight="1" x14ac:dyDescent="0.3">
      <c r="A47" s="142"/>
      <c r="B47" s="478"/>
      <c r="C47" s="455" t="s">
        <v>405</v>
      </c>
      <c r="D47" s="455"/>
      <c r="E47" s="455"/>
      <c r="F47" s="455"/>
      <c r="G47" s="455"/>
      <c r="H47" s="142"/>
      <c r="I47" s="142"/>
      <c r="J47" s="142"/>
      <c r="K47" s="142"/>
      <c r="L47" s="142"/>
      <c r="M47" s="142"/>
      <c r="N47" s="142"/>
    </row>
    <row r="48" spans="1:14" ht="33.6" customHeight="1" x14ac:dyDescent="0.3">
      <c r="B48" s="478"/>
      <c r="C48" s="453" t="s">
        <v>415</v>
      </c>
      <c r="D48" s="453"/>
      <c r="E48" s="453"/>
      <c r="F48" s="453"/>
      <c r="G48" s="453"/>
    </row>
    <row r="49" spans="1:14" ht="28.8" customHeight="1" x14ac:dyDescent="0.3">
      <c r="B49" s="479"/>
      <c r="C49" s="453" t="s">
        <v>390</v>
      </c>
      <c r="D49" s="453"/>
      <c r="E49" s="453"/>
      <c r="F49" s="453"/>
      <c r="G49" s="453"/>
    </row>
    <row r="50" spans="1:14" ht="28.2" customHeight="1" x14ac:dyDescent="0.3">
      <c r="B50" s="456" t="s">
        <v>366</v>
      </c>
      <c r="C50" s="455" t="s">
        <v>402</v>
      </c>
      <c r="D50" s="455"/>
      <c r="E50" s="455"/>
      <c r="F50" s="455"/>
      <c r="G50" s="455"/>
    </row>
    <row r="51" spans="1:14" ht="29.4" customHeight="1" x14ac:dyDescent="0.3">
      <c r="B51" s="476"/>
      <c r="C51" s="455" t="s">
        <v>391</v>
      </c>
      <c r="D51" s="455"/>
      <c r="E51" s="455"/>
      <c r="F51" s="455"/>
      <c r="G51" s="455"/>
    </row>
    <row r="52" spans="1:14" ht="29.4" customHeight="1" x14ac:dyDescent="0.3">
      <c r="A52" s="142"/>
      <c r="B52" s="476"/>
      <c r="C52" s="453" t="s">
        <v>388</v>
      </c>
      <c r="D52" s="453"/>
      <c r="E52" s="453"/>
      <c r="F52" s="453"/>
      <c r="G52" s="453"/>
      <c r="H52" s="142"/>
      <c r="I52" s="142"/>
      <c r="J52" s="142"/>
      <c r="K52" s="142"/>
      <c r="L52" s="142"/>
      <c r="M52" s="142"/>
      <c r="N52" s="142"/>
    </row>
    <row r="53" spans="1:14" ht="29.4" customHeight="1" x14ac:dyDescent="0.3">
      <c r="B53" s="457"/>
      <c r="C53" s="473" t="s">
        <v>392</v>
      </c>
      <c r="D53" s="474"/>
      <c r="E53" s="474"/>
      <c r="F53" s="474"/>
      <c r="G53" s="475"/>
    </row>
    <row r="54" spans="1:14" ht="40.200000000000003" customHeight="1" x14ac:dyDescent="0.3">
      <c r="B54" s="454" t="s">
        <v>375</v>
      </c>
      <c r="C54" s="448" t="s">
        <v>393</v>
      </c>
      <c r="D54" s="448"/>
      <c r="E54" s="448"/>
      <c r="F54" s="448"/>
      <c r="G54" s="448"/>
    </row>
    <row r="55" spans="1:14" ht="34.799999999999997" customHeight="1" x14ac:dyDescent="0.3">
      <c r="B55" s="454"/>
      <c r="C55" s="448" t="s">
        <v>394</v>
      </c>
      <c r="D55" s="448"/>
      <c r="E55" s="448"/>
      <c r="F55" s="448"/>
      <c r="G55" s="448"/>
    </row>
    <row r="56" spans="1:14" ht="28.8" customHeight="1" x14ac:dyDescent="0.3">
      <c r="B56" s="454"/>
      <c r="C56" s="448" t="s">
        <v>395</v>
      </c>
      <c r="D56" s="448"/>
      <c r="E56" s="448"/>
      <c r="F56" s="448"/>
      <c r="G56" s="448"/>
    </row>
    <row r="57" spans="1:14" ht="27.6" customHeight="1" x14ac:dyDescent="0.3">
      <c r="B57" s="410" t="s">
        <v>404</v>
      </c>
      <c r="C57" s="448" t="s">
        <v>396</v>
      </c>
      <c r="D57" s="448"/>
      <c r="E57" s="448"/>
      <c r="F57" s="448"/>
      <c r="G57" s="448"/>
    </row>
    <row r="58" spans="1:14" ht="27.6" customHeight="1" x14ac:dyDescent="0.3">
      <c r="B58" s="410" t="s">
        <v>61</v>
      </c>
      <c r="C58" s="448" t="s">
        <v>397</v>
      </c>
      <c r="D58" s="448"/>
      <c r="E58" s="448"/>
      <c r="F58" s="448"/>
      <c r="G58" s="448"/>
    </row>
    <row r="59" spans="1:14" ht="28.8" customHeight="1" x14ac:dyDescent="0.3">
      <c r="B59" s="410" t="s">
        <v>376</v>
      </c>
      <c r="C59" s="448" t="s">
        <v>379</v>
      </c>
      <c r="D59" s="448"/>
      <c r="E59" s="448"/>
      <c r="F59" s="448"/>
      <c r="G59" s="448"/>
    </row>
    <row r="60" spans="1:14" ht="40.200000000000003" customHeight="1" x14ac:dyDescent="0.3">
      <c r="B60" s="410" t="s">
        <v>242</v>
      </c>
      <c r="C60" s="448" t="s">
        <v>398</v>
      </c>
      <c r="D60" s="448"/>
      <c r="E60" s="448"/>
      <c r="F60" s="448"/>
      <c r="G60" s="448"/>
    </row>
    <row r="61" spans="1:14" ht="42.6" customHeight="1" x14ac:dyDescent="0.3">
      <c r="B61" s="410" t="s">
        <v>377</v>
      </c>
      <c r="C61" s="448" t="s">
        <v>399</v>
      </c>
      <c r="D61" s="448"/>
      <c r="E61" s="448"/>
      <c r="F61" s="448"/>
      <c r="G61" s="448"/>
    </row>
    <row r="62" spans="1:14" ht="47.4" customHeight="1" x14ac:dyDescent="0.3">
      <c r="B62" s="410" t="s">
        <v>378</v>
      </c>
      <c r="C62" s="448" t="s">
        <v>400</v>
      </c>
      <c r="D62" s="448"/>
      <c r="E62" s="448"/>
      <c r="F62" s="448"/>
      <c r="G62" s="448"/>
    </row>
    <row r="63" spans="1:14" x14ac:dyDescent="0.3">
      <c r="B63" s="408"/>
      <c r="C63" s="408"/>
      <c r="D63" s="408"/>
      <c r="E63" s="408"/>
      <c r="F63" s="408"/>
      <c r="G63" s="408"/>
    </row>
  </sheetData>
  <mergeCells count="38">
    <mergeCell ref="C47:G47"/>
    <mergeCell ref="C43:G43"/>
    <mergeCell ref="C53:G53"/>
    <mergeCell ref="B50:B53"/>
    <mergeCell ref="C48:G48"/>
    <mergeCell ref="B44:B49"/>
    <mergeCell ref="B25:D25"/>
    <mergeCell ref="C4:F4"/>
    <mergeCell ref="C5:F5"/>
    <mergeCell ref="C7:F7"/>
    <mergeCell ref="C8:F8"/>
    <mergeCell ref="C9:F9"/>
    <mergeCell ref="C10:F10"/>
    <mergeCell ref="C11:F11"/>
    <mergeCell ref="B14:C14"/>
    <mergeCell ref="B15:C15"/>
    <mergeCell ref="B18:D18"/>
    <mergeCell ref="B32:D32"/>
    <mergeCell ref="C41:G41"/>
    <mergeCell ref="C60:G60"/>
    <mergeCell ref="C61:G61"/>
    <mergeCell ref="C62:G62"/>
    <mergeCell ref="C49:G49"/>
    <mergeCell ref="B54:B56"/>
    <mergeCell ref="C46:G46"/>
    <mergeCell ref="C45:G45"/>
    <mergeCell ref="C44:G44"/>
    <mergeCell ref="C52:G52"/>
    <mergeCell ref="C51:G51"/>
    <mergeCell ref="C50:G50"/>
    <mergeCell ref="C56:G56"/>
    <mergeCell ref="C42:G42"/>
    <mergeCell ref="B42:B43"/>
    <mergeCell ref="C54:G54"/>
    <mergeCell ref="C55:G55"/>
    <mergeCell ref="C57:G57"/>
    <mergeCell ref="C58:G58"/>
    <mergeCell ref="C59:G59"/>
  </mergeCells>
  <dataValidations count="1">
    <dataValidation type="list" allowBlank="1" showInputMessage="1" showErrorMessage="1" sqref="B15:C15">
      <formula1>"Best case, Base case, Worst case"</formula1>
    </dataValidation>
  </dataValidations>
  <hyperlinks>
    <hyperlink ref="C9:F9" r:id="rId1" display="https://varunbeverages.com/"/>
  </hyperlinks>
  <pageMargins left="0.7" right="0.7" top="0.75" bottom="0.75" header="0.3" footer="0.3"/>
  <pageSetup orientation="portrait" r:id="rId2"/>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BEED9"/>
  </sheetPr>
  <dimension ref="A1:R38"/>
  <sheetViews>
    <sheetView showGridLines="0" tabSelected="1" workbookViewId="0">
      <selection activeCell="H20" sqref="H20"/>
    </sheetView>
  </sheetViews>
  <sheetFormatPr defaultRowHeight="14.4" x14ac:dyDescent="0.3"/>
  <cols>
    <col min="1" max="1" width="1.88671875" customWidth="1"/>
    <col min="2" max="2" width="42.5546875" bestFit="1" customWidth="1"/>
    <col min="3" max="3" width="10" bestFit="1" customWidth="1"/>
    <col min="4" max="7" width="7.21875" bestFit="1" customWidth="1"/>
    <col min="8" max="8" width="9.33203125" bestFit="1" customWidth="1"/>
    <col min="9" max="12" width="7.21875" bestFit="1" customWidth="1"/>
    <col min="13" max="13" width="8.88671875" customWidth="1"/>
    <col min="14" max="17" width="9" style="323" bestFit="1" customWidth="1"/>
    <col min="18" max="18" width="2.44140625" style="323" customWidth="1"/>
    <col min="19" max="16384" width="8.88671875" style="255"/>
  </cols>
  <sheetData>
    <row r="1" spans="1:17" x14ac:dyDescent="0.3">
      <c r="A1" s="26"/>
      <c r="B1" s="40"/>
      <c r="C1" s="40"/>
      <c r="D1" s="40"/>
      <c r="E1" s="40"/>
      <c r="F1" s="40"/>
      <c r="G1" s="40"/>
      <c r="H1" s="40"/>
      <c r="I1" s="40"/>
      <c r="J1" s="40"/>
      <c r="K1" s="40"/>
      <c r="L1" s="40"/>
      <c r="M1" s="40"/>
      <c r="N1" s="40"/>
      <c r="O1" s="40"/>
      <c r="P1" s="40"/>
      <c r="Q1" s="40"/>
    </row>
    <row r="2" spans="1:17" x14ac:dyDescent="0.3">
      <c r="A2" s="26"/>
      <c r="B2" s="40"/>
      <c r="C2" s="40"/>
      <c r="D2" s="40"/>
      <c r="E2" s="40"/>
      <c r="F2" s="40"/>
      <c r="G2" s="40"/>
      <c r="H2" s="40"/>
      <c r="I2" s="40"/>
      <c r="J2" s="40"/>
      <c r="K2" s="40"/>
      <c r="L2" s="40"/>
      <c r="M2" s="40"/>
      <c r="N2" s="40"/>
      <c r="O2" s="40"/>
      <c r="P2" s="40"/>
      <c r="Q2" s="40"/>
    </row>
    <row r="3" spans="1:17" x14ac:dyDescent="0.3">
      <c r="A3" s="26"/>
      <c r="B3" s="40"/>
      <c r="C3" s="40"/>
      <c r="D3" s="40"/>
      <c r="E3" s="40"/>
      <c r="F3" s="40"/>
      <c r="G3" s="40"/>
      <c r="H3" s="40"/>
      <c r="I3" s="40"/>
      <c r="J3" s="40"/>
      <c r="K3" s="40"/>
      <c r="L3" s="40"/>
      <c r="M3" s="40"/>
      <c r="N3" s="40"/>
      <c r="O3" s="40"/>
      <c r="P3" s="40"/>
      <c r="Q3" s="40"/>
    </row>
    <row r="4" spans="1:17" x14ac:dyDescent="0.3">
      <c r="A4" s="26"/>
      <c r="B4" s="40"/>
      <c r="C4" s="40"/>
      <c r="D4" s="40"/>
      <c r="E4" s="40"/>
      <c r="F4" s="40"/>
      <c r="G4" s="40"/>
      <c r="H4" s="40"/>
      <c r="I4" s="40"/>
      <c r="J4" s="40"/>
      <c r="K4" s="40"/>
      <c r="L4" s="40"/>
      <c r="M4" s="40"/>
      <c r="N4" s="40"/>
      <c r="O4" s="40"/>
      <c r="P4" s="40"/>
      <c r="Q4" s="40"/>
    </row>
    <row r="5" spans="1:17" x14ac:dyDescent="0.3">
      <c r="A5" s="26"/>
      <c r="B5" s="40"/>
      <c r="C5" s="40"/>
      <c r="D5" s="40"/>
      <c r="E5" s="40"/>
      <c r="F5" s="40"/>
      <c r="G5" s="40"/>
      <c r="H5" s="40"/>
      <c r="I5" s="40"/>
      <c r="J5" s="40"/>
      <c r="K5" s="40"/>
      <c r="L5" s="40"/>
      <c r="M5" s="40"/>
      <c r="N5" s="40"/>
      <c r="O5" s="40"/>
      <c r="P5" s="40"/>
      <c r="Q5" s="40"/>
    </row>
    <row r="6" spans="1:17" x14ac:dyDescent="0.3">
      <c r="B6" s="26"/>
      <c r="C6" s="26"/>
      <c r="D6" s="26"/>
      <c r="E6" s="26"/>
      <c r="F6" s="26"/>
      <c r="G6" s="26"/>
      <c r="H6" s="26"/>
      <c r="I6" s="26"/>
      <c r="J6" s="26"/>
      <c r="K6" s="26"/>
      <c r="L6" s="26"/>
      <c r="M6" s="26"/>
    </row>
    <row r="7" spans="1:17" x14ac:dyDescent="0.3">
      <c r="B7" s="481" t="s">
        <v>14</v>
      </c>
      <c r="C7" s="480" t="s">
        <v>13</v>
      </c>
      <c r="D7" s="480"/>
      <c r="E7" s="480"/>
      <c r="F7" s="480"/>
      <c r="G7" s="480"/>
      <c r="H7" s="482" t="s">
        <v>12</v>
      </c>
      <c r="I7" s="483"/>
      <c r="J7" s="483"/>
      <c r="K7" s="483"/>
      <c r="L7" s="483"/>
      <c r="M7" s="483"/>
      <c r="N7" s="483"/>
      <c r="O7" s="483"/>
      <c r="P7" s="483"/>
      <c r="Q7" s="484"/>
    </row>
    <row r="8" spans="1:17" x14ac:dyDescent="0.3">
      <c r="B8" s="481"/>
      <c r="C8" s="119">
        <v>44286</v>
      </c>
      <c r="D8" s="119">
        <v>44651</v>
      </c>
      <c r="E8" s="119">
        <v>45016</v>
      </c>
      <c r="F8" s="119">
        <v>45382</v>
      </c>
      <c r="G8" s="119">
        <v>45747</v>
      </c>
      <c r="H8" s="119">
        <v>46112</v>
      </c>
      <c r="I8" s="119">
        <v>46477</v>
      </c>
      <c r="J8" s="119">
        <v>46843</v>
      </c>
      <c r="K8" s="119">
        <v>47208</v>
      </c>
      <c r="L8" s="119">
        <v>47573</v>
      </c>
      <c r="M8" s="298">
        <f>L8+365</f>
        <v>47938</v>
      </c>
      <c r="N8" s="298">
        <f t="shared" ref="N8:Q8" si="0">M8+365</f>
        <v>48303</v>
      </c>
      <c r="O8" s="298">
        <f t="shared" si="0"/>
        <v>48668</v>
      </c>
      <c r="P8" s="298">
        <f t="shared" si="0"/>
        <v>49033</v>
      </c>
      <c r="Q8" s="298">
        <f t="shared" si="0"/>
        <v>49398</v>
      </c>
    </row>
    <row r="9" spans="1:17" x14ac:dyDescent="0.3">
      <c r="H9" s="15" t="s">
        <v>122</v>
      </c>
    </row>
    <row r="10" spans="1:17" x14ac:dyDescent="0.3">
      <c r="B10" s="170" t="s">
        <v>297</v>
      </c>
      <c r="C10" s="397" t="s">
        <v>106</v>
      </c>
      <c r="D10" s="398">
        <f>('Income Statement'!D9-'Income Statement'!C9)/'Income Statement'!C9</f>
        <v>0.1539294420526035</v>
      </c>
      <c r="E10" s="398">
        <f>('Income Statement'!E9-'Income Statement'!D9)/'Income Statement'!D9</f>
        <v>0.13533201446972903</v>
      </c>
      <c r="F10" s="398">
        <f>('Income Statement'!F9-'Income Statement'!E9)/'Income Statement'!E9</f>
        <v>0.10507231516066291</v>
      </c>
      <c r="G10" s="398">
        <f>('Income Statement'!G9-'Income Statement'!F9)/'Income Statement'!F9</f>
        <v>8.4161961034582705E-2</v>
      </c>
      <c r="H10" s="253">
        <f>IF($H$9="Base Case",'Revenue Buildup'!E8,IF(Assumptions!$H$9="Bull Case",'Revenue Buildup'!E9,'Revenue Buildup'!E10))</f>
        <v>0.1</v>
      </c>
      <c r="I10" s="253">
        <f>IF($H$9="Base Case",'Revenue Buildup'!F8,IF(Assumptions!$H$9="Bull Case",'Revenue Buildup'!F9,'Revenue Buildup'!F10))</f>
        <v>0.1</v>
      </c>
      <c r="J10" s="253">
        <f>IF($H$9="Base Case",'Revenue Buildup'!G8,IF(Assumptions!$H$9="Bull Case",'Revenue Buildup'!G9,'Revenue Buildup'!G10))</f>
        <v>0.1</v>
      </c>
      <c r="K10" s="253">
        <f>IF($H$9="Base Case",'Revenue Buildup'!H8,IF(Assumptions!$H$9="Bull Case",'Revenue Buildup'!H9,'Revenue Buildup'!H10))</f>
        <v>0.1</v>
      </c>
      <c r="L10" s="253">
        <f>IF($H$9="Base Case",'Revenue Buildup'!I8,IF(Assumptions!$H$9="Bull Case",'Revenue Buildup'!I9,'Revenue Buildup'!I10))</f>
        <v>0.1</v>
      </c>
      <c r="M10" s="253">
        <f>IF($H$9="Base Case",'Revenue Buildup'!J8,IF(Assumptions!$H$9="Bull Case",'Revenue Buildup'!J9,'Revenue Buildup'!J10))</f>
        <v>8.3250000000000005E-2</v>
      </c>
      <c r="N10" s="253">
        <f>IF($H$9="Base Case",'Revenue Buildup'!K8,IF(Assumptions!$H$9="Bull Case",'Revenue Buildup'!K9,'Revenue Buildup'!K10))</f>
        <v>6.930562500000001E-2</v>
      </c>
      <c r="O10" s="253">
        <f>IF($H$9="Base Case",'Revenue Buildup'!L8,IF(Assumptions!$H$9="Bull Case",'Revenue Buildup'!L9,'Revenue Buildup'!L10))</f>
        <v>5.7696932812500011E-2</v>
      </c>
      <c r="P10" s="253">
        <f>IF($H$9="Base Case",'Revenue Buildup'!M8,IF(Assumptions!$H$9="Bull Case",'Revenue Buildup'!M9,'Revenue Buildup'!M10))</f>
        <v>4.8032696566406262E-2</v>
      </c>
      <c r="Q10" s="253">
        <f>IF($H$9="Base Case",'Revenue Buildup'!N8,IF(Assumptions!$H$9="Bull Case",'Revenue Buildup'!N9,'Revenue Buildup'!N10))</f>
        <v>3.9987219891533213E-2</v>
      </c>
    </row>
    <row r="11" spans="1:17" x14ac:dyDescent="0.3">
      <c r="B11" s="170" t="s">
        <v>104</v>
      </c>
      <c r="C11" s="398">
        <f>'Income Statement'!C10/'Income Statement'!C9</f>
        <v>0.25941977673984284</v>
      </c>
      <c r="D11" s="398">
        <f>'Income Statement'!D10/'Income Statement'!D9</f>
        <v>0.26779657421427622</v>
      </c>
      <c r="E11" s="398">
        <f>'Income Statement'!E10/'Income Statement'!E9</f>
        <v>0.24295305439040707</v>
      </c>
      <c r="F11" s="398">
        <f>'Income Statement'!F10/'Income Statement'!F9</f>
        <v>0.21986190855694754</v>
      </c>
      <c r="G11" s="398">
        <f>'Income Statement'!G10/'Income Statement'!G9</f>
        <v>0.20440621669262155</v>
      </c>
      <c r="H11" s="252">
        <f t="shared" ref="H11:H13" si="1">AVERAGE(C11:G11)</f>
        <v>0.23888750611881901</v>
      </c>
      <c r="I11" s="252">
        <f>H11</f>
        <v>0.23888750611881901</v>
      </c>
      <c r="J11" s="252">
        <f t="shared" ref="J11:Q11" si="2">I11</f>
        <v>0.23888750611881901</v>
      </c>
      <c r="K11" s="252">
        <f t="shared" si="2"/>
        <v>0.23888750611881901</v>
      </c>
      <c r="L11" s="252">
        <f t="shared" si="2"/>
        <v>0.23888750611881901</v>
      </c>
      <c r="M11" s="252">
        <f t="shared" si="2"/>
        <v>0.23888750611881901</v>
      </c>
      <c r="N11" s="252">
        <f t="shared" si="2"/>
        <v>0.23888750611881901</v>
      </c>
      <c r="O11" s="252">
        <f t="shared" si="2"/>
        <v>0.23888750611881901</v>
      </c>
      <c r="P11" s="252">
        <f t="shared" si="2"/>
        <v>0.23888750611881901</v>
      </c>
      <c r="Q11" s="252">
        <f t="shared" si="2"/>
        <v>0.23888750611881901</v>
      </c>
    </row>
    <row r="12" spans="1:17" x14ac:dyDescent="0.3">
      <c r="B12" s="247" t="s">
        <v>108</v>
      </c>
      <c r="C12" s="398">
        <f>'Income Statement'!C12/'Income Statement'!C9</f>
        <v>0.20485406055380984</v>
      </c>
      <c r="D12" s="398">
        <f>'Income Statement'!D12/'Income Statement'!D9</f>
        <v>0.18887404800839436</v>
      </c>
      <c r="E12" s="398">
        <f>'Income Statement'!E12/'Income Statement'!E9</f>
        <v>0.18903728961246585</v>
      </c>
      <c r="F12" s="398">
        <f>'Income Statement'!F12/'Income Statement'!F9</f>
        <v>0.19442623593078726</v>
      </c>
      <c r="G12" s="398">
        <f>'Income Statement'!G12/'Income Statement'!G9</f>
        <v>0.18968078931212107</v>
      </c>
      <c r="H12" s="252">
        <f t="shared" si="1"/>
        <v>0.19337448468351567</v>
      </c>
      <c r="I12" s="252">
        <f t="shared" ref="I12:Q17" si="3">H12</f>
        <v>0.19337448468351567</v>
      </c>
      <c r="J12" s="252">
        <f t="shared" si="3"/>
        <v>0.19337448468351567</v>
      </c>
      <c r="K12" s="252">
        <f t="shared" si="3"/>
        <v>0.19337448468351567</v>
      </c>
      <c r="L12" s="252">
        <f t="shared" si="3"/>
        <v>0.19337448468351567</v>
      </c>
      <c r="M12" s="252">
        <f t="shared" si="3"/>
        <v>0.19337448468351567</v>
      </c>
      <c r="N12" s="252">
        <f t="shared" si="3"/>
        <v>0.19337448468351567</v>
      </c>
      <c r="O12" s="252">
        <f t="shared" si="3"/>
        <v>0.19337448468351567</v>
      </c>
      <c r="P12" s="252">
        <f t="shared" si="3"/>
        <v>0.19337448468351567</v>
      </c>
      <c r="Q12" s="252">
        <f t="shared" si="3"/>
        <v>0.19337448468351567</v>
      </c>
    </row>
    <row r="13" spans="1:17" x14ac:dyDescent="0.3">
      <c r="B13" s="170" t="s">
        <v>105</v>
      </c>
      <c r="C13" s="398">
        <f>'Income Statement'!C13/'Income Statement'!C9</f>
        <v>0.28294436646333199</v>
      </c>
      <c r="D13" s="398">
        <f>'Income Statement'!D13/'Income Statement'!D9</f>
        <v>0.27832109542772393</v>
      </c>
      <c r="E13" s="398">
        <f>'Income Statement'!E13/'Income Statement'!E9</f>
        <v>0.29974697896899399</v>
      </c>
      <c r="F13" s="398">
        <f>'Income Statement'!F13/'Income Statement'!F9</f>
        <v>0.31792126705136514</v>
      </c>
      <c r="G13" s="398">
        <f>'Income Statement'!G13/'Income Statement'!G9</f>
        <v>0.31898626128884766</v>
      </c>
      <c r="H13" s="252">
        <f t="shared" si="1"/>
        <v>0.29958399384005252</v>
      </c>
      <c r="I13" s="252">
        <f t="shared" si="3"/>
        <v>0.29958399384005252</v>
      </c>
      <c r="J13" s="252">
        <f t="shared" si="3"/>
        <v>0.29958399384005252</v>
      </c>
      <c r="K13" s="252">
        <f t="shared" si="3"/>
        <v>0.29958399384005252</v>
      </c>
      <c r="L13" s="252">
        <f t="shared" si="3"/>
        <v>0.29958399384005252</v>
      </c>
      <c r="M13" s="252">
        <f t="shared" si="3"/>
        <v>0.29958399384005252</v>
      </c>
      <c r="N13" s="252">
        <f t="shared" si="3"/>
        <v>0.29958399384005252</v>
      </c>
      <c r="O13" s="252">
        <f t="shared" si="3"/>
        <v>0.29958399384005252</v>
      </c>
      <c r="P13" s="252">
        <f t="shared" si="3"/>
        <v>0.29958399384005252</v>
      </c>
      <c r="Q13" s="252">
        <f t="shared" si="3"/>
        <v>0.29958399384005252</v>
      </c>
    </row>
    <row r="14" spans="1:17" x14ac:dyDescent="0.3">
      <c r="B14" s="170" t="s">
        <v>109</v>
      </c>
      <c r="C14" s="398">
        <f>'Income Statement'!C15/Schedules!C18</f>
        <v>0.16889647858617257</v>
      </c>
      <c r="D14" s="398">
        <f>'Income Statement'!D15/'Balance Sheet'!D11</f>
        <v>0.20945208544414801</v>
      </c>
      <c r="E14" s="398">
        <f>'Income Statement'!E15/'Balance Sheet'!E11</f>
        <v>0.24388557742556918</v>
      </c>
      <c r="F14" s="398">
        <f>'Income Statement'!F15/'Balance Sheet'!F11</f>
        <v>0.2460583732260033</v>
      </c>
      <c r="G14" s="398">
        <f>'Income Statement'!G15/'Balance Sheet'!G11</f>
        <v>0.25267946846252864</v>
      </c>
      <c r="H14" s="252">
        <f>G14*(101%)</f>
        <v>0.25520626314715394</v>
      </c>
      <c r="I14" s="252">
        <f t="shared" si="3"/>
        <v>0.25520626314715394</v>
      </c>
      <c r="J14" s="252">
        <f>I14*(101%)</f>
        <v>0.25775832577862551</v>
      </c>
      <c r="K14" s="252">
        <f>J14</f>
        <v>0.25775832577862551</v>
      </c>
      <c r="L14" s="252">
        <f>K14*(101%)</f>
        <v>0.26033590903641174</v>
      </c>
      <c r="M14" s="252">
        <f>L14</f>
        <v>0.26033590903641174</v>
      </c>
      <c r="N14" s="252">
        <f>M14*(101%)</f>
        <v>0.26293926812677587</v>
      </c>
      <c r="O14" s="252">
        <f t="shared" si="3"/>
        <v>0.26293926812677587</v>
      </c>
      <c r="P14" s="252">
        <f>O14*(101.5%)</f>
        <v>0.2668833571486775</v>
      </c>
      <c r="Q14" s="252">
        <f>P14</f>
        <v>0.2668833571486775</v>
      </c>
    </row>
    <row r="15" spans="1:17" x14ac:dyDescent="0.3">
      <c r="B15" s="170" t="s">
        <v>127</v>
      </c>
      <c r="C15" s="398">
        <f>Schedules!C27/Schedules!C24</f>
        <v>4.23058054944003E-2</v>
      </c>
      <c r="D15" s="398">
        <f>Schedules!D27/Schedules!D24</f>
        <v>3.6143244746670904E-2</v>
      </c>
      <c r="E15" s="398">
        <f>Schedules!E27/Schedules!E24</f>
        <v>0.18480912011518336</v>
      </c>
      <c r="F15" s="398">
        <f>Schedules!F27/Schedules!F24</f>
        <v>3.8476059555848124E-2</v>
      </c>
      <c r="G15" s="398">
        <f>Schedules!G27/Schedules!G24</f>
        <v>8.1301898660781746E-2</v>
      </c>
      <c r="H15" s="252">
        <f>G15</f>
        <v>8.1301898660781746E-2</v>
      </c>
      <c r="I15" s="252">
        <f t="shared" si="3"/>
        <v>8.1301898660781746E-2</v>
      </c>
      <c r="J15" s="252">
        <f t="shared" si="3"/>
        <v>8.1301898660781746E-2</v>
      </c>
      <c r="K15" s="252">
        <f t="shared" si="3"/>
        <v>8.1301898660781746E-2</v>
      </c>
      <c r="L15" s="252">
        <f t="shared" si="3"/>
        <v>8.1301898660781746E-2</v>
      </c>
      <c r="M15" s="252">
        <f t="shared" si="3"/>
        <v>8.1301898660781746E-2</v>
      </c>
      <c r="N15" s="252">
        <f t="shared" si="3"/>
        <v>8.1301898660781746E-2</v>
      </c>
      <c r="O15" s="252">
        <f t="shared" si="3"/>
        <v>8.1301898660781746E-2</v>
      </c>
      <c r="P15" s="252">
        <f t="shared" si="3"/>
        <v>8.1301898660781746E-2</v>
      </c>
      <c r="Q15" s="252">
        <f t="shared" si="3"/>
        <v>8.1301898660781746E-2</v>
      </c>
    </row>
    <row r="16" spans="1:17" x14ac:dyDescent="0.3">
      <c r="B16" s="170" t="s">
        <v>135</v>
      </c>
      <c r="C16" s="398">
        <f>-(CFS!D38/'Income Statement'!C22)</f>
        <v>0.69803067309173206</v>
      </c>
      <c r="D16" s="398">
        <f>-(CFS!E38/'Income Statement'!D22)</f>
        <v>0.64001498843412152</v>
      </c>
      <c r="E16" s="398">
        <f>-(CFS!F38/'Income Statement'!E22)</f>
        <v>0.29598822498455285</v>
      </c>
      <c r="F16" s="398">
        <f>-(CFS!G38/'Income Statement'!F22)</f>
        <v>0.30184192973382995</v>
      </c>
      <c r="G16" s="398">
        <f>-(CFS!H38/'Income Statement'!G22)</f>
        <v>0.32990264255910973</v>
      </c>
      <c r="H16" s="252">
        <f>AVERAGE(E16:G16)</f>
        <v>0.30924426575916419</v>
      </c>
      <c r="I16" s="252">
        <f t="shared" si="3"/>
        <v>0.30924426575916419</v>
      </c>
      <c r="J16" s="252">
        <f t="shared" si="3"/>
        <v>0.30924426575916419</v>
      </c>
      <c r="K16" s="252">
        <f t="shared" si="3"/>
        <v>0.30924426575916419</v>
      </c>
      <c r="L16" s="252">
        <f t="shared" si="3"/>
        <v>0.30924426575916419</v>
      </c>
      <c r="M16" s="252">
        <f t="shared" si="3"/>
        <v>0.30924426575916419</v>
      </c>
      <c r="N16" s="252">
        <f t="shared" si="3"/>
        <v>0.30924426575916419</v>
      </c>
      <c r="O16" s="252">
        <f t="shared" si="3"/>
        <v>0.30924426575916419</v>
      </c>
      <c r="P16" s="252">
        <f t="shared" si="3"/>
        <v>0.30924426575916419</v>
      </c>
      <c r="Q16" s="252">
        <f t="shared" si="3"/>
        <v>0.30924426575916419</v>
      </c>
    </row>
    <row r="17" spans="1:17" x14ac:dyDescent="0.3">
      <c r="A17" s="13">
        <v>42500</v>
      </c>
      <c r="B17" s="170" t="s">
        <v>128</v>
      </c>
      <c r="C17" s="398" t="s">
        <v>106</v>
      </c>
      <c r="D17" s="398" t="s">
        <v>106</v>
      </c>
      <c r="E17" s="398">
        <f>'Income Statement'!E18/'Income Statement'!E9</f>
        <v>7.678358863301195E-3</v>
      </c>
      <c r="F17" s="398">
        <f>'Income Statement'!F18/'Income Statement'!F9</f>
        <v>1.8475426754521171E-2</v>
      </c>
      <c r="G17" s="398">
        <f>'Income Statement'!G18/'Income Statement'!G9</f>
        <v>2.8009959975990158E-2</v>
      </c>
      <c r="H17" s="252">
        <f>AVERAGE(E17:G17)</f>
        <v>1.8054581864604177E-2</v>
      </c>
      <c r="I17" s="252">
        <f t="shared" si="3"/>
        <v>1.8054581864604177E-2</v>
      </c>
      <c r="J17" s="252">
        <f t="shared" si="3"/>
        <v>1.8054581864604177E-2</v>
      </c>
      <c r="K17" s="252">
        <f t="shared" si="3"/>
        <v>1.8054581864604177E-2</v>
      </c>
      <c r="L17" s="252">
        <f t="shared" si="3"/>
        <v>1.8054581864604177E-2</v>
      </c>
      <c r="M17" s="252">
        <f t="shared" si="3"/>
        <v>1.8054581864604177E-2</v>
      </c>
      <c r="N17" s="252">
        <f t="shared" si="3"/>
        <v>1.8054581864604177E-2</v>
      </c>
      <c r="O17" s="252">
        <f t="shared" si="3"/>
        <v>1.8054581864604177E-2</v>
      </c>
      <c r="P17" s="252">
        <f t="shared" si="3"/>
        <v>1.8054581864604177E-2</v>
      </c>
      <c r="Q17" s="252">
        <f t="shared" si="3"/>
        <v>1.8054581864604177E-2</v>
      </c>
    </row>
    <row r="18" spans="1:17" x14ac:dyDescent="0.3">
      <c r="B18" s="170" t="s">
        <v>121</v>
      </c>
      <c r="C18" s="398">
        <f>'Income Statement'!C20/'Income Statement'!C19</f>
        <v>0.1838592254685873</v>
      </c>
      <c r="D18" s="398">
        <f>'Income Statement'!D20/'Income Statement'!D19</f>
        <v>0.2399962511045852</v>
      </c>
      <c r="E18" s="398">
        <f>'Income Statement'!E20/'Income Statement'!E19</f>
        <v>9.0088356930965105E-2</v>
      </c>
      <c r="F18" s="398">
        <f>'Income Statement'!F20/'Income Statement'!F19</f>
        <v>0.12982181461035411</v>
      </c>
      <c r="G18" s="398">
        <f>'Income Statement'!G20/'Income Statement'!G19</f>
        <v>0.20157095664453425</v>
      </c>
      <c r="H18" s="252">
        <f>G18*(101%)</f>
        <v>0.20358666621097959</v>
      </c>
      <c r="I18" s="252">
        <f>H18</f>
        <v>0.20358666621097959</v>
      </c>
      <c r="J18" s="252">
        <f>I18*(101%)</f>
        <v>0.2056225328730894</v>
      </c>
      <c r="K18" s="252">
        <f>J18</f>
        <v>0.2056225328730894</v>
      </c>
      <c r="L18" s="252">
        <f>K18*(101%)</f>
        <v>0.2076787582018203</v>
      </c>
      <c r="M18" s="252">
        <f t="shared" ref="M18:Q19" si="4">L18</f>
        <v>0.2076787582018203</v>
      </c>
      <c r="N18" s="252">
        <f>M18*(101%)</f>
        <v>0.20975554578383851</v>
      </c>
      <c r="O18" s="252">
        <f t="shared" si="4"/>
        <v>0.20975554578383851</v>
      </c>
      <c r="P18" s="252">
        <f>O18*(101%)</f>
        <v>0.21185310124167689</v>
      </c>
      <c r="Q18" s="252">
        <f t="shared" si="4"/>
        <v>0.21185310124167689</v>
      </c>
    </row>
    <row r="19" spans="1:17" x14ac:dyDescent="0.3">
      <c r="B19" s="441" t="s">
        <v>373</v>
      </c>
      <c r="C19" s="398">
        <f>'Income Statement'!C21/'Income Statement'!C9</f>
        <v>-3.6808013818080644E-4</v>
      </c>
      <c r="D19" s="398">
        <f>'Income Statement'!D21/'Income Statement'!D9</f>
        <v>-4.2789337021391306E-4</v>
      </c>
      <c r="E19" s="398">
        <f>'Income Statement'!E21/'Income Statement'!E9</f>
        <v>-1.0914722068793284E-3</v>
      </c>
      <c r="F19" s="398">
        <f>'Income Statement'!F21/'Income Statement'!F9</f>
        <v>-7.9201020272450689E-4</v>
      </c>
      <c r="G19" s="398">
        <f>'Income Statement'!G21/'Income Statement'!G9</f>
        <v>-2.9194475910658438E-4</v>
      </c>
      <c r="H19" s="252">
        <f>AVERAGE(C19:G19)</f>
        <v>-5.9428013542102789E-4</v>
      </c>
      <c r="I19" s="252">
        <f>H19</f>
        <v>-5.9428013542102789E-4</v>
      </c>
      <c r="J19" s="252">
        <f t="shared" ref="J19:L19" si="5">I19</f>
        <v>-5.9428013542102789E-4</v>
      </c>
      <c r="K19" s="252">
        <f t="shared" si="5"/>
        <v>-5.9428013542102789E-4</v>
      </c>
      <c r="L19" s="252">
        <f t="shared" si="5"/>
        <v>-5.9428013542102789E-4</v>
      </c>
      <c r="M19" s="252">
        <f t="shared" si="4"/>
        <v>-5.9428013542102789E-4</v>
      </c>
      <c r="N19" s="252">
        <f t="shared" ref="N19" si="6">M19</f>
        <v>-5.9428013542102789E-4</v>
      </c>
      <c r="O19" s="252">
        <f t="shared" si="4"/>
        <v>-5.9428013542102789E-4</v>
      </c>
      <c r="P19" s="252">
        <f t="shared" ref="P19" si="7">O19</f>
        <v>-5.9428013542102789E-4</v>
      </c>
      <c r="Q19" s="252">
        <f t="shared" si="4"/>
        <v>-5.9428013542102789E-4</v>
      </c>
    </row>
    <row r="20" spans="1:17" x14ac:dyDescent="0.3">
      <c r="B20" s="254" t="s">
        <v>56</v>
      </c>
      <c r="C20" s="442">
        <f>('Balance Sheet'!D18/'Income Statement'!C10)*365</f>
        <v>377.89206773700585</v>
      </c>
      <c r="D20" s="442">
        <f>('Balance Sheet'!E18/'Income Statement'!D10)*365</f>
        <v>317.23160515247008</v>
      </c>
      <c r="E20" s="442">
        <f>('Balance Sheet'!F18/'Income Statement'!E10)*365</f>
        <v>359.89548553013651</v>
      </c>
      <c r="F20" s="442">
        <f>('Balance Sheet'!G18/'Income Statement'!F10)*365</f>
        <v>337.80902143096296</v>
      </c>
      <c r="G20" s="442">
        <f>('Balance Sheet'!H18/'Income Statement'!G10)*365</f>
        <v>347.88221944738058</v>
      </c>
      <c r="H20" s="443">
        <f>AVERAGE(C20:G20)</f>
        <v>348.14207985959121</v>
      </c>
      <c r="I20" s="443">
        <f>H20</f>
        <v>348.14207985959121</v>
      </c>
      <c r="J20" s="443">
        <f t="shared" ref="J20:Q20" si="8">I20</f>
        <v>348.14207985959121</v>
      </c>
      <c r="K20" s="443">
        <f t="shared" si="8"/>
        <v>348.14207985959121</v>
      </c>
      <c r="L20" s="443">
        <f t="shared" si="8"/>
        <v>348.14207985959121</v>
      </c>
      <c r="M20" s="443">
        <f t="shared" si="8"/>
        <v>348.14207985959121</v>
      </c>
      <c r="N20" s="443">
        <f t="shared" si="8"/>
        <v>348.14207985959121</v>
      </c>
      <c r="O20" s="443">
        <f t="shared" si="8"/>
        <v>348.14207985959121</v>
      </c>
      <c r="P20" s="443">
        <f t="shared" si="8"/>
        <v>348.14207985959121</v>
      </c>
      <c r="Q20" s="443">
        <f t="shared" si="8"/>
        <v>348.14207985959121</v>
      </c>
    </row>
    <row r="21" spans="1:17" x14ac:dyDescent="0.3">
      <c r="B21" s="254" t="s">
        <v>57</v>
      </c>
      <c r="C21" s="442">
        <f>('Balance Sheet'!D20/'Income Statement'!C9)*365</f>
        <v>98.734168523983712</v>
      </c>
      <c r="D21" s="442">
        <f>('Balance Sheet'!E20/'Income Statement'!D9)*365</f>
        <v>100.02472804582338</v>
      </c>
      <c r="E21" s="442">
        <f>('Balance Sheet'!F20/'Income Statement'!E9)*365</f>
        <v>95.134817325378123</v>
      </c>
      <c r="F21" s="442">
        <f>('Balance Sheet'!G20/'Income Statement'!F9)*365</f>
        <v>84.665706123181195</v>
      </c>
      <c r="G21" s="442">
        <f>('Balance Sheet'!H20/'Income Statement'!G9)*365</f>
        <v>90.56621212040524</v>
      </c>
      <c r="H21" s="443">
        <f>AVERAGE(C21:G21)</f>
        <v>93.825126427754327</v>
      </c>
      <c r="I21" s="443">
        <f>H21</f>
        <v>93.825126427754327</v>
      </c>
      <c r="J21" s="443">
        <f t="shared" ref="J21:Q21" si="9">I21</f>
        <v>93.825126427754327</v>
      </c>
      <c r="K21" s="443">
        <f t="shared" si="9"/>
        <v>93.825126427754327</v>
      </c>
      <c r="L21" s="443">
        <f t="shared" si="9"/>
        <v>93.825126427754327</v>
      </c>
      <c r="M21" s="443">
        <f t="shared" si="9"/>
        <v>93.825126427754327</v>
      </c>
      <c r="N21" s="443">
        <f t="shared" si="9"/>
        <v>93.825126427754327</v>
      </c>
      <c r="O21" s="443">
        <f t="shared" si="9"/>
        <v>93.825126427754327</v>
      </c>
      <c r="P21" s="443">
        <f t="shared" si="9"/>
        <v>93.825126427754327</v>
      </c>
      <c r="Q21" s="443">
        <f t="shared" si="9"/>
        <v>93.825126427754327</v>
      </c>
    </row>
    <row r="22" spans="1:17" x14ac:dyDescent="0.3">
      <c r="B22" s="254" t="s">
        <v>58</v>
      </c>
      <c r="C22" s="442">
        <f>('Balance Sheet'!D48/'Income Statement'!C10)*365</f>
        <v>166.90132887154087</v>
      </c>
      <c r="D22" s="442">
        <f>('Balance Sheet'!E48/'Income Statement'!D10)*365</f>
        <v>157.9435620207235</v>
      </c>
      <c r="E22" s="442">
        <f>('Balance Sheet'!F48/'Income Statement'!E10)*365</f>
        <v>194.49668735040555</v>
      </c>
      <c r="F22" s="442">
        <f>('Balance Sheet'!G48/'Income Statement'!F10)*365</f>
        <v>193.52245838495452</v>
      </c>
      <c r="G22" s="442">
        <f>('Balance Sheet'!H48/'Income Statement'!G10)*365</f>
        <v>210.03149610695093</v>
      </c>
      <c r="H22" s="443">
        <f>AVERAGE(C22:G22)</f>
        <v>184.57910654691509</v>
      </c>
      <c r="I22" s="443">
        <f>H22</f>
        <v>184.57910654691509</v>
      </c>
      <c r="J22" s="443">
        <f t="shared" ref="J22:Q22" si="10">I22</f>
        <v>184.57910654691509</v>
      </c>
      <c r="K22" s="443">
        <f t="shared" si="10"/>
        <v>184.57910654691509</v>
      </c>
      <c r="L22" s="443">
        <f t="shared" si="10"/>
        <v>184.57910654691509</v>
      </c>
      <c r="M22" s="443">
        <f t="shared" si="10"/>
        <v>184.57910654691509</v>
      </c>
      <c r="N22" s="443">
        <f t="shared" si="10"/>
        <v>184.57910654691509</v>
      </c>
      <c r="O22" s="443">
        <f t="shared" si="10"/>
        <v>184.57910654691509</v>
      </c>
      <c r="P22" s="443">
        <f t="shared" si="10"/>
        <v>184.57910654691509</v>
      </c>
      <c r="Q22" s="443">
        <f t="shared" si="10"/>
        <v>184.57910654691509</v>
      </c>
    </row>
    <row r="23" spans="1:17" x14ac:dyDescent="0.3">
      <c r="B23" s="12"/>
      <c r="D23" s="20"/>
      <c r="E23" s="20"/>
      <c r="F23" s="20"/>
      <c r="G23" s="20"/>
    </row>
    <row r="24" spans="1:17" x14ac:dyDescent="0.3">
      <c r="D24" s="3"/>
      <c r="E24" s="3"/>
      <c r="F24" s="3"/>
      <c r="G24" s="3"/>
      <c r="H24" s="3"/>
    </row>
    <row r="25" spans="1:17" x14ac:dyDescent="0.3">
      <c r="B25" s="11"/>
    </row>
    <row r="26" spans="1:17" x14ac:dyDescent="0.3">
      <c r="G26" s="14"/>
      <c r="H26" s="14"/>
      <c r="I26" s="14"/>
      <c r="J26" s="14"/>
    </row>
    <row r="27" spans="1:17" x14ac:dyDescent="0.3">
      <c r="G27" s="14"/>
      <c r="H27" s="14"/>
      <c r="I27" s="14"/>
      <c r="J27" s="14"/>
    </row>
    <row r="28" spans="1:17" x14ac:dyDescent="0.3">
      <c r="G28" s="9"/>
      <c r="H28" s="9"/>
      <c r="I28" s="9"/>
      <c r="J28" s="9"/>
    </row>
    <row r="30" spans="1:17" x14ac:dyDescent="0.3">
      <c r="F30" s="14"/>
      <c r="G30" s="14"/>
      <c r="H30" s="14"/>
      <c r="I30" s="14"/>
      <c r="J30" s="14"/>
    </row>
    <row r="33" spans="2:10" x14ac:dyDescent="0.3">
      <c r="B33" s="11"/>
    </row>
    <row r="34" spans="2:10" x14ac:dyDescent="0.3">
      <c r="G34" s="14"/>
      <c r="H34" s="14"/>
      <c r="I34" s="14"/>
      <c r="J34" s="14"/>
    </row>
    <row r="35" spans="2:10" x14ac:dyDescent="0.3">
      <c r="G35" s="14"/>
      <c r="H35" s="14"/>
      <c r="I35" s="14"/>
      <c r="J35" s="14"/>
    </row>
    <row r="37" spans="2:10" x14ac:dyDescent="0.3">
      <c r="G37" s="3"/>
      <c r="H37" s="3"/>
      <c r="I37" s="3"/>
      <c r="J37" s="3"/>
    </row>
    <row r="38" spans="2:10" x14ac:dyDescent="0.3">
      <c r="F38" s="14"/>
      <c r="G38" s="3"/>
      <c r="H38" s="3"/>
      <c r="I38" s="3"/>
      <c r="J38" s="3"/>
    </row>
  </sheetData>
  <mergeCells count="3">
    <mergeCell ref="C7:G7"/>
    <mergeCell ref="B7:B8"/>
    <mergeCell ref="H7:Q7"/>
  </mergeCells>
  <pageMargins left="0.7" right="0.7" top="0.75" bottom="0.75" header="0.3" footer="0.3"/>
  <pageSetup paperSize="3" orientation="landscape" r:id="rId1"/>
  <ignoredErrors>
    <ignoredError sqref="H17 I18 H15 M18 O18 K18" formula="1"/>
  </ignoredError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'Revenue Buildup'!$B$8:$B$10</xm:f>
          </x14:formula1>
          <xm:sqref>H9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BEED9"/>
  </sheetPr>
  <dimension ref="A1:P16"/>
  <sheetViews>
    <sheetView showGridLines="0" workbookViewId="0">
      <selection activeCell="C9" sqref="C9"/>
    </sheetView>
  </sheetViews>
  <sheetFormatPr defaultRowHeight="14.4" x14ac:dyDescent="0.3"/>
  <cols>
    <col min="1" max="1" width="1.88671875" customWidth="1"/>
    <col min="2" max="2" width="16.88671875" style="142" bestFit="1" customWidth="1"/>
    <col min="3" max="3" width="10.109375" style="142" bestFit="1" customWidth="1"/>
    <col min="4" max="4" width="8.88671875" style="142"/>
    <col min="5" max="7" width="7.6640625" style="142" customWidth="1"/>
    <col min="16" max="16" width="3.21875" customWidth="1"/>
    <col min="17" max="16384" width="8.88671875" style="255"/>
  </cols>
  <sheetData>
    <row r="1" spans="2:16" x14ac:dyDescent="0.3">
      <c r="B1" s="40"/>
      <c r="C1" s="40"/>
      <c r="D1" s="40"/>
      <c r="E1" s="40"/>
      <c r="F1" s="40"/>
      <c r="G1" s="40"/>
      <c r="H1" s="40"/>
      <c r="I1" s="40"/>
      <c r="J1" s="40"/>
      <c r="K1" s="40"/>
      <c r="L1" s="40"/>
      <c r="M1" s="40"/>
      <c r="N1" s="40"/>
      <c r="O1" s="40"/>
      <c r="P1" s="26"/>
    </row>
    <row r="2" spans="2:16" x14ac:dyDescent="0.3">
      <c r="B2" s="40"/>
      <c r="C2" s="40"/>
      <c r="D2" s="40"/>
      <c r="E2" s="40"/>
      <c r="F2" s="40"/>
      <c r="G2" s="40"/>
      <c r="H2" s="40"/>
      <c r="I2" s="40"/>
      <c r="J2" s="40"/>
      <c r="K2" s="40"/>
      <c r="L2" s="40"/>
      <c r="M2" s="40"/>
      <c r="N2" s="40"/>
      <c r="O2" s="40"/>
      <c r="P2" s="26"/>
    </row>
    <row r="3" spans="2:16" x14ac:dyDescent="0.3">
      <c r="B3" s="40"/>
      <c r="C3" s="40"/>
      <c r="D3" s="40"/>
      <c r="E3" s="40"/>
      <c r="F3" s="40"/>
      <c r="G3" s="40"/>
      <c r="H3" s="40"/>
      <c r="I3" s="40"/>
      <c r="J3" s="40"/>
      <c r="K3" s="40"/>
      <c r="L3" s="40"/>
      <c r="M3" s="40"/>
      <c r="N3" s="40"/>
      <c r="O3" s="40"/>
      <c r="P3" s="26"/>
    </row>
    <row r="4" spans="2:16" x14ac:dyDescent="0.3">
      <c r="B4" s="40"/>
      <c r="C4" s="40"/>
      <c r="D4" s="40"/>
      <c r="E4" s="40"/>
      <c r="F4" s="40"/>
      <c r="G4" s="40"/>
      <c r="H4" s="40"/>
      <c r="I4" s="40"/>
      <c r="J4" s="40"/>
      <c r="K4" s="40"/>
      <c r="L4" s="40"/>
      <c r="M4" s="40"/>
      <c r="N4" s="40"/>
      <c r="O4" s="40"/>
      <c r="P4" s="26"/>
    </row>
    <row r="5" spans="2:16" x14ac:dyDescent="0.3">
      <c r="B5" s="40"/>
      <c r="C5" s="40"/>
      <c r="D5" s="40"/>
      <c r="E5" s="40"/>
      <c r="F5" s="40"/>
      <c r="G5" s="40"/>
      <c r="H5" s="40"/>
      <c r="I5" s="40"/>
      <c r="J5" s="40"/>
      <c r="K5" s="40"/>
      <c r="L5" s="40"/>
      <c r="M5" s="40"/>
      <c r="N5" s="40"/>
      <c r="O5" s="40"/>
    </row>
    <row r="6" spans="2:16" x14ac:dyDescent="0.3">
      <c r="B6" s="60"/>
      <c r="C6"/>
      <c r="D6"/>
      <c r="E6" s="26"/>
      <c r="F6" s="26"/>
      <c r="G6" s="26"/>
      <c r="H6" s="26"/>
      <c r="I6" s="26"/>
      <c r="J6" s="26"/>
      <c r="K6" s="26"/>
    </row>
    <row r="7" spans="2:16" x14ac:dyDescent="0.3">
      <c r="B7" s="262" t="s">
        <v>125</v>
      </c>
      <c r="C7" s="262" t="s">
        <v>126</v>
      </c>
      <c r="D7"/>
      <c r="E7" s="119">
        <v>46112</v>
      </c>
      <c r="F7" s="119">
        <v>46477</v>
      </c>
      <c r="G7" s="119">
        <v>46843</v>
      </c>
      <c r="H7" s="119">
        <v>47208</v>
      </c>
      <c r="I7" s="119">
        <v>47573</v>
      </c>
      <c r="J7" s="298">
        <f>I7+365</f>
        <v>47938</v>
      </c>
      <c r="K7" s="298">
        <f t="shared" ref="K7:N7" si="0">J7+365</f>
        <v>48303</v>
      </c>
      <c r="L7" s="298">
        <f t="shared" si="0"/>
        <v>48668</v>
      </c>
      <c r="M7" s="298">
        <f t="shared" si="0"/>
        <v>49033</v>
      </c>
      <c r="N7" s="298">
        <f t="shared" si="0"/>
        <v>49398</v>
      </c>
      <c r="O7" s="438"/>
    </row>
    <row r="8" spans="2:16" x14ac:dyDescent="0.3">
      <c r="B8" s="170" t="s">
        <v>122</v>
      </c>
      <c r="C8" s="253">
        <f>'Intro &amp; Core Assumptions'!D30</f>
        <v>0.1</v>
      </c>
      <c r="D8"/>
      <c r="E8" s="253">
        <f>C8</f>
        <v>0.1</v>
      </c>
      <c r="F8" s="253">
        <f t="shared" ref="F8:I10" si="1">E8</f>
        <v>0.1</v>
      </c>
      <c r="G8" s="253">
        <f t="shared" si="1"/>
        <v>0.1</v>
      </c>
      <c r="H8" s="253">
        <f t="shared" si="1"/>
        <v>0.1</v>
      </c>
      <c r="I8" s="253">
        <f t="shared" si="1"/>
        <v>0.1</v>
      </c>
      <c r="J8" s="253">
        <f t="shared" ref="J8:N8" si="2">I8*(1-$C$11)</f>
        <v>8.3250000000000005E-2</v>
      </c>
      <c r="K8" s="253">
        <f t="shared" si="2"/>
        <v>6.930562500000001E-2</v>
      </c>
      <c r="L8" s="253">
        <f t="shared" si="2"/>
        <v>5.7696932812500011E-2</v>
      </c>
      <c r="M8" s="253">
        <f t="shared" si="2"/>
        <v>4.8032696566406262E-2</v>
      </c>
      <c r="N8" s="253">
        <f t="shared" si="2"/>
        <v>3.9987219891533213E-2</v>
      </c>
      <c r="O8" s="142"/>
    </row>
    <row r="9" spans="2:16" x14ac:dyDescent="0.3">
      <c r="B9" s="170" t="s">
        <v>123</v>
      </c>
      <c r="C9" s="253">
        <v>0.15</v>
      </c>
      <c r="D9"/>
      <c r="E9" s="253">
        <f>C9</f>
        <v>0.15</v>
      </c>
      <c r="F9" s="253">
        <f t="shared" si="1"/>
        <v>0.15</v>
      </c>
      <c r="G9" s="253">
        <f t="shared" si="1"/>
        <v>0.15</v>
      </c>
      <c r="H9" s="253">
        <f t="shared" si="1"/>
        <v>0.15</v>
      </c>
      <c r="I9" s="253">
        <f t="shared" si="1"/>
        <v>0.15</v>
      </c>
      <c r="J9" s="253">
        <f t="shared" ref="J9:N9" si="3">I9*(1-$C$11)</f>
        <v>0.124875</v>
      </c>
      <c r="K9" s="253">
        <f t="shared" si="3"/>
        <v>0.1039584375</v>
      </c>
      <c r="L9" s="253">
        <f t="shared" si="3"/>
        <v>8.6545399218749999E-2</v>
      </c>
      <c r="M9" s="253">
        <f t="shared" si="3"/>
        <v>7.2049044849609375E-2</v>
      </c>
      <c r="N9" s="253">
        <f t="shared" si="3"/>
        <v>5.9980829837299805E-2</v>
      </c>
    </row>
    <row r="10" spans="2:16" x14ac:dyDescent="0.3">
      <c r="B10" s="170" t="s">
        <v>124</v>
      </c>
      <c r="C10" s="253">
        <v>0.05</v>
      </c>
      <c r="D10"/>
      <c r="E10" s="253">
        <f>C10</f>
        <v>0.05</v>
      </c>
      <c r="F10" s="253">
        <f t="shared" si="1"/>
        <v>0.05</v>
      </c>
      <c r="G10" s="253">
        <f t="shared" si="1"/>
        <v>0.05</v>
      </c>
      <c r="H10" s="253">
        <f t="shared" si="1"/>
        <v>0.05</v>
      </c>
      <c r="I10" s="253">
        <f t="shared" si="1"/>
        <v>0.05</v>
      </c>
      <c r="J10" s="253">
        <f t="shared" ref="J10:N10" si="4">I10*(1-$C$11)</f>
        <v>4.1625000000000002E-2</v>
      </c>
      <c r="K10" s="253">
        <f t="shared" si="4"/>
        <v>3.4652812500000005E-2</v>
      </c>
      <c r="L10" s="253">
        <f t="shared" si="4"/>
        <v>2.8848466406250006E-2</v>
      </c>
      <c r="M10" s="253">
        <f t="shared" si="4"/>
        <v>2.4016348283203131E-2</v>
      </c>
      <c r="N10" s="253">
        <f t="shared" si="4"/>
        <v>1.9993609945766606E-2</v>
      </c>
    </row>
    <row r="11" spans="2:16" x14ac:dyDescent="0.3">
      <c r="B11" s="263" t="s">
        <v>298</v>
      </c>
      <c r="C11" s="264">
        <v>0.16750000000000001</v>
      </c>
      <c r="D11"/>
      <c r="E11"/>
      <c r="F11"/>
      <c r="G11"/>
    </row>
    <row r="13" spans="2:16" x14ac:dyDescent="0.3">
      <c r="H13" s="142"/>
    </row>
    <row r="14" spans="2:16" x14ac:dyDescent="0.3">
      <c r="H14" s="142"/>
    </row>
    <row r="15" spans="2:16" x14ac:dyDescent="0.3">
      <c r="H15" s="142"/>
    </row>
    <row r="16" spans="2:16" x14ac:dyDescent="0.3">
      <c r="H16" s="14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7" tint="0.79998168889431442"/>
  </sheetPr>
  <dimension ref="A1:N129"/>
  <sheetViews>
    <sheetView showGridLines="0" workbookViewId="0">
      <selection activeCell="C64" sqref="C64"/>
    </sheetView>
  </sheetViews>
  <sheetFormatPr defaultRowHeight="14.4" x14ac:dyDescent="0.3"/>
  <cols>
    <col min="1" max="1" width="1.88671875" customWidth="1"/>
    <col min="2" max="2" width="56" bestFit="1" customWidth="1"/>
    <col min="3" max="3" width="10.109375" style="19" bestFit="1" customWidth="1"/>
    <col min="4" max="7" width="10.44140625" bestFit="1" customWidth="1"/>
    <col min="8" max="8" width="10.77734375" bestFit="1" customWidth="1"/>
    <col min="9" max="9" width="2.6640625" customWidth="1"/>
    <col min="10" max="13" width="10" style="255" bestFit="1" customWidth="1"/>
    <col min="14" max="16384" width="8.88671875" style="255"/>
  </cols>
  <sheetData>
    <row r="1" spans="1:9" x14ac:dyDescent="0.3">
      <c r="A1" s="23"/>
      <c r="B1" s="40"/>
      <c r="C1" s="40"/>
      <c r="D1" s="40"/>
      <c r="E1" s="40"/>
      <c r="F1" s="40"/>
      <c r="G1" s="40"/>
      <c r="H1" s="40"/>
      <c r="I1" s="23"/>
    </row>
    <row r="2" spans="1:9" x14ac:dyDescent="0.3">
      <c r="A2" s="23"/>
      <c r="B2" s="40"/>
      <c r="C2" s="40"/>
      <c r="D2" s="40"/>
      <c r="E2" s="40"/>
      <c r="F2" s="40"/>
      <c r="G2" s="40"/>
      <c r="H2" s="40"/>
      <c r="I2" s="23"/>
    </row>
    <row r="3" spans="1:9" x14ac:dyDescent="0.3">
      <c r="A3" s="23"/>
      <c r="B3" s="40"/>
      <c r="C3" s="40"/>
      <c r="D3" s="40"/>
      <c r="E3" s="40"/>
      <c r="F3" s="40"/>
      <c r="G3" s="40"/>
      <c r="H3" s="40"/>
      <c r="I3" s="23"/>
    </row>
    <row r="4" spans="1:9" x14ac:dyDescent="0.3">
      <c r="A4" s="23"/>
      <c r="B4" s="40"/>
      <c r="C4" s="40"/>
      <c r="D4" s="40"/>
      <c r="E4" s="40"/>
      <c r="F4" s="40"/>
      <c r="G4" s="40"/>
      <c r="H4" s="40"/>
      <c r="I4" s="23"/>
    </row>
    <row r="5" spans="1:9" x14ac:dyDescent="0.3">
      <c r="A5" s="23"/>
      <c r="B5" s="40"/>
      <c r="C5" s="40"/>
      <c r="D5" s="40"/>
      <c r="E5" s="40"/>
      <c r="F5" s="40"/>
      <c r="G5" s="40"/>
      <c r="H5" s="40"/>
      <c r="I5" s="23"/>
    </row>
    <row r="6" spans="1:9" x14ac:dyDescent="0.3">
      <c r="A6" s="23"/>
      <c r="B6" s="60" t="s">
        <v>296</v>
      </c>
      <c r="C6"/>
      <c r="E6" s="494" t="s">
        <v>276</v>
      </c>
      <c r="F6" s="494"/>
      <c r="G6" s="494"/>
      <c r="H6" s="494"/>
      <c r="I6" s="23"/>
    </row>
    <row r="7" spans="1:9" ht="18" x14ac:dyDescent="0.3">
      <c r="A7" s="23"/>
      <c r="B7" s="495" t="s">
        <v>201</v>
      </c>
      <c r="C7" s="496"/>
      <c r="D7" s="81"/>
      <c r="E7" s="81"/>
      <c r="F7" s="81"/>
      <c r="G7" s="81"/>
      <c r="H7" s="120"/>
      <c r="I7" s="23"/>
    </row>
    <row r="8" spans="1:9" x14ac:dyDescent="0.3">
      <c r="A8" s="23"/>
      <c r="B8" s="497" t="s">
        <v>14</v>
      </c>
      <c r="C8" s="499"/>
      <c r="D8" s="121">
        <v>44286</v>
      </c>
      <c r="E8" s="121">
        <v>44651</v>
      </c>
      <c r="F8" s="121">
        <v>45016</v>
      </c>
      <c r="G8" s="121">
        <v>45382</v>
      </c>
      <c r="H8" s="121">
        <v>45747</v>
      </c>
      <c r="I8" s="23"/>
    </row>
    <row r="9" spans="1:9" ht="15.6" x14ac:dyDescent="0.3">
      <c r="A9" s="23"/>
      <c r="B9" s="122" t="s">
        <v>181</v>
      </c>
      <c r="C9" s="59"/>
      <c r="D9" s="186"/>
      <c r="E9" s="186"/>
      <c r="F9" s="186"/>
      <c r="G9" s="186"/>
      <c r="H9" s="185"/>
      <c r="I9" s="23"/>
    </row>
    <row r="10" spans="1:9" x14ac:dyDescent="0.3">
      <c r="A10" s="23"/>
      <c r="B10" s="134" t="s">
        <v>182</v>
      </c>
      <c r="C10" s="59"/>
      <c r="D10" s="123">
        <v>334981.40000000002</v>
      </c>
      <c r="E10" s="123">
        <v>386544.9</v>
      </c>
      <c r="F10" s="123">
        <v>438856.8</v>
      </c>
      <c r="G10" s="123">
        <v>484968.5</v>
      </c>
      <c r="H10" s="124">
        <v>525784.4</v>
      </c>
      <c r="I10" s="23"/>
    </row>
    <row r="11" spans="1:9" x14ac:dyDescent="0.3">
      <c r="A11" s="23"/>
      <c r="B11" s="135" t="s">
        <v>183</v>
      </c>
      <c r="C11" s="94"/>
      <c r="D11" s="125">
        <v>8355.2000000000007</v>
      </c>
      <c r="E11" s="125">
        <v>9215.1</v>
      </c>
      <c r="F11" s="125">
        <v>6345.2</v>
      </c>
      <c r="G11" s="125">
        <v>13541.9</v>
      </c>
      <c r="H11" s="126">
        <v>19650.400000000001</v>
      </c>
      <c r="I11" s="23"/>
    </row>
    <row r="12" spans="1:9" ht="15" thickBot="1" x14ac:dyDescent="0.35">
      <c r="A12" s="23"/>
      <c r="B12" s="128" t="s">
        <v>184</v>
      </c>
      <c r="C12" s="129"/>
      <c r="D12" s="130">
        <f>SUM(D10:D11)</f>
        <v>343336.60000000003</v>
      </c>
      <c r="E12" s="130">
        <f t="shared" ref="E12:H12" si="0">SUM(E10:E11)</f>
        <v>395760</v>
      </c>
      <c r="F12" s="130">
        <f t="shared" si="0"/>
        <v>445202</v>
      </c>
      <c r="G12" s="130">
        <f t="shared" si="0"/>
        <v>498510.4</v>
      </c>
      <c r="H12" s="130">
        <f t="shared" si="0"/>
        <v>545434.80000000005</v>
      </c>
      <c r="I12" s="23"/>
    </row>
    <row r="13" spans="1:9" ht="15.6" x14ac:dyDescent="0.3">
      <c r="A13" s="23"/>
      <c r="B13" s="187" t="s">
        <v>185</v>
      </c>
      <c r="C13" s="137"/>
      <c r="D13" s="188"/>
      <c r="E13" s="188"/>
      <c r="F13" s="188"/>
      <c r="G13" s="188"/>
      <c r="H13" s="189"/>
      <c r="I13" s="23"/>
    </row>
    <row r="14" spans="1:9" x14ac:dyDescent="0.3">
      <c r="A14" s="23"/>
      <c r="B14" s="134" t="s">
        <v>186</v>
      </c>
      <c r="C14" s="59"/>
      <c r="D14" s="123">
        <v>61531.3</v>
      </c>
      <c r="E14" s="123">
        <v>70491.199999999997</v>
      </c>
      <c r="F14" s="123">
        <v>77775.7</v>
      </c>
      <c r="G14" s="123">
        <v>69043.3</v>
      </c>
      <c r="H14" s="124">
        <v>64491</v>
      </c>
      <c r="I14" s="23"/>
    </row>
    <row r="15" spans="1:9" x14ac:dyDescent="0.3">
      <c r="A15" s="23"/>
      <c r="B15" s="134" t="s">
        <v>187</v>
      </c>
      <c r="C15" s="59"/>
      <c r="D15" s="123">
        <v>31751.7</v>
      </c>
      <c r="E15" s="123">
        <v>34100.300000000003</v>
      </c>
      <c r="F15" s="123">
        <v>35715</v>
      </c>
      <c r="G15" s="123">
        <v>34661.5</v>
      </c>
      <c r="H15" s="124">
        <v>41479.5</v>
      </c>
      <c r="I15" s="23"/>
    </row>
    <row r="16" spans="1:9" x14ac:dyDescent="0.3">
      <c r="A16" s="23"/>
      <c r="B16" s="134" t="s">
        <v>188</v>
      </c>
      <c r="C16" s="59"/>
      <c r="D16" s="123">
        <v>-6382.2</v>
      </c>
      <c r="E16" s="123">
        <v>-1076.0999999999999</v>
      </c>
      <c r="F16" s="123">
        <v>-6869.1</v>
      </c>
      <c r="G16" s="123">
        <v>2921.3</v>
      </c>
      <c r="H16" s="124">
        <v>1503.1</v>
      </c>
      <c r="I16" s="23"/>
    </row>
    <row r="17" spans="1:9" x14ac:dyDescent="0.3">
      <c r="A17" s="23"/>
      <c r="B17" s="134" t="s">
        <v>189</v>
      </c>
      <c r="C17" s="59"/>
      <c r="D17" s="123">
        <v>68622.3</v>
      </c>
      <c r="E17" s="123">
        <v>73008.3</v>
      </c>
      <c r="F17" s="123">
        <v>82960.3</v>
      </c>
      <c r="G17" s="123">
        <v>94290.6</v>
      </c>
      <c r="H17" s="124">
        <v>99731.199999999997</v>
      </c>
      <c r="I17" s="23"/>
    </row>
    <row r="18" spans="1:9" x14ac:dyDescent="0.3">
      <c r="A18" s="23"/>
      <c r="B18" s="134" t="s">
        <v>136</v>
      </c>
      <c r="C18" s="59"/>
      <c r="D18" s="123">
        <v>1414.3</v>
      </c>
      <c r="E18" s="123">
        <v>1273.5</v>
      </c>
      <c r="F18" s="123">
        <v>1720</v>
      </c>
      <c r="G18" s="123">
        <v>2384.6999999999998</v>
      </c>
      <c r="H18" s="124">
        <v>2313.6</v>
      </c>
      <c r="I18" s="23"/>
    </row>
    <row r="19" spans="1:9" x14ac:dyDescent="0.3">
      <c r="A19" s="23"/>
      <c r="B19" s="134" t="s">
        <v>190</v>
      </c>
      <c r="C19" s="59"/>
      <c r="D19" s="123">
        <v>20799.5</v>
      </c>
      <c r="E19" s="123">
        <v>21437.4</v>
      </c>
      <c r="F19" s="123">
        <v>25294.3</v>
      </c>
      <c r="G19" s="123">
        <v>25566.400000000001</v>
      </c>
      <c r="H19" s="124">
        <v>25753.9</v>
      </c>
      <c r="I19" s="23"/>
    </row>
    <row r="20" spans="1:9" x14ac:dyDescent="0.3">
      <c r="A20" s="23"/>
      <c r="B20" s="134" t="s">
        <v>191</v>
      </c>
      <c r="C20" s="59"/>
      <c r="D20" s="123">
        <v>94781.1</v>
      </c>
      <c r="E20" s="123">
        <v>107583.6</v>
      </c>
      <c r="F20" s="123">
        <v>131546</v>
      </c>
      <c r="G20" s="123">
        <v>154181.79999999999</v>
      </c>
      <c r="H20" s="124">
        <v>167718</v>
      </c>
      <c r="I20" s="23"/>
    </row>
    <row r="21" spans="1:9" x14ac:dyDescent="0.3">
      <c r="A21" s="23"/>
      <c r="B21" s="135" t="s">
        <v>192</v>
      </c>
      <c r="C21" s="94"/>
      <c r="D21" s="125">
        <v>-236.5</v>
      </c>
      <c r="E21" s="125">
        <v>-1539.6</v>
      </c>
      <c r="F21" s="125">
        <v>1261</v>
      </c>
      <c r="G21" s="125">
        <v>-361.3</v>
      </c>
      <c r="H21" s="126">
        <v>-1855.3</v>
      </c>
      <c r="I21" s="23"/>
    </row>
    <row r="22" spans="1:9" ht="15" thickBot="1" x14ac:dyDescent="0.35">
      <c r="A22" s="23"/>
      <c r="B22" s="128" t="s">
        <v>193</v>
      </c>
      <c r="C22" s="129"/>
      <c r="D22" s="130">
        <f>SUM(D14:D21)</f>
        <v>272281.5</v>
      </c>
      <c r="E22" s="130">
        <f t="shared" ref="E22:H22" si="1">SUM(E14:E21)</f>
        <v>305278.60000000003</v>
      </c>
      <c r="F22" s="130">
        <f t="shared" si="1"/>
        <v>349403.19999999995</v>
      </c>
      <c r="G22" s="130">
        <f t="shared" si="1"/>
        <v>382688.3</v>
      </c>
      <c r="H22" s="130">
        <f t="shared" si="1"/>
        <v>401135</v>
      </c>
      <c r="I22" s="23"/>
    </row>
    <row r="23" spans="1:9" x14ac:dyDescent="0.3">
      <c r="A23" s="23"/>
      <c r="B23" s="136" t="s">
        <v>194</v>
      </c>
      <c r="C23" s="137"/>
      <c r="D23" s="138">
        <f>D12-D22</f>
        <v>71055.100000000035</v>
      </c>
      <c r="E23" s="138">
        <f t="shared" ref="E23:H23" si="2">E12-E22</f>
        <v>90481.399999999965</v>
      </c>
      <c r="F23" s="138">
        <f t="shared" si="2"/>
        <v>95798.800000000047</v>
      </c>
      <c r="G23" s="138">
        <f t="shared" si="2"/>
        <v>115822.10000000003</v>
      </c>
      <c r="H23" s="138">
        <f t="shared" si="2"/>
        <v>144299.80000000005</v>
      </c>
      <c r="I23" s="23"/>
    </row>
    <row r="24" spans="1:9" ht="15" thickBot="1" x14ac:dyDescent="0.35">
      <c r="A24" s="23"/>
      <c r="B24" s="141" t="s">
        <v>195</v>
      </c>
      <c r="D24" s="139">
        <v>43061.4</v>
      </c>
      <c r="E24" s="139">
        <v>45668.2</v>
      </c>
      <c r="F24" s="139">
        <v>1714.5</v>
      </c>
      <c r="G24" s="139">
        <v>4943.2</v>
      </c>
      <c r="H24" s="140">
        <v>6778.5</v>
      </c>
      <c r="I24" s="23"/>
    </row>
    <row r="25" spans="1:9" x14ac:dyDescent="0.3">
      <c r="A25" s="23"/>
      <c r="B25" s="136" t="s">
        <v>196</v>
      </c>
      <c r="C25" s="137"/>
      <c r="D25" s="138">
        <f>D23-D24</f>
        <v>27993.700000000033</v>
      </c>
      <c r="E25" s="138">
        <f t="shared" ref="E25:H25" si="3">E23-E24</f>
        <v>44813.199999999968</v>
      </c>
      <c r="F25" s="138">
        <f t="shared" si="3"/>
        <v>94084.300000000047</v>
      </c>
      <c r="G25" s="138">
        <f t="shared" si="3"/>
        <v>110878.90000000004</v>
      </c>
      <c r="H25" s="138">
        <f t="shared" si="3"/>
        <v>137521.30000000005</v>
      </c>
      <c r="I25" s="23"/>
    </row>
    <row r="26" spans="1:9" ht="15.6" x14ac:dyDescent="0.3">
      <c r="A26" s="23"/>
      <c r="B26" s="122" t="s">
        <v>203</v>
      </c>
      <c r="C26" s="59"/>
      <c r="D26" s="186"/>
      <c r="E26" s="186"/>
      <c r="F26" s="186"/>
      <c r="G26" s="186"/>
      <c r="H26" s="185"/>
      <c r="I26" s="23"/>
    </row>
    <row r="27" spans="1:9" x14ac:dyDescent="0.3">
      <c r="A27" s="23"/>
      <c r="B27" s="134" t="s">
        <v>197</v>
      </c>
      <c r="C27" s="59"/>
      <c r="D27" s="123">
        <v>9573</v>
      </c>
      <c r="E27" s="123">
        <v>3543.9</v>
      </c>
      <c r="F27" s="123">
        <v>18692.2</v>
      </c>
      <c r="G27" s="123">
        <v>19893</v>
      </c>
      <c r="H27" s="124">
        <v>33200.5</v>
      </c>
      <c r="I27" s="23"/>
    </row>
    <row r="28" spans="1:9" x14ac:dyDescent="0.3">
      <c r="A28" s="23"/>
      <c r="B28" s="134" t="s">
        <v>198</v>
      </c>
      <c r="C28" s="59"/>
      <c r="D28" s="123">
        <v>-331</v>
      </c>
      <c r="E28" s="123">
        <v>7975.3</v>
      </c>
      <c r="F28" s="123">
        <v>-10216.299999999999</v>
      </c>
      <c r="G28" s="123">
        <v>-5498.5</v>
      </c>
      <c r="H28" s="124">
        <v>-9255</v>
      </c>
    </row>
    <row r="29" spans="1:9" x14ac:dyDescent="0.3">
      <c r="A29" s="23"/>
      <c r="B29" s="135" t="s">
        <v>199</v>
      </c>
      <c r="C29" s="94"/>
      <c r="D29" s="125">
        <v>-4095.1</v>
      </c>
      <c r="E29" s="125">
        <v>-764.2</v>
      </c>
      <c r="F29" s="125" t="s">
        <v>106</v>
      </c>
      <c r="G29" s="125" t="s">
        <v>106</v>
      </c>
      <c r="H29" s="126">
        <v>3774.8</v>
      </c>
    </row>
    <row r="30" spans="1:9" x14ac:dyDescent="0.3">
      <c r="A30" s="23"/>
      <c r="B30" s="404" t="s">
        <v>200</v>
      </c>
      <c r="C30" s="405"/>
      <c r="D30" s="406">
        <f>SUM(D27:D29)</f>
        <v>5146.8999999999996</v>
      </c>
      <c r="E30" s="406">
        <f t="shared" ref="E30:H30" si="4">SUM(E27:E29)</f>
        <v>10755</v>
      </c>
      <c r="F30" s="406">
        <f t="shared" si="4"/>
        <v>8475.9000000000015</v>
      </c>
      <c r="G30" s="406">
        <f t="shared" si="4"/>
        <v>14394.5</v>
      </c>
      <c r="H30" s="406">
        <f t="shared" si="4"/>
        <v>27720.3</v>
      </c>
    </row>
    <row r="31" spans="1:9" ht="15" thickBot="1" x14ac:dyDescent="0.35">
      <c r="A31" s="23"/>
      <c r="B31" s="402" t="s">
        <v>372</v>
      </c>
      <c r="C31" s="403"/>
      <c r="D31" s="407">
        <v>-123.3</v>
      </c>
      <c r="E31" s="407">
        <v>-165.4</v>
      </c>
      <c r="F31" s="407">
        <v>-479</v>
      </c>
      <c r="G31" s="407">
        <v>-384.1</v>
      </c>
      <c r="H31" s="407">
        <v>-153.5</v>
      </c>
    </row>
    <row r="32" spans="1:9" ht="15" thickBot="1" x14ac:dyDescent="0.35">
      <c r="A32" s="23"/>
      <c r="B32" s="131" t="s">
        <v>202</v>
      </c>
      <c r="C32" s="132"/>
      <c r="D32" s="133">
        <f>D25-D30+D31</f>
        <v>22723.500000000033</v>
      </c>
      <c r="E32" s="133">
        <f t="shared" ref="E32:H32" si="5">E25-E30+E31</f>
        <v>33892.799999999967</v>
      </c>
      <c r="F32" s="133">
        <f t="shared" si="5"/>
        <v>85129.400000000052</v>
      </c>
      <c r="G32" s="133">
        <f t="shared" si="5"/>
        <v>96100.300000000032</v>
      </c>
      <c r="H32" s="133">
        <f t="shared" si="5"/>
        <v>109647.50000000004</v>
      </c>
    </row>
    <row r="33" spans="1:13" ht="15" thickTop="1" x14ac:dyDescent="0.3">
      <c r="A33" s="23"/>
      <c r="B33" s="23"/>
      <c r="D33" s="9"/>
      <c r="E33" s="9"/>
      <c r="F33" s="9"/>
      <c r="G33" s="9"/>
      <c r="H33" s="9"/>
    </row>
    <row r="34" spans="1:13" ht="18" x14ac:dyDescent="0.3">
      <c r="A34" s="23"/>
      <c r="B34" s="495" t="s">
        <v>204</v>
      </c>
      <c r="C34" s="496"/>
      <c r="D34" s="231"/>
      <c r="E34" s="231"/>
      <c r="F34" s="231"/>
      <c r="G34" s="231"/>
      <c r="H34" s="232"/>
    </row>
    <row r="35" spans="1:13" x14ac:dyDescent="0.3">
      <c r="A35" s="23"/>
      <c r="B35" s="497" t="s">
        <v>14</v>
      </c>
      <c r="C35" s="499"/>
      <c r="D35" s="233">
        <v>44286</v>
      </c>
      <c r="E35" s="233">
        <v>44651</v>
      </c>
      <c r="F35" s="233">
        <v>45016</v>
      </c>
      <c r="G35" s="233">
        <v>45382</v>
      </c>
      <c r="H35" s="233">
        <v>45747</v>
      </c>
    </row>
    <row r="36" spans="1:13" ht="15.6" x14ac:dyDescent="0.3">
      <c r="A36" s="23"/>
      <c r="B36" s="488" t="s">
        <v>9</v>
      </c>
      <c r="C36" s="489"/>
      <c r="D36" s="500"/>
      <c r="E36" s="500"/>
      <c r="F36" s="500"/>
      <c r="G36" s="500"/>
      <c r="H36" s="501"/>
    </row>
    <row r="37" spans="1:13" ht="15.6" x14ac:dyDescent="0.3">
      <c r="A37" s="23"/>
      <c r="B37" s="488" t="s">
        <v>179</v>
      </c>
      <c r="C37" s="489"/>
      <c r="D37" s="500"/>
      <c r="E37" s="500"/>
      <c r="F37" s="500"/>
      <c r="G37" s="500"/>
      <c r="H37" s="501"/>
    </row>
    <row r="38" spans="1:13" x14ac:dyDescent="0.3">
      <c r="A38" s="23"/>
      <c r="B38" s="147" t="s">
        <v>139</v>
      </c>
      <c r="C38" s="148"/>
      <c r="D38" s="151">
        <v>102349.9</v>
      </c>
      <c r="E38" s="151">
        <v>103713.8</v>
      </c>
      <c r="F38" s="151">
        <v>103903.8</v>
      </c>
      <c r="G38" s="151">
        <v>101923.2</v>
      </c>
      <c r="H38" s="151">
        <v>100359.4</v>
      </c>
    </row>
    <row r="39" spans="1:13" x14ac:dyDescent="0.3">
      <c r="B39" s="147" t="s">
        <v>140</v>
      </c>
      <c r="C39" s="148"/>
      <c r="D39" s="151">
        <v>9365.2000000000007</v>
      </c>
      <c r="E39" s="151">
        <v>7975.1</v>
      </c>
      <c r="F39" s="151">
        <v>9633.5</v>
      </c>
      <c r="G39" s="151">
        <v>11077.3</v>
      </c>
      <c r="H39" s="151">
        <v>12343.4</v>
      </c>
    </row>
    <row r="40" spans="1:13" x14ac:dyDescent="0.3">
      <c r="B40" s="147" t="s">
        <v>141</v>
      </c>
      <c r="C40" s="148"/>
      <c r="D40" s="151">
        <v>62876.4</v>
      </c>
      <c r="E40" s="151">
        <v>65494.5</v>
      </c>
      <c r="F40" s="151">
        <v>87127.1</v>
      </c>
      <c r="G40" s="151">
        <v>85689.9</v>
      </c>
      <c r="H40" s="151">
        <v>89394.2</v>
      </c>
    </row>
    <row r="41" spans="1:13" x14ac:dyDescent="0.3">
      <c r="B41" s="147" t="s">
        <v>142</v>
      </c>
      <c r="C41" s="148"/>
      <c r="D41" s="151">
        <v>50303.5</v>
      </c>
      <c r="E41" s="151">
        <v>55389.1</v>
      </c>
      <c r="F41" s="151">
        <v>53170.3</v>
      </c>
      <c r="G41" s="151">
        <v>44868.4</v>
      </c>
      <c r="H41" s="151">
        <v>36109.199999999997</v>
      </c>
    </row>
    <row r="42" spans="1:13" x14ac:dyDescent="0.3">
      <c r="B42" s="147" t="s">
        <v>143</v>
      </c>
      <c r="C42" s="148"/>
      <c r="D42" s="151">
        <v>6303.1</v>
      </c>
      <c r="E42" s="151">
        <v>4892.8999999999996</v>
      </c>
      <c r="F42" s="151">
        <v>40098.1</v>
      </c>
      <c r="G42" s="151">
        <v>42461.5</v>
      </c>
      <c r="H42" s="151">
        <v>54096.2</v>
      </c>
    </row>
    <row r="43" spans="1:13" x14ac:dyDescent="0.3">
      <c r="B43" s="149" t="s">
        <v>144</v>
      </c>
      <c r="C43" s="150"/>
      <c r="D43" s="151">
        <v>65788.5</v>
      </c>
      <c r="E43" s="151">
        <v>53412.600000000006</v>
      </c>
      <c r="F43" s="151">
        <v>56233.8</v>
      </c>
      <c r="G43" s="151">
        <v>65600.3</v>
      </c>
      <c r="H43" s="151">
        <v>48775.3</v>
      </c>
      <c r="I43" s="4"/>
      <c r="J43" s="364"/>
      <c r="K43" s="364"/>
      <c r="L43" s="364"/>
      <c r="M43" s="364"/>
    </row>
    <row r="44" spans="1:13" x14ac:dyDescent="0.3">
      <c r="B44" s="147" t="s">
        <v>148</v>
      </c>
      <c r="C44" s="148"/>
      <c r="D44" s="151">
        <v>35564.400000000001</v>
      </c>
      <c r="E44" s="151">
        <v>28967.200000000001</v>
      </c>
      <c r="F44" s="151">
        <v>31642.400000000001</v>
      </c>
      <c r="G44" s="151">
        <v>41036.5</v>
      </c>
      <c r="H44" s="151">
        <v>44075.5</v>
      </c>
    </row>
    <row r="45" spans="1:13" x14ac:dyDescent="0.3">
      <c r="B45" s="147" t="s">
        <v>149</v>
      </c>
      <c r="C45" s="148"/>
      <c r="D45" s="151">
        <v>34327.800000000003</v>
      </c>
      <c r="E45" s="151">
        <v>25115.3</v>
      </c>
      <c r="F45" s="151">
        <v>23069.8</v>
      </c>
      <c r="G45" s="151">
        <v>22850.3</v>
      </c>
      <c r="H45" s="151">
        <v>4206.7</v>
      </c>
    </row>
    <row r="46" spans="1:13" ht="15" thickBot="1" x14ac:dyDescent="0.35">
      <c r="B46" s="153" t="s">
        <v>150</v>
      </c>
      <c r="C46" s="154"/>
      <c r="D46" s="155">
        <v>5367.4</v>
      </c>
      <c r="E46" s="155">
        <v>2888.4</v>
      </c>
      <c r="F46" s="155">
        <v>3723.7</v>
      </c>
      <c r="G46" s="155">
        <v>4739.3</v>
      </c>
      <c r="H46" s="155">
        <v>5401.2</v>
      </c>
    </row>
    <row r="47" spans="1:13" ht="15" thickBot="1" x14ac:dyDescent="0.35">
      <c r="B47" s="491" t="s">
        <v>151</v>
      </c>
      <c r="C47" s="492"/>
      <c r="D47" s="133">
        <f>SUM(D38:D46)</f>
        <v>372246.2</v>
      </c>
      <c r="E47" s="133">
        <f t="shared" ref="E47:H47" si="6">SUM(E38:E46)</f>
        <v>347848.9</v>
      </c>
      <c r="F47" s="133">
        <f t="shared" si="6"/>
        <v>408602.5</v>
      </c>
      <c r="G47" s="133">
        <f t="shared" si="6"/>
        <v>420246.69999999995</v>
      </c>
      <c r="H47" s="133">
        <f t="shared" si="6"/>
        <v>394761.10000000003</v>
      </c>
    </row>
    <row r="48" spans="1:13" ht="16.2" thickTop="1" x14ac:dyDescent="0.3">
      <c r="B48" s="504" t="s">
        <v>180</v>
      </c>
      <c r="C48" s="505"/>
      <c r="D48" s="502"/>
      <c r="E48" s="502"/>
      <c r="F48" s="502"/>
      <c r="G48" s="502"/>
      <c r="H48" s="503"/>
    </row>
    <row r="49" spans="2:13" x14ac:dyDescent="0.3">
      <c r="B49" s="147" t="s">
        <v>7</v>
      </c>
      <c r="C49" s="148"/>
      <c r="D49" s="151">
        <v>89970.2</v>
      </c>
      <c r="E49" s="151">
        <v>89968.1</v>
      </c>
      <c r="F49" s="151">
        <v>105130.5</v>
      </c>
      <c r="G49" s="151">
        <v>98682.9</v>
      </c>
      <c r="H49" s="151">
        <v>102433.3</v>
      </c>
    </row>
    <row r="50" spans="2:13" x14ac:dyDescent="0.3">
      <c r="B50" s="147" t="s">
        <v>145</v>
      </c>
      <c r="C50" s="148"/>
      <c r="D50" s="151">
        <v>31300.6</v>
      </c>
      <c r="E50" s="151">
        <v>76339.399999999994</v>
      </c>
      <c r="F50" s="151">
        <v>93726.1</v>
      </c>
      <c r="G50" s="151">
        <v>85845.4</v>
      </c>
      <c r="H50" s="151">
        <v>136561</v>
      </c>
    </row>
    <row r="51" spans="2:13" x14ac:dyDescent="0.3">
      <c r="B51" s="147" t="s">
        <v>152</v>
      </c>
      <c r="C51" s="148"/>
      <c r="D51" s="151">
        <v>90614</v>
      </c>
      <c r="E51" s="151">
        <v>105928.9</v>
      </c>
      <c r="F51" s="151">
        <v>114385.1</v>
      </c>
      <c r="G51" s="151">
        <v>112493.7</v>
      </c>
      <c r="H51" s="151">
        <v>130461.1</v>
      </c>
    </row>
    <row r="52" spans="2:13" x14ac:dyDescent="0.3">
      <c r="B52" s="147" t="s">
        <v>153</v>
      </c>
      <c r="C52" s="148"/>
      <c r="D52" s="151">
        <v>62730.3</v>
      </c>
      <c r="E52" s="151">
        <v>45082.5</v>
      </c>
      <c r="F52" s="151">
        <v>46237.3</v>
      </c>
      <c r="G52" s="151">
        <v>92856.5</v>
      </c>
      <c r="H52" s="151">
        <v>102687.7</v>
      </c>
    </row>
    <row r="53" spans="2:13" x14ac:dyDescent="0.3">
      <c r="B53" s="147" t="s">
        <v>154</v>
      </c>
      <c r="C53" s="148"/>
      <c r="D53" s="151">
        <v>1724.8</v>
      </c>
      <c r="E53" s="151">
        <v>5251</v>
      </c>
      <c r="F53" s="151">
        <v>11465.6</v>
      </c>
      <c r="G53" s="151">
        <v>12350.3</v>
      </c>
      <c r="H53" s="151">
        <v>10628.5</v>
      </c>
      <c r="I53" s="4"/>
      <c r="J53" s="364"/>
      <c r="K53" s="364"/>
      <c r="L53" s="364"/>
      <c r="M53" s="364"/>
    </row>
    <row r="54" spans="2:13" x14ac:dyDescent="0.3">
      <c r="B54" s="147" t="s">
        <v>146</v>
      </c>
      <c r="C54" s="148"/>
      <c r="D54" s="151">
        <v>560.1</v>
      </c>
      <c r="E54" s="151">
        <v>1699.7</v>
      </c>
      <c r="F54" s="151">
        <v>413.2</v>
      </c>
      <c r="G54" s="151">
        <v>650.20000000000005</v>
      </c>
      <c r="H54" s="151">
        <v>483.8</v>
      </c>
    </row>
    <row r="55" spans="2:13" x14ac:dyDescent="0.3">
      <c r="B55" s="147" t="s">
        <v>147</v>
      </c>
      <c r="C55" s="148"/>
      <c r="D55" s="151">
        <v>8759.2999999999993</v>
      </c>
      <c r="E55" s="151">
        <v>7024.7</v>
      </c>
      <c r="F55" s="151">
        <v>7645.1</v>
      </c>
      <c r="G55" s="151">
        <v>9172</v>
      </c>
      <c r="H55" s="151">
        <v>17406.599999999999</v>
      </c>
    </row>
    <row r="56" spans="2:13" ht="15" thickBot="1" x14ac:dyDescent="0.35">
      <c r="B56" s="153" t="s">
        <v>155</v>
      </c>
      <c r="C56" s="154"/>
      <c r="D56" s="155">
        <v>18761.5</v>
      </c>
      <c r="E56" s="155">
        <v>18855.5</v>
      </c>
      <c r="F56" s="155">
        <v>19616.5</v>
      </c>
      <c r="G56" s="155">
        <v>22280.1</v>
      </c>
      <c r="H56" s="155">
        <v>25278.6</v>
      </c>
    </row>
    <row r="57" spans="2:13" ht="15" thickBot="1" x14ac:dyDescent="0.35">
      <c r="B57" s="491" t="s">
        <v>156</v>
      </c>
      <c r="C57" s="493"/>
      <c r="D57" s="133">
        <f>SUM(D49:D56)</f>
        <v>304420.79999999993</v>
      </c>
      <c r="E57" s="133">
        <f t="shared" ref="E57:H57" si="7">SUM(E49:E56)</f>
        <v>350149.80000000005</v>
      </c>
      <c r="F57" s="133">
        <f t="shared" si="7"/>
        <v>398619.39999999997</v>
      </c>
      <c r="G57" s="133">
        <f t="shared" si="7"/>
        <v>434331.1</v>
      </c>
      <c r="H57" s="133">
        <f t="shared" si="7"/>
        <v>525940.6</v>
      </c>
    </row>
    <row r="58" spans="2:13" ht="15.6" thickTop="1" thickBot="1" x14ac:dyDescent="0.35">
      <c r="B58" s="157" t="s">
        <v>157</v>
      </c>
      <c r="C58" s="158"/>
      <c r="D58" s="139">
        <v>0</v>
      </c>
      <c r="E58" s="139">
        <v>0</v>
      </c>
      <c r="F58" s="139">
        <v>214</v>
      </c>
      <c r="G58" s="139">
        <v>418.7</v>
      </c>
      <c r="H58" s="139">
        <v>304.10000000000002</v>
      </c>
    </row>
    <row r="59" spans="2:13" ht="15" thickBot="1" x14ac:dyDescent="0.35">
      <c r="B59" s="491" t="s">
        <v>158</v>
      </c>
      <c r="C59" s="493"/>
      <c r="D59" s="133">
        <f>D47+D57+D58</f>
        <v>676667</v>
      </c>
      <c r="E59" s="133">
        <f t="shared" ref="E59:H59" si="8">E47+E57+E58</f>
        <v>697998.70000000007</v>
      </c>
      <c r="F59" s="133">
        <f t="shared" si="8"/>
        <v>807435.89999999991</v>
      </c>
      <c r="G59" s="133">
        <f t="shared" si="8"/>
        <v>854996.49999999988</v>
      </c>
      <c r="H59" s="133">
        <f t="shared" si="8"/>
        <v>921005.79999999993</v>
      </c>
    </row>
    <row r="60" spans="2:13" ht="16.2" thickTop="1" x14ac:dyDescent="0.3">
      <c r="B60" s="486" t="s">
        <v>159</v>
      </c>
      <c r="C60" s="487"/>
      <c r="D60" s="502"/>
      <c r="E60" s="502"/>
      <c r="F60" s="502"/>
      <c r="G60" s="502"/>
      <c r="H60" s="503"/>
      <c r="I60" s="4"/>
      <c r="J60" s="364"/>
      <c r="K60" s="364"/>
      <c r="L60" s="364"/>
      <c r="M60" s="364"/>
    </row>
    <row r="61" spans="2:13" ht="15.6" x14ac:dyDescent="0.3">
      <c r="B61" s="488" t="s">
        <v>52</v>
      </c>
      <c r="C61" s="489"/>
      <c r="D61" s="501"/>
      <c r="E61" s="506"/>
      <c r="F61" s="506"/>
      <c r="G61" s="506"/>
      <c r="H61" s="506"/>
    </row>
    <row r="62" spans="2:13" x14ac:dyDescent="0.3">
      <c r="B62" s="147" t="s">
        <v>160</v>
      </c>
      <c r="C62" s="159"/>
      <c r="D62" s="151">
        <v>2399.3000000000002</v>
      </c>
      <c r="E62" s="151">
        <v>2399.3000000000002</v>
      </c>
      <c r="F62" s="151">
        <v>2399.3000000000002</v>
      </c>
      <c r="G62" s="151">
        <v>2399.3000000000002</v>
      </c>
      <c r="H62" s="151">
        <v>2399.3000000000002</v>
      </c>
      <c r="I62" s="4"/>
      <c r="J62" s="364"/>
      <c r="K62" s="364"/>
      <c r="L62" s="364"/>
      <c r="M62" s="364"/>
    </row>
    <row r="63" spans="2:13" x14ac:dyDescent="0.3">
      <c r="B63" s="147" t="s">
        <v>374</v>
      </c>
      <c r="C63" s="159"/>
      <c r="D63" s="151">
        <v>462228.5</v>
      </c>
      <c r="E63" s="151">
        <v>477712.9</v>
      </c>
      <c r="F63" s="151">
        <v>557554.5</v>
      </c>
      <c r="G63" s="151">
        <v>634268.19999999995</v>
      </c>
      <c r="H63" s="151">
        <v>719780.9</v>
      </c>
    </row>
    <row r="64" spans="2:13" ht="15" thickBot="1" x14ac:dyDescent="0.35">
      <c r="B64" s="153" t="s">
        <v>161</v>
      </c>
      <c r="C64" s="163"/>
      <c r="D64" s="155">
        <v>30170.5</v>
      </c>
      <c r="E64" s="155">
        <v>30548.9</v>
      </c>
      <c r="F64" s="155">
        <v>33200.9</v>
      </c>
      <c r="G64" s="155">
        <v>34591.9</v>
      </c>
      <c r="H64" s="155">
        <v>2679.3</v>
      </c>
    </row>
    <row r="65" spans="2:14" ht="15" thickBot="1" x14ac:dyDescent="0.35">
      <c r="B65" s="491" t="s">
        <v>162</v>
      </c>
      <c r="C65" s="492"/>
      <c r="D65" s="133">
        <f>SUM(D62:D64)</f>
        <v>494798.3</v>
      </c>
      <c r="E65" s="133">
        <f t="shared" ref="E65:H65" si="9">SUM(E62:E64)</f>
        <v>510661.10000000003</v>
      </c>
      <c r="F65" s="133">
        <f t="shared" si="9"/>
        <v>593154.70000000007</v>
      </c>
      <c r="G65" s="133">
        <f t="shared" si="9"/>
        <v>671259.4</v>
      </c>
      <c r="H65" s="133">
        <f t="shared" si="9"/>
        <v>724859.50000000012</v>
      </c>
    </row>
    <row r="66" spans="2:14" ht="18.600000000000001" thickTop="1" x14ac:dyDescent="0.3">
      <c r="B66" s="172" t="s">
        <v>163</v>
      </c>
      <c r="C66" s="173"/>
      <c r="D66" s="174"/>
      <c r="E66" s="174"/>
      <c r="F66" s="174"/>
      <c r="G66" s="174"/>
      <c r="H66" s="176"/>
      <c r="I66" s="28"/>
      <c r="J66" s="365"/>
      <c r="K66" s="365"/>
      <c r="L66" s="365"/>
      <c r="M66" s="365"/>
    </row>
    <row r="67" spans="2:14" ht="15.6" x14ac:dyDescent="0.3">
      <c r="B67" s="145" t="s">
        <v>164</v>
      </c>
      <c r="C67" s="146"/>
      <c r="D67" s="175"/>
      <c r="E67" s="175"/>
      <c r="F67" s="175"/>
      <c r="G67" s="175"/>
      <c r="H67" s="177"/>
    </row>
    <row r="68" spans="2:14" x14ac:dyDescent="0.3">
      <c r="B68" s="147" t="s">
        <v>165</v>
      </c>
      <c r="C68" s="159"/>
      <c r="D68" s="151">
        <v>6547</v>
      </c>
      <c r="E68" s="151">
        <v>2299.1999999999998</v>
      </c>
      <c r="F68" s="151">
        <v>0</v>
      </c>
      <c r="G68" s="151">
        <v>13.3</v>
      </c>
      <c r="H68" s="151">
        <v>25.2</v>
      </c>
    </row>
    <row r="69" spans="2:14" x14ac:dyDescent="0.3">
      <c r="B69" s="147" t="s">
        <v>166</v>
      </c>
      <c r="C69" s="159"/>
      <c r="D69" s="151">
        <v>2434</v>
      </c>
      <c r="E69" s="151">
        <v>2517.9</v>
      </c>
      <c r="F69" s="151">
        <v>5599.1</v>
      </c>
      <c r="G69" s="151">
        <v>3022.9</v>
      </c>
      <c r="H69" s="151">
        <v>3557.4</v>
      </c>
    </row>
    <row r="70" spans="2:14" x14ac:dyDescent="0.3">
      <c r="B70" s="147" t="s">
        <v>167</v>
      </c>
      <c r="C70" s="159"/>
      <c r="D70" s="151">
        <v>3271.2</v>
      </c>
      <c r="E70" s="151">
        <v>3690.7</v>
      </c>
      <c r="F70" s="151">
        <v>3429.1</v>
      </c>
      <c r="G70" s="151">
        <v>4138.8999999999996</v>
      </c>
      <c r="H70" s="151">
        <v>4650.3999999999996</v>
      </c>
    </row>
    <row r="71" spans="2:14" x14ac:dyDescent="0.3">
      <c r="B71" s="147" t="s">
        <v>168</v>
      </c>
      <c r="C71" s="159"/>
      <c r="D71" s="151">
        <v>445.1</v>
      </c>
      <c r="E71" s="151">
        <v>318.60000000000002</v>
      </c>
      <c r="F71" s="151">
        <v>316.89999999999998</v>
      </c>
      <c r="G71" s="151">
        <v>1718.6</v>
      </c>
      <c r="H71" s="151">
        <v>1924.4</v>
      </c>
      <c r="I71" s="4"/>
      <c r="J71" s="364"/>
      <c r="K71" s="364"/>
      <c r="L71" s="364"/>
      <c r="M71" s="364"/>
    </row>
    <row r="72" spans="2:14" x14ac:dyDescent="0.3">
      <c r="B72" s="147" t="s">
        <v>169</v>
      </c>
      <c r="C72" s="159"/>
      <c r="D72" s="151">
        <v>7715.1</v>
      </c>
      <c r="E72" s="151">
        <v>6505.7</v>
      </c>
      <c r="F72" s="151">
        <v>5866.0999999999995</v>
      </c>
      <c r="G72" s="151">
        <v>4999.3999999999996</v>
      </c>
      <c r="H72" s="151">
        <v>3959.2000000000003</v>
      </c>
    </row>
    <row r="73" spans="2:14" ht="15" thickBot="1" x14ac:dyDescent="0.35">
      <c r="B73" s="153" t="s">
        <v>170</v>
      </c>
      <c r="C73" s="163"/>
      <c r="D73" s="155" t="s">
        <v>106</v>
      </c>
      <c r="E73" s="155" t="s">
        <v>106</v>
      </c>
      <c r="F73" s="155" t="s">
        <v>106</v>
      </c>
      <c r="G73" s="155" t="s">
        <v>106</v>
      </c>
      <c r="H73" s="155">
        <v>87.6</v>
      </c>
      <c r="I73" s="28"/>
      <c r="J73" s="365"/>
      <c r="K73" s="365"/>
      <c r="L73" s="365"/>
      <c r="M73" s="365"/>
      <c r="N73" s="365"/>
    </row>
    <row r="74" spans="2:14" ht="15" thickBot="1" x14ac:dyDescent="0.35">
      <c r="B74" s="156" t="s">
        <v>171</v>
      </c>
      <c r="C74" s="168"/>
      <c r="D74" s="133">
        <f>SUM(D68:D73)</f>
        <v>20412.400000000001</v>
      </c>
      <c r="E74" s="133">
        <f t="shared" ref="E74:H74" si="10">SUM(E68:E73)</f>
        <v>15332.099999999999</v>
      </c>
      <c r="F74" s="133">
        <f t="shared" si="10"/>
        <v>15211.2</v>
      </c>
      <c r="G74" s="133">
        <f t="shared" si="10"/>
        <v>13893.1</v>
      </c>
      <c r="H74" s="133">
        <f t="shared" si="10"/>
        <v>14204.2</v>
      </c>
    </row>
    <row r="75" spans="2:14" ht="16.2" thickTop="1" x14ac:dyDescent="0.3">
      <c r="B75" s="179" t="s">
        <v>172</v>
      </c>
      <c r="C75" s="180"/>
      <c r="D75" s="174"/>
      <c r="E75" s="174"/>
      <c r="F75" s="174"/>
      <c r="G75" s="174"/>
      <c r="H75" s="178"/>
    </row>
    <row r="76" spans="2:14" x14ac:dyDescent="0.3">
      <c r="B76" s="147" t="s">
        <v>165</v>
      </c>
      <c r="C76" s="159"/>
      <c r="D76" s="151">
        <v>28687.8</v>
      </c>
      <c r="E76" s="151">
        <v>7007.7</v>
      </c>
      <c r="F76" s="151">
        <v>61978.8</v>
      </c>
      <c r="G76" s="151">
        <v>28443.599999999999</v>
      </c>
      <c r="H76" s="151">
        <v>18671.099999999999</v>
      </c>
    </row>
    <row r="77" spans="2:14" x14ac:dyDescent="0.3">
      <c r="B77" s="147" t="s">
        <v>166</v>
      </c>
      <c r="C77" s="159"/>
      <c r="D77" s="151">
        <v>1016.7</v>
      </c>
      <c r="E77" s="151">
        <v>1078.2</v>
      </c>
      <c r="F77" s="151">
        <v>1280.8</v>
      </c>
      <c r="G77" s="151">
        <v>1256.9000000000001</v>
      </c>
      <c r="H77" s="151">
        <v>1368.2</v>
      </c>
    </row>
    <row r="78" spans="2:14" x14ac:dyDescent="0.3">
      <c r="B78" s="147" t="s">
        <v>173</v>
      </c>
      <c r="C78" s="159"/>
      <c r="D78" s="151">
        <v>39736.6</v>
      </c>
      <c r="E78" s="151">
        <v>44793.4</v>
      </c>
      <c r="F78" s="151">
        <v>56815.199999999997</v>
      </c>
      <c r="G78" s="151">
        <v>56533</v>
      </c>
      <c r="H78" s="151">
        <v>61843.4</v>
      </c>
    </row>
    <row r="79" spans="2:14" x14ac:dyDescent="0.3">
      <c r="B79" s="147" t="s">
        <v>174</v>
      </c>
      <c r="C79" s="159"/>
      <c r="D79" s="151">
        <v>44397.9</v>
      </c>
      <c r="E79" s="151">
        <v>25866.6</v>
      </c>
      <c r="F79" s="151">
        <v>22358.1</v>
      </c>
      <c r="G79" s="151">
        <v>25911.599999999999</v>
      </c>
      <c r="H79" s="151">
        <v>31176.300000000003</v>
      </c>
      <c r="I79" s="4"/>
      <c r="J79" s="364"/>
      <c r="K79" s="364"/>
      <c r="L79" s="364"/>
      <c r="M79" s="364"/>
    </row>
    <row r="80" spans="2:14" x14ac:dyDescent="0.3">
      <c r="B80" s="147" t="s">
        <v>167</v>
      </c>
      <c r="C80" s="159"/>
      <c r="D80" s="151">
        <v>45826.5</v>
      </c>
      <c r="E80" s="151">
        <v>91478.2</v>
      </c>
      <c r="F80" s="151">
        <v>53543.8</v>
      </c>
      <c r="G80" s="151">
        <v>53575.6</v>
      </c>
      <c r="H80" s="151">
        <v>61551.3</v>
      </c>
    </row>
    <row r="81" spans="2:13" ht="15" thickBot="1" x14ac:dyDescent="0.35">
      <c r="B81" s="153" t="s">
        <v>175</v>
      </c>
      <c r="C81" s="163"/>
      <c r="D81" s="155">
        <v>1790.8</v>
      </c>
      <c r="E81" s="155">
        <v>1781.4</v>
      </c>
      <c r="F81" s="155">
        <v>3087.1</v>
      </c>
      <c r="G81" s="155">
        <v>4117</v>
      </c>
      <c r="H81" s="155">
        <v>7331.8</v>
      </c>
      <c r="I81" s="4"/>
      <c r="J81" s="364"/>
      <c r="K81" s="364"/>
      <c r="L81" s="364"/>
      <c r="M81" s="364"/>
    </row>
    <row r="82" spans="2:13" ht="15" thickBot="1" x14ac:dyDescent="0.35">
      <c r="B82" s="156" t="s">
        <v>176</v>
      </c>
      <c r="C82" s="168"/>
      <c r="D82" s="133">
        <f>SUM(D76:D81)</f>
        <v>161456.29999999999</v>
      </c>
      <c r="E82" s="133">
        <f t="shared" ref="E82:H82" si="11">SUM(E76:E81)</f>
        <v>172005.49999999997</v>
      </c>
      <c r="F82" s="133">
        <f t="shared" si="11"/>
        <v>199063.80000000002</v>
      </c>
      <c r="G82" s="133">
        <f t="shared" si="11"/>
        <v>169837.7</v>
      </c>
      <c r="H82" s="133">
        <f t="shared" si="11"/>
        <v>181942.09999999998</v>
      </c>
    </row>
    <row r="83" spans="2:13" ht="15.6" thickTop="1" thickBot="1" x14ac:dyDescent="0.35">
      <c r="B83" s="157" t="s">
        <v>177</v>
      </c>
      <c r="C83" s="169"/>
      <c r="D83" s="139">
        <v>0</v>
      </c>
      <c r="E83" s="139">
        <v>0</v>
      </c>
      <c r="F83" s="139">
        <v>6.2</v>
      </c>
      <c r="G83" s="139">
        <v>6.3</v>
      </c>
      <c r="H83" s="139">
        <v>0</v>
      </c>
      <c r="I83" s="23"/>
    </row>
    <row r="84" spans="2:13" ht="15" thickBot="1" x14ac:dyDescent="0.35">
      <c r="B84" s="156" t="s">
        <v>4</v>
      </c>
      <c r="C84" s="168"/>
      <c r="D84" s="133">
        <f>D74+D82+D83</f>
        <v>181868.69999999998</v>
      </c>
      <c r="E84" s="133">
        <f t="shared" ref="E84:H84" si="12">E74+E82+E83</f>
        <v>187337.59999999998</v>
      </c>
      <c r="F84" s="133">
        <f t="shared" si="12"/>
        <v>214281.20000000004</v>
      </c>
      <c r="G84" s="133">
        <f t="shared" si="12"/>
        <v>183737.1</v>
      </c>
      <c r="H84" s="133">
        <f t="shared" si="12"/>
        <v>196146.3</v>
      </c>
      <c r="I84" s="4"/>
      <c r="J84" s="364"/>
      <c r="K84" s="364"/>
      <c r="L84" s="364"/>
      <c r="M84" s="364"/>
    </row>
    <row r="85" spans="2:13" ht="15.6" thickTop="1" thickBot="1" x14ac:dyDescent="0.35">
      <c r="B85" s="181"/>
      <c r="C85" s="182"/>
      <c r="D85" s="183"/>
      <c r="E85" s="183"/>
      <c r="F85" s="183"/>
      <c r="G85" s="183"/>
      <c r="H85" s="184"/>
    </row>
    <row r="86" spans="2:13" ht="15" thickBot="1" x14ac:dyDescent="0.35">
      <c r="B86" s="156" t="s">
        <v>178</v>
      </c>
      <c r="C86" s="168"/>
      <c r="D86" s="133">
        <f>D65+D84</f>
        <v>676667</v>
      </c>
      <c r="E86" s="133">
        <f t="shared" ref="E86:H86" si="13">E65+E84</f>
        <v>697998.7</v>
      </c>
      <c r="F86" s="133">
        <f t="shared" si="13"/>
        <v>807435.90000000014</v>
      </c>
      <c r="G86" s="133">
        <f t="shared" si="13"/>
        <v>854996.5</v>
      </c>
      <c r="H86" s="133">
        <f t="shared" si="13"/>
        <v>921005.8</v>
      </c>
    </row>
    <row r="87" spans="2:13" ht="15" thickTop="1" x14ac:dyDescent="0.3">
      <c r="D87" s="234" t="str">
        <f>IF(D86=D59,"Tallied","Error")</f>
        <v>Tallied</v>
      </c>
      <c r="E87" s="234" t="str">
        <f>IF(E86=E59,"Tallied","Error")</f>
        <v>Tallied</v>
      </c>
      <c r="F87" s="234" t="str">
        <f>IF(F86=F59,"Tallied","Error")</f>
        <v>Tallied</v>
      </c>
      <c r="G87" s="234" t="str">
        <f>IF(G86=G59,"Tallied","Error")</f>
        <v>Tallied</v>
      </c>
      <c r="H87" s="234" t="str">
        <f>IF(H86=H59,"Tallied","Error")</f>
        <v>Tallied</v>
      </c>
    </row>
    <row r="88" spans="2:13" ht="18" customHeight="1" x14ac:dyDescent="0.3">
      <c r="B88" s="23"/>
      <c r="D88" s="9"/>
      <c r="E88" s="9"/>
      <c r="F88" s="9"/>
      <c r="G88" s="9"/>
      <c r="H88" s="9"/>
    </row>
    <row r="89" spans="2:13" ht="14.4" customHeight="1" x14ac:dyDescent="0.3">
      <c r="B89" s="495" t="s">
        <v>234</v>
      </c>
      <c r="C89" s="496"/>
      <c r="D89" s="231"/>
      <c r="E89" s="231"/>
      <c r="F89" s="231"/>
      <c r="G89" s="231"/>
      <c r="H89" s="232"/>
    </row>
    <row r="90" spans="2:13" x14ac:dyDescent="0.3">
      <c r="B90" s="497" t="s">
        <v>14</v>
      </c>
      <c r="C90" s="498"/>
      <c r="D90" s="350"/>
      <c r="E90" s="350"/>
      <c r="F90" s="350"/>
      <c r="G90" s="350"/>
      <c r="H90" s="351"/>
      <c r="I90" s="4"/>
      <c r="J90" s="364"/>
      <c r="K90" s="364"/>
      <c r="L90" s="364"/>
      <c r="M90" s="364"/>
    </row>
    <row r="91" spans="2:13" ht="15.6" x14ac:dyDescent="0.3">
      <c r="B91" s="488" t="s">
        <v>205</v>
      </c>
      <c r="C91" s="489"/>
      <c r="D91" s="175"/>
      <c r="E91" s="175"/>
      <c r="F91" s="175"/>
      <c r="G91" s="175"/>
      <c r="H91" s="177"/>
    </row>
    <row r="92" spans="2:13" x14ac:dyDescent="0.3">
      <c r="B92" s="147" t="s">
        <v>2</v>
      </c>
      <c r="C92" s="144"/>
      <c r="D92" s="151">
        <v>27993.7</v>
      </c>
      <c r="E92" s="151">
        <v>44813.2</v>
      </c>
      <c r="F92" s="151">
        <v>94084.3</v>
      </c>
      <c r="G92" s="151">
        <v>110878.9</v>
      </c>
      <c r="H92" s="151">
        <v>137521.29999999999</v>
      </c>
    </row>
    <row r="93" spans="2:13" x14ac:dyDescent="0.3">
      <c r="B93" s="147" t="s">
        <v>190</v>
      </c>
      <c r="C93" s="144"/>
      <c r="D93" s="151">
        <v>20799.5</v>
      </c>
      <c r="E93" s="151">
        <v>21437.4</v>
      </c>
      <c r="F93" s="151">
        <v>25294.3</v>
      </c>
      <c r="G93" s="151">
        <v>25566.400000000001</v>
      </c>
      <c r="H93" s="151">
        <v>25753.9</v>
      </c>
    </row>
    <row r="94" spans="2:13" x14ac:dyDescent="0.3">
      <c r="B94" s="147" t="s">
        <v>136</v>
      </c>
      <c r="C94" s="144"/>
      <c r="D94" s="151">
        <v>1414.3</v>
      </c>
      <c r="E94" s="151">
        <v>1273.5</v>
      </c>
      <c r="F94" s="151">
        <v>1720</v>
      </c>
      <c r="G94" s="151">
        <v>2384.6999999999998</v>
      </c>
      <c r="H94" s="151">
        <v>2313.6</v>
      </c>
    </row>
    <row r="95" spans="2:13" x14ac:dyDescent="0.3">
      <c r="B95" s="147" t="s">
        <v>206</v>
      </c>
      <c r="C95" s="144"/>
      <c r="D95" s="151">
        <v>-4671.7</v>
      </c>
      <c r="E95" s="151">
        <v>-7687</v>
      </c>
      <c r="F95" s="151">
        <v>-5309.9</v>
      </c>
      <c r="G95" s="151">
        <v>-11262.1</v>
      </c>
      <c r="H95" s="151">
        <v>-12970.3</v>
      </c>
    </row>
    <row r="96" spans="2:13" ht="15" thickBot="1" x14ac:dyDescent="0.35">
      <c r="B96" s="153" t="s">
        <v>207</v>
      </c>
      <c r="C96" s="171"/>
      <c r="D96" s="155">
        <v>556.4</v>
      </c>
      <c r="E96" s="155">
        <v>4725.6000000000004</v>
      </c>
      <c r="F96" s="155">
        <v>5521.2</v>
      </c>
      <c r="G96" s="155">
        <v>-1145</v>
      </c>
      <c r="H96" s="155">
        <v>-3893.6</v>
      </c>
      <c r="I96" s="4"/>
      <c r="J96" s="364"/>
      <c r="K96" s="364"/>
      <c r="L96" s="364"/>
      <c r="M96" s="364"/>
    </row>
    <row r="97" spans="2:13" x14ac:dyDescent="0.3">
      <c r="B97" s="490" t="s">
        <v>208</v>
      </c>
      <c r="C97" s="490"/>
      <c r="D97" s="235">
        <f>SUM(D92:D96)</f>
        <v>46092.200000000004</v>
      </c>
      <c r="E97" s="235">
        <f t="shared" ref="E97:H97" si="14">SUM(E92:E96)</f>
        <v>64562.700000000004</v>
      </c>
      <c r="F97" s="235">
        <f t="shared" si="14"/>
        <v>121309.90000000001</v>
      </c>
      <c r="G97" s="235">
        <f t="shared" si="14"/>
        <v>126422.9</v>
      </c>
      <c r="H97" s="235">
        <f t="shared" si="14"/>
        <v>148724.9</v>
      </c>
    </row>
    <row r="98" spans="2:13" ht="15.6" x14ac:dyDescent="0.3">
      <c r="B98" s="488" t="s">
        <v>209</v>
      </c>
      <c r="C98" s="489"/>
      <c r="D98" s="175"/>
      <c r="E98" s="175"/>
      <c r="F98" s="175"/>
      <c r="G98" s="175"/>
      <c r="H98" s="177"/>
      <c r="I98" s="4"/>
      <c r="J98" s="364"/>
      <c r="K98" s="364"/>
      <c r="L98" s="364"/>
      <c r="M98" s="364"/>
    </row>
    <row r="99" spans="2:13" x14ac:dyDescent="0.3">
      <c r="B99" s="147" t="s">
        <v>7</v>
      </c>
      <c r="C99" s="144"/>
      <c r="D99" s="151">
        <v>-10802.9</v>
      </c>
      <c r="E99" s="151">
        <v>3069.5</v>
      </c>
      <c r="F99" s="151">
        <v>-12022</v>
      </c>
      <c r="G99" s="151">
        <v>5988.1</v>
      </c>
      <c r="H99" s="151">
        <v>-1839.7</v>
      </c>
    </row>
    <row r="100" spans="2:13" x14ac:dyDescent="0.3">
      <c r="B100" s="147" t="s">
        <v>8</v>
      </c>
      <c r="C100" s="144"/>
      <c r="D100" s="151">
        <v>937.3</v>
      </c>
      <c r="E100" s="151">
        <v>-13422.6</v>
      </c>
      <c r="F100" s="151">
        <v>-9531.7000000000007</v>
      </c>
      <c r="G100" s="151">
        <v>3528.9</v>
      </c>
      <c r="H100" s="151">
        <v>-16020.5</v>
      </c>
      <c r="I100" s="4"/>
      <c r="J100" s="364"/>
      <c r="K100" s="364"/>
      <c r="L100" s="364"/>
      <c r="M100" s="364"/>
    </row>
    <row r="101" spans="2:13" x14ac:dyDescent="0.3">
      <c r="B101" s="147" t="s">
        <v>210</v>
      </c>
      <c r="C101" s="144"/>
      <c r="D101" s="151">
        <v>1166.2</v>
      </c>
      <c r="E101" s="151">
        <v>141.1</v>
      </c>
      <c r="F101" s="151">
        <v>-2158.1</v>
      </c>
      <c r="G101" s="151">
        <v>-3839</v>
      </c>
      <c r="H101" s="151">
        <v>-593.20000000000005</v>
      </c>
    </row>
    <row r="102" spans="2:13" x14ac:dyDescent="0.3">
      <c r="B102" s="147" t="s">
        <v>173</v>
      </c>
      <c r="C102" s="144"/>
      <c r="D102" s="151">
        <v>3814.6</v>
      </c>
      <c r="E102" s="151">
        <v>3699.2</v>
      </c>
      <c r="F102" s="151">
        <v>11823.7</v>
      </c>
      <c r="G102" s="151">
        <v>2497.1999999999998</v>
      </c>
      <c r="H102" s="151">
        <v>5279.7</v>
      </c>
    </row>
    <row r="103" spans="2:13" x14ac:dyDescent="0.3">
      <c r="B103" s="147" t="s">
        <v>211</v>
      </c>
      <c r="C103" s="144"/>
      <c r="D103" s="151">
        <v>24983.5</v>
      </c>
      <c r="E103" s="151">
        <v>-23333.5</v>
      </c>
      <c r="F103" s="151">
        <v>-6691.5</v>
      </c>
      <c r="G103" s="151">
        <v>2409.1999999999998</v>
      </c>
      <c r="H103" s="151">
        <v>1820.3</v>
      </c>
    </row>
    <row r="104" spans="2:13" ht="15" thickBot="1" x14ac:dyDescent="0.35">
      <c r="B104" s="153" t="s">
        <v>167</v>
      </c>
      <c r="C104" s="171"/>
      <c r="D104" s="155">
        <v>5542.2</v>
      </c>
      <c r="E104" s="155">
        <v>45436.800000000003</v>
      </c>
      <c r="F104" s="155">
        <v>-38038.6</v>
      </c>
      <c r="G104" s="155">
        <v>36.9</v>
      </c>
      <c r="H104" s="155">
        <v>8117.8</v>
      </c>
      <c r="I104" s="4"/>
      <c r="J104" s="364"/>
      <c r="K104" s="364"/>
      <c r="L104" s="364"/>
      <c r="M104" s="364"/>
    </row>
    <row r="105" spans="2:13" x14ac:dyDescent="0.3">
      <c r="B105" s="490" t="s">
        <v>212</v>
      </c>
      <c r="C105" s="490"/>
      <c r="D105" s="235">
        <f>SUM(D97:D104)</f>
        <v>71733.099999999991</v>
      </c>
      <c r="E105" s="235">
        <f t="shared" ref="E105:H105" si="15">SUM(E97:E104)</f>
        <v>80153.200000000012</v>
      </c>
      <c r="F105" s="235">
        <f t="shared" si="15"/>
        <v>64691.700000000004</v>
      </c>
      <c r="G105" s="235">
        <f t="shared" si="15"/>
        <v>137044.20000000001</v>
      </c>
      <c r="H105" s="235">
        <f t="shared" si="15"/>
        <v>145489.29999999996</v>
      </c>
    </row>
    <row r="106" spans="2:13" ht="15" thickBot="1" x14ac:dyDescent="0.35">
      <c r="B106" s="153" t="s">
        <v>213</v>
      </c>
      <c r="C106" s="171"/>
      <c r="D106" s="155">
        <v>-10029.4</v>
      </c>
      <c r="E106" s="155">
        <v>9692.2000000000007</v>
      </c>
      <c r="F106" s="155">
        <v>-15098.4</v>
      </c>
      <c r="G106" s="155">
        <v>-15694.4</v>
      </c>
      <c r="H106" s="155">
        <v>-4768.3999999999996</v>
      </c>
    </row>
    <row r="107" spans="2:13" ht="15" thickBot="1" x14ac:dyDescent="0.35">
      <c r="B107" s="485" t="s">
        <v>214</v>
      </c>
      <c r="C107" s="485"/>
      <c r="D107" s="133">
        <f>D105+D106</f>
        <v>61703.69999999999</v>
      </c>
      <c r="E107" s="133">
        <f t="shared" ref="E107:H107" si="16">E105+E106</f>
        <v>89845.400000000009</v>
      </c>
      <c r="F107" s="133">
        <f t="shared" si="16"/>
        <v>49593.3</v>
      </c>
      <c r="G107" s="133">
        <f t="shared" si="16"/>
        <v>121349.80000000002</v>
      </c>
      <c r="H107" s="133">
        <f t="shared" si="16"/>
        <v>140720.89999999997</v>
      </c>
      <c r="I107" s="4"/>
      <c r="J107" s="364"/>
      <c r="K107" s="364"/>
      <c r="L107" s="364"/>
      <c r="M107" s="364"/>
    </row>
    <row r="108" spans="2:13" ht="16.2" thickTop="1" x14ac:dyDescent="0.3">
      <c r="B108" s="486" t="s">
        <v>215</v>
      </c>
      <c r="C108" s="487"/>
      <c r="D108" s="174"/>
      <c r="E108" s="174"/>
      <c r="F108" s="174"/>
      <c r="G108" s="174"/>
      <c r="H108" s="178"/>
    </row>
    <row r="109" spans="2:13" x14ac:dyDescent="0.3">
      <c r="B109" s="147" t="s">
        <v>231</v>
      </c>
      <c r="C109" s="144"/>
      <c r="D109" s="151">
        <v>-11701.3</v>
      </c>
      <c r="E109" s="151">
        <v>-14950.4</v>
      </c>
      <c r="F109" s="151">
        <v>-20855.8</v>
      </c>
      <c r="G109" s="151">
        <v>-22018.1</v>
      </c>
      <c r="H109" s="151">
        <v>-21285.8</v>
      </c>
    </row>
    <row r="110" spans="2:13" x14ac:dyDescent="0.3">
      <c r="B110" s="147" t="s">
        <v>232</v>
      </c>
      <c r="C110" s="144"/>
      <c r="D110" s="151">
        <v>971</v>
      </c>
      <c r="E110" s="151">
        <v>606.1</v>
      </c>
      <c r="F110" s="151">
        <v>210.1</v>
      </c>
      <c r="G110" s="151">
        <v>308.39999999999998</v>
      </c>
      <c r="H110" s="151">
        <v>610.1</v>
      </c>
    </row>
    <row r="111" spans="2:13" x14ac:dyDescent="0.3">
      <c r="B111" s="147" t="s">
        <v>216</v>
      </c>
      <c r="C111" s="144"/>
      <c r="D111" s="151">
        <v>11670.6</v>
      </c>
      <c r="E111" s="151">
        <v>-34485.4</v>
      </c>
      <c r="F111" s="151">
        <v>-10673.9</v>
      </c>
      <c r="G111" s="151">
        <v>10034.299999999999</v>
      </c>
      <c r="H111" s="151">
        <v>-28911.599999999999</v>
      </c>
    </row>
    <row r="112" spans="2:13" x14ac:dyDescent="0.3">
      <c r="B112" s="147" t="s">
        <v>233</v>
      </c>
      <c r="C112" s="144"/>
      <c r="D112" s="151">
        <v>-616</v>
      </c>
      <c r="E112" s="151">
        <v>-7157.3</v>
      </c>
      <c r="F112" s="151">
        <v>-46858.2</v>
      </c>
      <c r="G112" s="151">
        <v>-1433.2</v>
      </c>
      <c r="H112" s="151">
        <v>-2728.3</v>
      </c>
    </row>
    <row r="113" spans="2:14" x14ac:dyDescent="0.3">
      <c r="B113" s="147" t="s">
        <v>217</v>
      </c>
      <c r="C113" s="144"/>
      <c r="D113" s="151">
        <v>2093.6</v>
      </c>
      <c r="E113" s="151">
        <v>2101.3000000000002</v>
      </c>
      <c r="F113" s="151">
        <v>4503.3</v>
      </c>
      <c r="G113" s="151">
        <v>7123.4</v>
      </c>
      <c r="H113" s="151">
        <v>8697.7000000000007</v>
      </c>
    </row>
    <row r="114" spans="2:14" ht="15" thickBot="1" x14ac:dyDescent="0.35">
      <c r="B114" s="153" t="s">
        <v>218</v>
      </c>
      <c r="C114" s="171"/>
      <c r="D114" s="155">
        <v>2944.3</v>
      </c>
      <c r="E114" s="155">
        <v>-3361.7</v>
      </c>
      <c r="F114" s="155">
        <v>-5762.3</v>
      </c>
      <c r="G114" s="155">
        <v>-916.7</v>
      </c>
      <c r="H114" s="155">
        <v>-9443.7000000000007</v>
      </c>
      <c r="I114" s="4"/>
      <c r="J114" s="364"/>
      <c r="K114" s="364"/>
      <c r="L114" s="364"/>
      <c r="M114" s="364"/>
    </row>
    <row r="115" spans="2:14" ht="15" thickBot="1" x14ac:dyDescent="0.35">
      <c r="B115" s="485" t="s">
        <v>219</v>
      </c>
      <c r="C115" s="485"/>
      <c r="D115" s="133">
        <f>SUM(D109:D114)</f>
        <v>5362.2000000000007</v>
      </c>
      <c r="E115" s="133">
        <f t="shared" ref="E115:H115" si="17">SUM(E109:E114)</f>
        <v>-57247.399999999994</v>
      </c>
      <c r="F115" s="133">
        <f t="shared" si="17"/>
        <v>-79436.799999999988</v>
      </c>
      <c r="G115" s="133">
        <f t="shared" si="17"/>
        <v>-6901.8999999999987</v>
      </c>
      <c r="H115" s="133">
        <f t="shared" si="17"/>
        <v>-53061.600000000006</v>
      </c>
    </row>
    <row r="116" spans="2:14" ht="16.2" thickTop="1" x14ac:dyDescent="0.3">
      <c r="B116" s="486" t="s">
        <v>220</v>
      </c>
      <c r="C116" s="487"/>
      <c r="D116" s="174"/>
      <c r="E116" s="174"/>
      <c r="F116" s="174"/>
      <c r="G116" s="174"/>
      <c r="H116" s="178"/>
      <c r="I116" s="4"/>
      <c r="J116" s="364"/>
      <c r="K116" s="364"/>
      <c r="L116" s="364"/>
      <c r="M116" s="364"/>
      <c r="N116" s="364"/>
    </row>
    <row r="117" spans="2:14" x14ac:dyDescent="0.3">
      <c r="B117" s="147" t="s">
        <v>221</v>
      </c>
      <c r="C117" s="144"/>
      <c r="D117" s="151">
        <v>-41992.1</v>
      </c>
      <c r="E117" s="151">
        <v>-27431.3</v>
      </c>
      <c r="F117" s="151">
        <v>52601.5</v>
      </c>
      <c r="G117" s="151">
        <v>-35329.4</v>
      </c>
      <c r="H117" s="151">
        <v>-9821.4</v>
      </c>
    </row>
    <row r="118" spans="2:14" x14ac:dyDescent="0.3">
      <c r="B118" s="147" t="s">
        <v>222</v>
      </c>
      <c r="C118" s="144"/>
      <c r="D118" s="151">
        <v>-1177.9000000000001</v>
      </c>
      <c r="E118" s="151">
        <v>-1286.5</v>
      </c>
      <c r="F118" s="151">
        <v>-1346.2</v>
      </c>
      <c r="G118" s="151">
        <v>-1231</v>
      </c>
      <c r="H118" s="151">
        <v>-1345.1</v>
      </c>
      <c r="I118" s="4"/>
      <c r="J118" s="364"/>
      <c r="K118" s="364"/>
      <c r="L118" s="364"/>
      <c r="M118" s="364"/>
    </row>
    <row r="119" spans="2:14" x14ac:dyDescent="0.3">
      <c r="B119" s="147" t="s">
        <v>223</v>
      </c>
      <c r="C119" s="144"/>
      <c r="D119" s="151">
        <v>-1854.2</v>
      </c>
      <c r="E119" s="151">
        <v>-1857</v>
      </c>
      <c r="F119" s="151" t="s">
        <v>106</v>
      </c>
      <c r="G119" s="151">
        <v>-773.9</v>
      </c>
      <c r="H119" s="151">
        <v>-28998.5</v>
      </c>
    </row>
    <row r="120" spans="2:14" x14ac:dyDescent="0.3">
      <c r="B120" s="147" t="s">
        <v>137</v>
      </c>
      <c r="C120" s="144"/>
      <c r="D120" s="151">
        <v>-1442.5</v>
      </c>
      <c r="E120" s="151">
        <v>-732.1</v>
      </c>
      <c r="F120" s="151">
        <v>-992.4</v>
      </c>
      <c r="G120" s="151">
        <v>-2190.3000000000002</v>
      </c>
      <c r="H120" s="151">
        <v>-2238.1999999999998</v>
      </c>
    </row>
    <row r="121" spans="2:14" x14ac:dyDescent="0.3">
      <c r="B121" s="147" t="s">
        <v>138</v>
      </c>
      <c r="C121" s="144"/>
      <c r="D121" s="151">
        <v>-15861.7</v>
      </c>
      <c r="E121" s="151">
        <v>-21691.9</v>
      </c>
      <c r="F121" s="151">
        <v>-25197.3</v>
      </c>
      <c r="G121" s="151">
        <v>-29007.1</v>
      </c>
      <c r="H121" s="151">
        <v>-36173</v>
      </c>
    </row>
    <row r="122" spans="2:14" ht="15" thickBot="1" x14ac:dyDescent="0.35">
      <c r="B122" s="153" t="s">
        <v>224</v>
      </c>
      <c r="C122" s="171"/>
      <c r="D122" s="155">
        <v>2523.6</v>
      </c>
      <c r="E122" s="155">
        <v>1064.2</v>
      </c>
      <c r="F122" s="155">
        <v>-1304.9000000000001</v>
      </c>
      <c r="G122" s="155">
        <v>1430.1</v>
      </c>
      <c r="H122" s="155">
        <v>-482</v>
      </c>
      <c r="I122" s="4"/>
      <c r="J122" s="364"/>
      <c r="K122" s="364"/>
      <c r="L122" s="364"/>
      <c r="M122" s="364"/>
    </row>
    <row r="123" spans="2:14" ht="15" thickBot="1" x14ac:dyDescent="0.35">
      <c r="B123" s="485" t="s">
        <v>225</v>
      </c>
      <c r="C123" s="485"/>
      <c r="D123" s="133">
        <f>SUM(D117:D122)</f>
        <v>-59804.799999999996</v>
      </c>
      <c r="E123" s="133">
        <f t="shared" ref="E123:H123" si="18">SUM(E117:E122)</f>
        <v>-51934.600000000006</v>
      </c>
      <c r="F123" s="133">
        <f t="shared" si="18"/>
        <v>23760.7</v>
      </c>
      <c r="G123" s="133">
        <f t="shared" si="18"/>
        <v>-67101.600000000006</v>
      </c>
      <c r="H123" s="133">
        <f t="shared" si="18"/>
        <v>-79058.2</v>
      </c>
    </row>
    <row r="124" spans="2:14" ht="16.2" thickTop="1" x14ac:dyDescent="0.3">
      <c r="B124" s="486" t="s">
        <v>226</v>
      </c>
      <c r="C124" s="487"/>
      <c r="D124" s="174"/>
      <c r="E124" s="174"/>
      <c r="F124" s="174"/>
      <c r="G124" s="174"/>
      <c r="H124" s="178"/>
      <c r="I124" s="4"/>
      <c r="J124" s="364"/>
      <c r="K124" s="364"/>
      <c r="L124" s="364"/>
      <c r="M124" s="364"/>
    </row>
    <row r="125" spans="2:14" x14ac:dyDescent="0.3">
      <c r="B125" s="152" t="s">
        <v>227</v>
      </c>
      <c r="C125" s="219"/>
      <c r="D125" s="161">
        <f>+D123+D115+D107</f>
        <v>7261.0999999999985</v>
      </c>
      <c r="E125" s="161">
        <f t="shared" ref="E125:H125" si="19">+E123+E115+E107</f>
        <v>-19336.599999999991</v>
      </c>
      <c r="F125" s="161">
        <f t="shared" si="19"/>
        <v>-6082.7999999999884</v>
      </c>
      <c r="G125" s="161">
        <f t="shared" si="19"/>
        <v>47346.300000000017</v>
      </c>
      <c r="H125" s="161">
        <f t="shared" si="19"/>
        <v>8601.0999999999767</v>
      </c>
    </row>
    <row r="126" spans="2:14" x14ac:dyDescent="0.3">
      <c r="B126" s="147" t="s">
        <v>228</v>
      </c>
      <c r="C126" s="144"/>
      <c r="D126" s="151">
        <v>56766.1</v>
      </c>
      <c r="E126" s="151">
        <f>D128</f>
        <v>62730.299999999996</v>
      </c>
      <c r="F126" s="151">
        <f t="shared" ref="F126:H126" si="20">E128</f>
        <v>45082.500000000007</v>
      </c>
      <c r="G126" s="151">
        <f t="shared" si="20"/>
        <v>46237.300000000017</v>
      </c>
      <c r="H126" s="151">
        <f t="shared" si="20"/>
        <v>92856.600000000035</v>
      </c>
    </row>
    <row r="127" spans="2:14" ht="15" thickBot="1" x14ac:dyDescent="0.35">
      <c r="B127" s="153" t="s">
        <v>229</v>
      </c>
      <c r="C127" s="171"/>
      <c r="D127" s="155">
        <v>-1296.9000000000001</v>
      </c>
      <c r="E127" s="155">
        <v>1688.8</v>
      </c>
      <c r="F127" s="155">
        <v>7237.6</v>
      </c>
      <c r="G127" s="155">
        <v>-727</v>
      </c>
      <c r="H127" s="155">
        <v>1230.0999999999999</v>
      </c>
    </row>
    <row r="128" spans="2:14" ht="15" thickBot="1" x14ac:dyDescent="0.35">
      <c r="B128" s="485" t="s">
        <v>230</v>
      </c>
      <c r="C128" s="485"/>
      <c r="D128" s="133">
        <f>D125+D126+D127</f>
        <v>62730.299999999996</v>
      </c>
      <c r="E128" s="133">
        <f t="shared" ref="E128:H128" si="21">E125+E126+E127</f>
        <v>45082.500000000007</v>
      </c>
      <c r="F128" s="133">
        <f t="shared" si="21"/>
        <v>46237.300000000017</v>
      </c>
      <c r="G128" s="133">
        <f t="shared" si="21"/>
        <v>92856.600000000035</v>
      </c>
      <c r="H128" s="133">
        <f t="shared" si="21"/>
        <v>102687.80000000002</v>
      </c>
    </row>
    <row r="129" spans="4:8" ht="15" thickTop="1" x14ac:dyDescent="0.3">
      <c r="D129" s="191"/>
      <c r="E129" s="191"/>
      <c r="F129" s="191"/>
      <c r="G129" s="191"/>
      <c r="H129" s="191"/>
    </row>
  </sheetData>
  <mergeCells count="32">
    <mergeCell ref="E6:H6"/>
    <mergeCell ref="B89:C89"/>
    <mergeCell ref="B90:C90"/>
    <mergeCell ref="B7:C7"/>
    <mergeCell ref="B8:C8"/>
    <mergeCell ref="B34:C34"/>
    <mergeCell ref="B35:C35"/>
    <mergeCell ref="D36:H36"/>
    <mergeCell ref="D37:H37"/>
    <mergeCell ref="D48:H48"/>
    <mergeCell ref="B37:C37"/>
    <mergeCell ref="B48:C48"/>
    <mergeCell ref="D60:H60"/>
    <mergeCell ref="D61:H61"/>
    <mergeCell ref="B60:C60"/>
    <mergeCell ref="B61:C61"/>
    <mergeCell ref="B65:C65"/>
    <mergeCell ref="B47:C47"/>
    <mergeCell ref="B57:C57"/>
    <mergeCell ref="B36:C36"/>
    <mergeCell ref="B59:C59"/>
    <mergeCell ref="B91:C91"/>
    <mergeCell ref="B97:C97"/>
    <mergeCell ref="B98:C98"/>
    <mergeCell ref="B105:C105"/>
    <mergeCell ref="B107:C107"/>
    <mergeCell ref="B128:C128"/>
    <mergeCell ref="B108:C108"/>
    <mergeCell ref="B115:C115"/>
    <mergeCell ref="B116:C116"/>
    <mergeCell ref="B123:C123"/>
    <mergeCell ref="B124:C124"/>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BEED9"/>
  </sheetPr>
  <dimension ref="A1:R27"/>
  <sheetViews>
    <sheetView showGridLines="0" workbookViewId="0">
      <selection activeCell="H19" sqref="H19"/>
    </sheetView>
  </sheetViews>
  <sheetFormatPr defaultRowHeight="14.4" x14ac:dyDescent="0.3"/>
  <cols>
    <col min="1" max="1" width="1.88671875" customWidth="1"/>
    <col min="2" max="2" width="22.6640625" bestFit="1" customWidth="1"/>
    <col min="3" max="4" width="10.21875" bestFit="1" customWidth="1"/>
    <col min="5" max="5" width="10.44140625" bestFit="1" customWidth="1"/>
    <col min="6" max="6" width="10.21875" bestFit="1" customWidth="1"/>
    <col min="7" max="7" width="10.109375" bestFit="1" customWidth="1"/>
    <col min="8" max="12" width="10.44140625" bestFit="1" customWidth="1"/>
    <col min="13" max="13" width="11.109375" bestFit="1" customWidth="1"/>
    <col min="14" max="17" width="10.44140625" style="323" bestFit="1" customWidth="1"/>
    <col min="18" max="18" width="2.33203125" style="323" customWidth="1"/>
    <col min="19" max="16384" width="8.88671875" style="255"/>
  </cols>
  <sheetData>
    <row r="1" spans="1:17" x14ac:dyDescent="0.3">
      <c r="A1" s="26"/>
      <c r="B1" s="40"/>
      <c r="C1" s="40"/>
      <c r="D1" s="40"/>
      <c r="E1" s="40"/>
      <c r="F1" s="40"/>
      <c r="G1" s="40"/>
      <c r="H1" s="40"/>
      <c r="I1" s="40"/>
      <c r="J1" s="40"/>
      <c r="K1" s="40"/>
      <c r="L1" s="40"/>
      <c r="M1" s="40"/>
      <c r="N1" s="40"/>
      <c r="O1" s="40"/>
      <c r="P1" s="40"/>
      <c r="Q1" s="40"/>
    </row>
    <row r="2" spans="1:17" x14ac:dyDescent="0.3">
      <c r="A2" s="26"/>
      <c r="B2" s="40"/>
      <c r="C2" s="40"/>
      <c r="D2" s="40"/>
      <c r="E2" s="40"/>
      <c r="F2" s="40"/>
      <c r="G2" s="40"/>
      <c r="H2" s="40"/>
      <c r="I2" s="40"/>
      <c r="J2" s="40"/>
      <c r="K2" s="40"/>
      <c r="L2" s="40"/>
      <c r="M2" s="40"/>
      <c r="N2" s="40"/>
      <c r="O2" s="40"/>
      <c r="P2" s="40"/>
      <c r="Q2" s="40"/>
    </row>
    <row r="3" spans="1:17" x14ac:dyDescent="0.3">
      <c r="A3" s="26"/>
      <c r="B3" s="40"/>
      <c r="C3" s="40"/>
      <c r="D3" s="40"/>
      <c r="E3" s="40"/>
      <c r="F3" s="40"/>
      <c r="G3" s="40"/>
      <c r="H3" s="40"/>
      <c r="I3" s="40"/>
      <c r="J3" s="40"/>
      <c r="K3" s="40"/>
      <c r="L3" s="40"/>
      <c r="M3" s="40"/>
      <c r="N3" s="40"/>
      <c r="O3" s="40"/>
      <c r="P3" s="40"/>
      <c r="Q3" s="40"/>
    </row>
    <row r="4" spans="1:17" x14ac:dyDescent="0.3">
      <c r="A4" s="26"/>
      <c r="B4" s="40"/>
      <c r="C4" s="40"/>
      <c r="D4" s="40"/>
      <c r="E4" s="40"/>
      <c r="F4" s="40"/>
      <c r="G4" s="40"/>
      <c r="H4" s="40"/>
      <c r="I4" s="40"/>
      <c r="J4" s="40"/>
      <c r="K4" s="40"/>
      <c r="L4" s="40"/>
      <c r="M4" s="40"/>
      <c r="N4" s="40"/>
      <c r="O4" s="40"/>
      <c r="P4" s="40"/>
      <c r="Q4" s="40"/>
    </row>
    <row r="5" spans="1:17" x14ac:dyDescent="0.3">
      <c r="B5" s="40"/>
      <c r="C5" s="40"/>
      <c r="D5" s="40"/>
      <c r="E5" s="40"/>
      <c r="F5" s="40"/>
      <c r="G5" s="40"/>
      <c r="H5" s="40"/>
      <c r="I5" s="40"/>
      <c r="J5" s="40"/>
      <c r="K5" s="40"/>
      <c r="L5" s="40"/>
      <c r="M5" s="40"/>
      <c r="N5" s="40"/>
      <c r="O5" s="40"/>
      <c r="P5" s="40"/>
      <c r="Q5" s="40"/>
    </row>
    <row r="6" spans="1:17" x14ac:dyDescent="0.3">
      <c r="B6" s="26"/>
      <c r="C6" s="26"/>
      <c r="D6" s="26"/>
      <c r="E6" s="26"/>
      <c r="F6" s="26"/>
      <c r="G6" s="26"/>
      <c r="H6" s="26"/>
      <c r="N6" s="494" t="s">
        <v>276</v>
      </c>
      <c r="O6" s="494"/>
      <c r="P6" s="494"/>
      <c r="Q6" s="494"/>
    </row>
    <row r="7" spans="1:17" x14ac:dyDescent="0.3">
      <c r="B7" s="257" t="s">
        <v>107</v>
      </c>
      <c r="C7" s="81"/>
      <c r="D7" s="81"/>
      <c r="E7" s="81"/>
      <c r="F7" s="81"/>
      <c r="G7" s="81"/>
      <c r="H7" s="81"/>
      <c r="I7" s="81"/>
      <c r="J7" s="81"/>
      <c r="K7" s="81"/>
      <c r="L7" s="81"/>
      <c r="M7" s="81"/>
      <c r="N7" s="81"/>
      <c r="O7" s="81"/>
      <c r="P7" s="81"/>
      <c r="Q7" s="120"/>
    </row>
    <row r="8" spans="1:17" x14ac:dyDescent="0.3">
      <c r="B8" s="242"/>
      <c r="C8" s="480" t="s">
        <v>13</v>
      </c>
      <c r="D8" s="480"/>
      <c r="E8" s="480"/>
      <c r="F8" s="480"/>
      <c r="G8" s="480"/>
      <c r="H8" s="507" t="s">
        <v>12</v>
      </c>
      <c r="I8" s="508"/>
      <c r="J8" s="508"/>
      <c r="K8" s="508"/>
      <c r="L8" s="508"/>
      <c r="M8" s="508"/>
      <c r="N8" s="508"/>
      <c r="O8" s="508"/>
      <c r="P8" s="508"/>
      <c r="Q8" s="508"/>
    </row>
    <row r="9" spans="1:17" x14ac:dyDescent="0.3">
      <c r="B9" s="243" t="s">
        <v>14</v>
      </c>
      <c r="C9" s="119">
        <v>44286</v>
      </c>
      <c r="D9" s="119">
        <v>44651</v>
      </c>
      <c r="E9" s="119">
        <v>45016</v>
      </c>
      <c r="F9" s="119">
        <v>45382</v>
      </c>
      <c r="G9" s="119">
        <v>45747</v>
      </c>
      <c r="H9" s="119">
        <v>46112</v>
      </c>
      <c r="I9" s="119">
        <v>46477</v>
      </c>
      <c r="J9" s="119">
        <v>46843</v>
      </c>
      <c r="K9" s="119">
        <v>47208</v>
      </c>
      <c r="L9" s="119">
        <v>47573</v>
      </c>
      <c r="M9" s="298">
        <f>L9+365</f>
        <v>47938</v>
      </c>
      <c r="N9" s="298">
        <f t="shared" ref="N9:Q9" si="0">M9+365</f>
        <v>48303</v>
      </c>
      <c r="O9" s="298">
        <f t="shared" si="0"/>
        <v>48668</v>
      </c>
      <c r="P9" s="298">
        <f t="shared" si="0"/>
        <v>49033</v>
      </c>
      <c r="Q9" s="298">
        <f t="shared" si="0"/>
        <v>49398</v>
      </c>
    </row>
    <row r="10" spans="1:17" x14ac:dyDescent="0.3">
      <c r="B10" s="217" t="s">
        <v>401</v>
      </c>
      <c r="C10" s="143"/>
      <c r="D10" s="143"/>
      <c r="E10" s="143"/>
      <c r="F10" s="143"/>
      <c r="G10" s="143"/>
      <c r="H10" s="143"/>
      <c r="I10" s="143"/>
      <c r="J10" s="143"/>
      <c r="K10" s="143"/>
      <c r="L10" s="143"/>
      <c r="M10" s="143"/>
      <c r="N10" s="143"/>
      <c r="O10" s="143"/>
      <c r="P10" s="143"/>
      <c r="Q10" s="144"/>
    </row>
    <row r="11" spans="1:17" x14ac:dyDescent="0.3">
      <c r="B11" s="170" t="s">
        <v>240</v>
      </c>
      <c r="C11" s="162">
        <f>CFS!D17</f>
        <v>937.3</v>
      </c>
      <c r="D11" s="162">
        <f>CFS!E17</f>
        <v>-13422.6</v>
      </c>
      <c r="E11" s="162">
        <f>CFS!F17</f>
        <v>-9531.7000000000007</v>
      </c>
      <c r="F11" s="162">
        <f>CFS!G17</f>
        <v>3528.9</v>
      </c>
      <c r="G11" s="162">
        <f>CFS!H17</f>
        <v>-16020.5</v>
      </c>
      <c r="H11" s="162">
        <f>'Balance Sheet'!H20-'Balance Sheet'!I20</f>
        <v>-18210.041326342616</v>
      </c>
      <c r="I11" s="162">
        <f>'Balance Sheet'!I20-'Balance Sheet'!J20</f>
        <v>-14867.114132634277</v>
      </c>
      <c r="J11" s="162">
        <f>'Balance Sheet'!J20-'Balance Sheet'!K20</f>
        <v>-16353.825545897707</v>
      </c>
      <c r="K11" s="162">
        <f>'Balance Sheet'!K20-'Balance Sheet'!L20</f>
        <v>-17989.208100487449</v>
      </c>
      <c r="L11" s="162">
        <f>'Balance Sheet'!L20-'Balance Sheet'!M20</f>
        <v>-19788.128910536238</v>
      </c>
      <c r="M11" s="162">
        <f>'Balance Sheet'!M20-'Balance Sheet'!N20</f>
        <v>-18120.979049823538</v>
      </c>
      <c r="N11" s="162">
        <f>'Balance Sheet'!N20-'Balance Sheet'!O20</f>
        <v>-16341.60083763799</v>
      </c>
      <c r="O11" s="162">
        <f>'Balance Sheet'!O20-'Balance Sheet'!P20</f>
        <v>-14547.242942911631</v>
      </c>
      <c r="P11" s="162">
        <f>'Balance Sheet'!P20-'Balance Sheet'!Q20</f>
        <v>-12809.323056128458</v>
      </c>
      <c r="Q11" s="162">
        <f>'Balance Sheet'!Q20-'Balance Sheet'!R20</f>
        <v>-11175.970661934174</v>
      </c>
    </row>
    <row r="12" spans="1:17" x14ac:dyDescent="0.3">
      <c r="B12" s="170" t="s">
        <v>7</v>
      </c>
      <c r="C12" s="162">
        <f>CFS!D16</f>
        <v>-10802.9</v>
      </c>
      <c r="D12" s="162">
        <f>CFS!E16</f>
        <v>3069.5</v>
      </c>
      <c r="E12" s="162">
        <f>CFS!F16</f>
        <v>-12022</v>
      </c>
      <c r="F12" s="162">
        <f>CFS!G16</f>
        <v>5988.1</v>
      </c>
      <c r="G12" s="162">
        <f>CFS!H16</f>
        <v>-1839.7</v>
      </c>
      <c r="H12" s="162">
        <f>'Balance Sheet'!H18-'Balance Sheet'!I18</f>
        <v>-29349.118432174102</v>
      </c>
      <c r="I12" s="162">
        <f>'Balance Sheet'!I18-'Balance Sheet'!J18</f>
        <v>-13178.24184321746</v>
      </c>
      <c r="J12" s="162">
        <f>'Balance Sheet'!J18-'Balance Sheet'!K18</f>
        <v>-14496.066027539142</v>
      </c>
      <c r="K12" s="162">
        <f>'Balance Sheet'!K18-'Balance Sheet'!L18</f>
        <v>-15945.672630293091</v>
      </c>
      <c r="L12" s="162">
        <f>'Balance Sheet'!L18-'Balance Sheet'!M18</f>
        <v>-17540.239893322345</v>
      </c>
      <c r="M12" s="162">
        <f>'Balance Sheet'!M18-'Balance Sheet'!N18</f>
        <v>-16062.474682309985</v>
      </c>
      <c r="N12" s="162">
        <f>'Balance Sheet'!N18-'Balance Sheet'!O18</f>
        <v>-14485.230019927229</v>
      </c>
      <c r="O12" s="162">
        <f>'Balance Sheet'!O18-'Balance Sheet'!P18</f>
        <v>-12894.7073348228</v>
      </c>
      <c r="P12" s="162">
        <f>'Balance Sheet'!P18-'Balance Sheet'!Q18</f>
        <v>-11354.211420966079</v>
      </c>
      <c r="Q12" s="162">
        <f>'Balance Sheet'!Q18-'Balance Sheet'!R18</f>
        <v>-9906.4043567394256</v>
      </c>
    </row>
    <row r="13" spans="1:17" x14ac:dyDescent="0.3">
      <c r="B13" s="170" t="s">
        <v>6</v>
      </c>
      <c r="C13" s="162">
        <f>CFS!D19</f>
        <v>3814.6</v>
      </c>
      <c r="D13" s="162">
        <f>CFS!E19</f>
        <v>3699.2</v>
      </c>
      <c r="E13" s="162">
        <f>CFS!F19</f>
        <v>11823.7</v>
      </c>
      <c r="F13" s="162">
        <f>CFS!G19</f>
        <v>2497.1999999999998</v>
      </c>
      <c r="G13" s="162">
        <f>CFS!H19</f>
        <v>5279.7</v>
      </c>
      <c r="H13" s="162">
        <f>'Balance Sheet'!I48-'Balance Sheet'!H48</f>
        <v>8025.4336170468378</v>
      </c>
      <c r="I13" s="162">
        <f>'Balance Sheet'!J48-'Balance Sheet'!I48</f>
        <v>6986.8833617047057</v>
      </c>
      <c r="J13" s="162">
        <f>'Balance Sheet'!K48-'Balance Sheet'!J48</f>
        <v>7685.5716978751443</v>
      </c>
      <c r="K13" s="162">
        <f>'Balance Sheet'!L48-'Balance Sheet'!K48</f>
        <v>8454.1288676626718</v>
      </c>
      <c r="L13" s="162">
        <f>'Balance Sheet'!M48-'Balance Sheet'!L48</f>
        <v>9299.5417544289376</v>
      </c>
      <c r="M13" s="162">
        <f>'Balance Sheet'!N48-'Balance Sheet'!M48</f>
        <v>8516.0553616183024</v>
      </c>
      <c r="N13" s="162">
        <f>'Balance Sheet'!O48-'Balance Sheet'!N48</f>
        <v>7679.8266279187956</v>
      </c>
      <c r="O13" s="162">
        <f>'Balance Sheet'!P48-'Balance Sheet'!O48</f>
        <v>6836.5581087050814</v>
      </c>
      <c r="P13" s="162">
        <f>'Balance Sheet'!Q48-'Balance Sheet'!P48</f>
        <v>6019.8129466910323</v>
      </c>
      <c r="Q13" s="162">
        <f>'Balance Sheet'!R48-'Balance Sheet'!Q48</f>
        <v>5252.2098621254845</v>
      </c>
    </row>
    <row r="14" spans="1:17" ht="15" thickBot="1" x14ac:dyDescent="0.35">
      <c r="B14" s="202" t="s">
        <v>111</v>
      </c>
      <c r="C14" s="210">
        <f>CFS!D18+CFS!D20+CFS!D21</f>
        <v>31691.9</v>
      </c>
      <c r="D14" s="210">
        <f>CFS!E18+CFS!E20+CFS!E21</f>
        <v>22244.400000000001</v>
      </c>
      <c r="E14" s="210">
        <f>CFS!F18+CFS!F20+CFS!F21</f>
        <v>-46888.2</v>
      </c>
      <c r="F14" s="210">
        <f>CFS!G18+CFS!G20+CFS!G21</f>
        <v>-1392.9</v>
      </c>
      <c r="G14" s="210">
        <f>CFS!H18+CFS!H20+CFS!H21</f>
        <v>9344.9</v>
      </c>
      <c r="H14" s="210">
        <v>0</v>
      </c>
      <c r="I14" s="210">
        <v>0</v>
      </c>
      <c r="J14" s="210">
        <v>0</v>
      </c>
      <c r="K14" s="210">
        <v>0</v>
      </c>
      <c r="L14" s="210">
        <v>0</v>
      </c>
      <c r="M14" s="210">
        <v>0</v>
      </c>
      <c r="N14" s="210">
        <v>0</v>
      </c>
      <c r="O14" s="210">
        <v>0</v>
      </c>
      <c r="P14" s="210">
        <v>0</v>
      </c>
      <c r="Q14" s="210">
        <v>0</v>
      </c>
    </row>
    <row r="15" spans="1:17" ht="15" thickBot="1" x14ac:dyDescent="0.35">
      <c r="B15" s="258" t="s">
        <v>30</v>
      </c>
      <c r="C15" s="227">
        <f>SUM(C11:C14)</f>
        <v>25640.9</v>
      </c>
      <c r="D15" s="227">
        <f t="shared" ref="D15:G15" si="1">SUM(D11:D14)</f>
        <v>15590.5</v>
      </c>
      <c r="E15" s="227">
        <f t="shared" si="1"/>
        <v>-56618.2</v>
      </c>
      <c r="F15" s="227">
        <f t="shared" si="1"/>
        <v>10621.300000000001</v>
      </c>
      <c r="G15" s="227">
        <f t="shared" si="1"/>
        <v>-3235.6000000000004</v>
      </c>
      <c r="H15" s="259">
        <f>SUM(H11:H14)</f>
        <v>-39533.726141469881</v>
      </c>
      <c r="I15" s="259">
        <f t="shared" ref="I15:Q15" si="2">SUM(I11:I14)</f>
        <v>-21058.472614147031</v>
      </c>
      <c r="J15" s="259">
        <f t="shared" si="2"/>
        <v>-23164.319875561705</v>
      </c>
      <c r="K15" s="259">
        <f t="shared" si="2"/>
        <v>-25480.751863117868</v>
      </c>
      <c r="L15" s="259">
        <f t="shared" si="2"/>
        <v>-28028.827049429645</v>
      </c>
      <c r="M15" s="259">
        <f t="shared" si="2"/>
        <v>-25667.39837051522</v>
      </c>
      <c r="N15" s="259">
        <f t="shared" si="2"/>
        <v>-23147.004229646423</v>
      </c>
      <c r="O15" s="259">
        <f t="shared" si="2"/>
        <v>-20605.39216902935</v>
      </c>
      <c r="P15" s="259">
        <f t="shared" si="2"/>
        <v>-18143.721530403505</v>
      </c>
      <c r="Q15" s="259">
        <f t="shared" si="2"/>
        <v>-15830.165156548115</v>
      </c>
    </row>
    <row r="16" spans="1:17" ht="15" thickTop="1" x14ac:dyDescent="0.3">
      <c r="B16" s="206"/>
      <c r="C16" s="205"/>
      <c r="D16" s="205"/>
      <c r="E16" s="205"/>
      <c r="F16" s="205"/>
      <c r="G16" s="205"/>
      <c r="H16" s="205"/>
      <c r="I16" s="205"/>
      <c r="J16" s="205"/>
      <c r="K16" s="205"/>
      <c r="L16" s="205"/>
    </row>
    <row r="17" spans="2:17" x14ac:dyDescent="0.3">
      <c r="B17" s="217" t="s">
        <v>1</v>
      </c>
      <c r="C17" s="175"/>
      <c r="D17" s="175"/>
      <c r="E17" s="175"/>
      <c r="F17" s="175"/>
      <c r="G17" s="175"/>
      <c r="H17" s="175"/>
      <c r="I17" s="175"/>
      <c r="J17" s="175"/>
      <c r="K17" s="175"/>
      <c r="L17" s="175"/>
      <c r="M17" s="175"/>
      <c r="N17" s="175"/>
      <c r="O17" s="175"/>
      <c r="P17" s="175"/>
      <c r="Q17" s="177"/>
    </row>
    <row r="18" spans="2:17" x14ac:dyDescent="0.3">
      <c r="B18" s="170" t="s">
        <v>112</v>
      </c>
      <c r="C18" s="162">
        <f>C21+C20</f>
        <v>123149.4</v>
      </c>
      <c r="D18" s="162">
        <f>C21</f>
        <v>102349.9</v>
      </c>
      <c r="E18" s="162">
        <f t="shared" ref="E18:G18" si="3">D21</f>
        <v>103713.8</v>
      </c>
      <c r="F18" s="162">
        <f t="shared" si="3"/>
        <v>103903.8</v>
      </c>
      <c r="G18" s="162">
        <f t="shared" si="3"/>
        <v>101923.2</v>
      </c>
      <c r="H18" s="162">
        <f t="shared" ref="H18" si="4">G21</f>
        <v>100359.4</v>
      </c>
      <c r="I18" s="162">
        <f t="shared" ref="I18" si="5">H21</f>
        <v>98762.427554309514</v>
      </c>
      <c r="J18" s="162">
        <f t="shared" ref="J18" si="6">I21</f>
        <v>97693.089353832678</v>
      </c>
      <c r="K18" s="162">
        <f t="shared" ref="K18" si="7">J21</f>
        <v>96768.011336222087</v>
      </c>
      <c r="L18" s="162">
        <f t="shared" ref="L18" si="8">K21</f>
        <v>96202.660525317304</v>
      </c>
      <c r="M18" s="162">
        <f t="shared" ref="M18" si="9">L21</f>
        <v>95656.950274684597</v>
      </c>
      <c r="N18" s="162">
        <f t="shared" ref="N18" si="10">M21</f>
        <v>95375.80448236558</v>
      </c>
      <c r="O18" s="162">
        <f t="shared" ref="O18" si="11">N21</f>
        <v>95042.662534427189</v>
      </c>
      <c r="P18" s="162">
        <f t="shared" ref="P18" si="12">O21</f>
        <v>94920.84119786034</v>
      </c>
      <c r="Q18" s="162">
        <f t="shared" ref="Q18" si="13">P21</f>
        <v>94581.018360609713</v>
      </c>
    </row>
    <row r="19" spans="2:17" x14ac:dyDescent="0.3">
      <c r="B19" s="256" t="s">
        <v>113</v>
      </c>
      <c r="C19" s="162">
        <v>0</v>
      </c>
      <c r="D19" s="162">
        <f t="shared" ref="D19:G19" si="14">D21-D18+D20</f>
        <v>22801.30000000001</v>
      </c>
      <c r="E19" s="162">
        <f t="shared" si="14"/>
        <v>25484.3</v>
      </c>
      <c r="F19" s="162">
        <f t="shared" si="14"/>
        <v>23585.799999999996</v>
      </c>
      <c r="G19" s="162">
        <f t="shared" si="14"/>
        <v>24190.1</v>
      </c>
      <c r="H19" s="162">
        <f>AVERAGE(D19:G19)</f>
        <v>24015.375</v>
      </c>
      <c r="I19" s="162">
        <f>H19*(1+0.005)</f>
        <v>24135.451874999999</v>
      </c>
      <c r="J19" s="162">
        <f t="shared" ref="J19:Q19" si="15">I19*(1+0.005)</f>
        <v>24256.129134374994</v>
      </c>
      <c r="K19" s="162">
        <f t="shared" si="15"/>
        <v>24377.409780046866</v>
      </c>
      <c r="L19" s="162">
        <f t="shared" si="15"/>
        <v>24499.296828947099</v>
      </c>
      <c r="M19" s="162">
        <f t="shared" si="15"/>
        <v>24621.793313091832</v>
      </c>
      <c r="N19" s="162">
        <f t="shared" si="15"/>
        <v>24744.90227965729</v>
      </c>
      <c r="O19" s="162">
        <f t="shared" si="15"/>
        <v>24868.626791055573</v>
      </c>
      <c r="P19" s="162">
        <f t="shared" si="15"/>
        <v>24992.969925010846</v>
      </c>
      <c r="Q19" s="162">
        <f t="shared" si="15"/>
        <v>25117.934774635898</v>
      </c>
    </row>
    <row r="20" spans="2:17" ht="15" thickBot="1" x14ac:dyDescent="0.35">
      <c r="B20" s="202" t="s">
        <v>114</v>
      </c>
      <c r="C20" s="210">
        <f>'Income Statement'!C15</f>
        <v>20799.5</v>
      </c>
      <c r="D20" s="210">
        <f>'Income Statement'!D15</f>
        <v>21437.4</v>
      </c>
      <c r="E20" s="210">
        <f>'Income Statement'!E15</f>
        <v>25294.3</v>
      </c>
      <c r="F20" s="210">
        <f>'Income Statement'!F15</f>
        <v>25566.400000000001</v>
      </c>
      <c r="G20" s="210">
        <f>'Income Statement'!G15</f>
        <v>25753.9</v>
      </c>
      <c r="H20" s="210">
        <f>H18*Assumptions!H14</f>
        <v>25612.347445690481</v>
      </c>
      <c r="I20" s="210">
        <f>I18*Assumptions!I14</f>
        <v>25204.790075476842</v>
      </c>
      <c r="J20" s="210">
        <f>J18*Assumptions!J14</f>
        <v>25181.207151985574</v>
      </c>
      <c r="K20" s="210">
        <f>K18*Assumptions!K14</f>
        <v>24942.760590951661</v>
      </c>
      <c r="L20" s="210">
        <f>L18*Assumptions!L14</f>
        <v>25045.007079579806</v>
      </c>
      <c r="M20" s="210">
        <f>M18*Assumptions!M14</f>
        <v>24902.939105410849</v>
      </c>
      <c r="N20" s="210">
        <f>N18*Assumptions!N14</f>
        <v>25078.044227595674</v>
      </c>
      <c r="O20" s="210">
        <f>O18*Assumptions!O14</f>
        <v>24990.448127622425</v>
      </c>
      <c r="P20" s="210">
        <f>P18*Assumptions!P14</f>
        <v>25332.792762261462</v>
      </c>
      <c r="Q20" s="210">
        <f>Q18*Assumptions!Q14</f>
        <v>25242.099702620228</v>
      </c>
    </row>
    <row r="21" spans="2:17" ht="15" thickBot="1" x14ac:dyDescent="0.35">
      <c r="B21" s="258" t="s">
        <v>115</v>
      </c>
      <c r="C21" s="227">
        <f>'Balance Sheet'!D11</f>
        <v>102349.9</v>
      </c>
      <c r="D21" s="227">
        <f>'Balance Sheet'!E11</f>
        <v>103713.8</v>
      </c>
      <c r="E21" s="227">
        <f>'Balance Sheet'!F11</f>
        <v>103903.8</v>
      </c>
      <c r="F21" s="227">
        <f>'Balance Sheet'!G11</f>
        <v>101923.2</v>
      </c>
      <c r="G21" s="227">
        <f>'Balance Sheet'!H11</f>
        <v>100359.4</v>
      </c>
      <c r="H21" s="227">
        <f>H18+H19-H20</f>
        <v>98762.427554309514</v>
      </c>
      <c r="I21" s="227">
        <f t="shared" ref="I21:Q21" si="16">I18+I19-I20</f>
        <v>97693.089353832678</v>
      </c>
      <c r="J21" s="227">
        <f t="shared" si="16"/>
        <v>96768.011336222087</v>
      </c>
      <c r="K21" s="227">
        <f t="shared" si="16"/>
        <v>96202.660525317304</v>
      </c>
      <c r="L21" s="227">
        <f t="shared" si="16"/>
        <v>95656.950274684597</v>
      </c>
      <c r="M21" s="227">
        <f t="shared" si="16"/>
        <v>95375.80448236558</v>
      </c>
      <c r="N21" s="227">
        <f t="shared" si="16"/>
        <v>95042.662534427189</v>
      </c>
      <c r="O21" s="227">
        <f t="shared" si="16"/>
        <v>94920.84119786034</v>
      </c>
      <c r="P21" s="227">
        <f t="shared" si="16"/>
        <v>94581.018360609713</v>
      </c>
      <c r="Q21" s="227">
        <f t="shared" si="16"/>
        <v>94456.853432625387</v>
      </c>
    </row>
    <row r="22" spans="2:17" ht="15" thickTop="1" x14ac:dyDescent="0.3">
      <c r="B22" s="206"/>
      <c r="C22" s="205"/>
      <c r="D22" s="205"/>
      <c r="E22" s="205"/>
      <c r="F22" s="205"/>
      <c r="G22" s="205"/>
      <c r="H22" s="205"/>
      <c r="I22" s="205"/>
      <c r="J22" s="205"/>
      <c r="K22" s="205"/>
      <c r="L22" s="205"/>
    </row>
    <row r="23" spans="2:17" x14ac:dyDescent="0.3">
      <c r="B23" s="217" t="s">
        <v>116</v>
      </c>
      <c r="C23" s="175"/>
      <c r="D23" s="175"/>
      <c r="E23" s="175"/>
      <c r="F23" s="175"/>
      <c r="G23" s="175"/>
      <c r="H23" s="175"/>
      <c r="I23" s="175"/>
      <c r="J23" s="175"/>
      <c r="K23" s="175"/>
      <c r="L23" s="175"/>
      <c r="M23" s="175"/>
      <c r="N23" s="175"/>
      <c r="O23" s="175"/>
      <c r="P23" s="175"/>
      <c r="Q23" s="177"/>
    </row>
    <row r="24" spans="2:17" x14ac:dyDescent="0.3">
      <c r="B24" s="170" t="s">
        <v>117</v>
      </c>
      <c r="C24" s="162">
        <v>33430.400000000001</v>
      </c>
      <c r="D24" s="162">
        <f>C26</f>
        <v>35234.800000000003</v>
      </c>
      <c r="E24" s="162">
        <f t="shared" ref="E24:G24" si="17">D26</f>
        <v>9306.9</v>
      </c>
      <c r="F24" s="162">
        <f t="shared" si="17"/>
        <v>61978.8</v>
      </c>
      <c r="G24" s="162">
        <f t="shared" si="17"/>
        <v>28456.899999999998</v>
      </c>
      <c r="H24" s="162">
        <f>G26</f>
        <v>18696.3</v>
      </c>
      <c r="I24" s="162">
        <f t="shared" ref="I24:L24" si="18">H26</f>
        <v>18696.3</v>
      </c>
      <c r="J24" s="162">
        <f t="shared" si="18"/>
        <v>18696.3</v>
      </c>
      <c r="K24" s="162">
        <f t="shared" si="18"/>
        <v>18696.3</v>
      </c>
      <c r="L24" s="162">
        <f t="shared" si="18"/>
        <v>18696.3</v>
      </c>
      <c r="M24" s="162">
        <f t="shared" ref="M24" si="19">L26</f>
        <v>18696.3</v>
      </c>
      <c r="N24" s="162">
        <f t="shared" ref="N24" si="20">M26</f>
        <v>18696.3</v>
      </c>
      <c r="O24" s="162">
        <f t="shared" ref="O24" si="21">N26</f>
        <v>18696.3</v>
      </c>
      <c r="P24" s="162">
        <f t="shared" ref="P24" si="22">O26</f>
        <v>18696.3</v>
      </c>
      <c r="Q24" s="162">
        <f t="shared" ref="Q24" si="23">P26</f>
        <v>18696.3</v>
      </c>
    </row>
    <row r="25" spans="2:17" ht="15" thickBot="1" x14ac:dyDescent="0.35">
      <c r="B25" s="260" t="s">
        <v>118</v>
      </c>
      <c r="C25" s="210">
        <f>C26-C24</f>
        <v>1804.4000000000015</v>
      </c>
      <c r="D25" s="210">
        <f t="shared" ref="D25:G25" si="24">D26-D24</f>
        <v>-25927.9</v>
      </c>
      <c r="E25" s="210">
        <f t="shared" si="24"/>
        <v>52671.9</v>
      </c>
      <c r="F25" s="210">
        <f t="shared" si="24"/>
        <v>-33521.900000000009</v>
      </c>
      <c r="G25" s="210">
        <f t="shared" si="24"/>
        <v>-9760.5999999999985</v>
      </c>
      <c r="H25" s="210">
        <v>0</v>
      </c>
      <c r="I25" s="210">
        <v>0</v>
      </c>
      <c r="J25" s="210">
        <v>0</v>
      </c>
      <c r="K25" s="210">
        <v>0</v>
      </c>
      <c r="L25" s="210">
        <v>0</v>
      </c>
      <c r="M25" s="210">
        <v>0</v>
      </c>
      <c r="N25" s="210">
        <v>0</v>
      </c>
      <c r="O25" s="210">
        <v>0</v>
      </c>
      <c r="P25" s="210">
        <v>0</v>
      </c>
      <c r="Q25" s="210">
        <v>0</v>
      </c>
    </row>
    <row r="26" spans="2:17" ht="15" thickBot="1" x14ac:dyDescent="0.35">
      <c r="B26" s="258" t="s">
        <v>119</v>
      </c>
      <c r="C26" s="227">
        <f>'Balance Sheet'!D38+'Balance Sheet'!D46</f>
        <v>35234.800000000003</v>
      </c>
      <c r="D26" s="227">
        <f>'Balance Sheet'!E38+'Balance Sheet'!E46</f>
        <v>9306.9</v>
      </c>
      <c r="E26" s="227">
        <f>'Balance Sheet'!F38+'Balance Sheet'!F46</f>
        <v>61978.8</v>
      </c>
      <c r="F26" s="227">
        <f>'Balance Sheet'!G38+'Balance Sheet'!G46</f>
        <v>28456.899999999998</v>
      </c>
      <c r="G26" s="227">
        <f>'Balance Sheet'!H38+'Balance Sheet'!H46</f>
        <v>18696.3</v>
      </c>
      <c r="H26" s="227">
        <f>H24+H25</f>
        <v>18696.3</v>
      </c>
      <c r="I26" s="227">
        <f t="shared" ref="I26:Q26" si="25">I24+I25</f>
        <v>18696.3</v>
      </c>
      <c r="J26" s="227">
        <f t="shared" si="25"/>
        <v>18696.3</v>
      </c>
      <c r="K26" s="227">
        <f t="shared" si="25"/>
        <v>18696.3</v>
      </c>
      <c r="L26" s="227">
        <f t="shared" si="25"/>
        <v>18696.3</v>
      </c>
      <c r="M26" s="227">
        <f t="shared" si="25"/>
        <v>18696.3</v>
      </c>
      <c r="N26" s="227">
        <f t="shared" si="25"/>
        <v>18696.3</v>
      </c>
      <c r="O26" s="227">
        <f t="shared" si="25"/>
        <v>18696.3</v>
      </c>
      <c r="P26" s="227">
        <f t="shared" si="25"/>
        <v>18696.3</v>
      </c>
      <c r="Q26" s="227">
        <f t="shared" si="25"/>
        <v>18696.3</v>
      </c>
    </row>
    <row r="27" spans="2:17" ht="15" thickTop="1" x14ac:dyDescent="0.3">
      <c r="B27" s="261" t="s">
        <v>120</v>
      </c>
      <c r="C27" s="165">
        <f>'Income Statement'!C17</f>
        <v>1414.3</v>
      </c>
      <c r="D27" s="165">
        <f>'Income Statement'!D17</f>
        <v>1273.5</v>
      </c>
      <c r="E27" s="165">
        <f>'Income Statement'!E17</f>
        <v>1720</v>
      </c>
      <c r="F27" s="165">
        <f>'Income Statement'!F17</f>
        <v>2384.6999999999998</v>
      </c>
      <c r="G27" s="165">
        <f>'Income Statement'!G17</f>
        <v>2313.6</v>
      </c>
      <c r="H27" s="165">
        <f>H24*Assumptions!H15</f>
        <v>1520.0446879315737</v>
      </c>
      <c r="I27" s="165">
        <f>I24*Assumptions!I15</f>
        <v>1520.0446879315737</v>
      </c>
      <c r="J27" s="165">
        <f>J24*Assumptions!J15</f>
        <v>1520.0446879315737</v>
      </c>
      <c r="K27" s="165">
        <f>K24*Assumptions!K15</f>
        <v>1520.0446879315737</v>
      </c>
      <c r="L27" s="165">
        <f>L24*Assumptions!L15</f>
        <v>1520.0446879315737</v>
      </c>
      <c r="M27" s="165">
        <f>M24*Assumptions!M15</f>
        <v>1520.0446879315737</v>
      </c>
      <c r="N27" s="165">
        <f>N24*Assumptions!N15</f>
        <v>1520.0446879315737</v>
      </c>
      <c r="O27" s="165">
        <f>O24*Assumptions!O15</f>
        <v>1520.0446879315737</v>
      </c>
      <c r="P27" s="165">
        <f>P24*Assumptions!P15</f>
        <v>1520.0446879315737</v>
      </c>
      <c r="Q27" s="165">
        <f>Q24*Assumptions!Q15</f>
        <v>1520.0446879315737</v>
      </c>
    </row>
  </sheetData>
  <mergeCells count="3">
    <mergeCell ref="C8:G8"/>
    <mergeCell ref="N6:Q6"/>
    <mergeCell ref="H8:Q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S59"/>
  <sheetViews>
    <sheetView showGridLines="0" zoomScale="81" zoomScaleNormal="96" workbookViewId="0">
      <selection activeCell="I11" sqref="I11"/>
    </sheetView>
  </sheetViews>
  <sheetFormatPr defaultRowHeight="14.4" x14ac:dyDescent="0.3"/>
  <cols>
    <col min="1" max="1" width="3.109375" customWidth="1"/>
    <col min="2" max="2" width="38.44140625" bestFit="1" customWidth="1"/>
    <col min="4" max="8" width="13" bestFit="1" customWidth="1"/>
    <col min="9" max="9" width="18.33203125" bestFit="1" customWidth="1"/>
    <col min="10" max="10" width="14.77734375" bestFit="1" customWidth="1"/>
    <col min="11" max="11" width="14.44140625" bestFit="1" customWidth="1"/>
    <col min="12" max="13" width="14.77734375" bestFit="1" customWidth="1"/>
    <col min="14" max="14" width="19.77734375" bestFit="1" customWidth="1"/>
    <col min="15" max="18" width="19.6640625" style="323" bestFit="1" customWidth="1"/>
    <col min="19" max="19" width="2.77734375" style="323" customWidth="1"/>
    <col min="20" max="16384" width="8.88671875" style="255"/>
  </cols>
  <sheetData>
    <row r="1" spans="1:18" x14ac:dyDescent="0.3">
      <c r="A1" s="26"/>
      <c r="B1" s="40"/>
      <c r="C1" s="40"/>
      <c r="D1" s="40"/>
      <c r="E1" s="40"/>
      <c r="F1" s="40"/>
      <c r="G1" s="40"/>
      <c r="H1" s="40"/>
      <c r="I1" s="40"/>
      <c r="J1" s="40"/>
      <c r="K1" s="40"/>
      <c r="L1" s="40"/>
      <c r="M1" s="40"/>
      <c r="N1" s="40"/>
      <c r="O1" s="40"/>
      <c r="P1" s="40"/>
      <c r="Q1" s="40"/>
      <c r="R1" s="40"/>
    </row>
    <row r="2" spans="1:18" x14ac:dyDescent="0.3">
      <c r="A2" s="26"/>
      <c r="B2" s="40"/>
      <c r="C2" s="40"/>
      <c r="D2" s="40"/>
      <c r="E2" s="40"/>
      <c r="F2" s="40"/>
      <c r="G2" s="40"/>
      <c r="H2" s="40"/>
      <c r="I2" s="40"/>
      <c r="J2" s="40"/>
      <c r="K2" s="40"/>
      <c r="L2" s="40"/>
      <c r="M2" s="40"/>
      <c r="N2" s="40"/>
      <c r="O2" s="40"/>
      <c r="P2" s="40"/>
      <c r="Q2" s="40"/>
      <c r="R2" s="40"/>
    </row>
    <row r="3" spans="1:18" x14ac:dyDescent="0.3">
      <c r="B3" s="40"/>
      <c r="C3" s="40"/>
      <c r="D3" s="40"/>
      <c r="E3" s="40"/>
      <c r="F3" s="40"/>
      <c r="G3" s="40"/>
      <c r="H3" s="40"/>
      <c r="I3" s="40"/>
      <c r="J3" s="40"/>
      <c r="K3" s="40"/>
      <c r="L3" s="40"/>
      <c r="M3" s="40"/>
      <c r="N3" s="40"/>
      <c r="O3" s="40"/>
      <c r="P3" s="40"/>
      <c r="Q3" s="40"/>
      <c r="R3" s="40"/>
    </row>
    <row r="4" spans="1:18" x14ac:dyDescent="0.3">
      <c r="B4" s="40"/>
      <c r="C4" s="40"/>
      <c r="D4" s="40"/>
      <c r="E4" s="40"/>
      <c r="F4" s="40"/>
      <c r="G4" s="40"/>
      <c r="H4" s="40"/>
      <c r="I4" s="40"/>
      <c r="J4" s="40"/>
      <c r="K4" s="40"/>
      <c r="L4" s="40"/>
      <c r="M4" s="40"/>
      <c r="N4" s="40"/>
      <c r="O4" s="40"/>
      <c r="P4" s="40"/>
      <c r="Q4" s="40"/>
      <c r="R4" s="40"/>
    </row>
    <row r="5" spans="1:18" x14ac:dyDescent="0.3">
      <c r="A5" s="26"/>
      <c r="B5" s="40"/>
      <c r="C5" s="40"/>
      <c r="D5" s="40"/>
      <c r="E5" s="40"/>
      <c r="F5" s="40"/>
      <c r="G5" s="40"/>
      <c r="H5" s="40"/>
      <c r="I5" s="40"/>
      <c r="J5" s="40"/>
      <c r="K5" s="40"/>
      <c r="L5" s="40"/>
      <c r="M5" s="40"/>
      <c r="N5" s="40"/>
      <c r="O5" s="40"/>
      <c r="P5" s="40"/>
      <c r="Q5" s="40"/>
      <c r="R5" s="40"/>
    </row>
    <row r="6" spans="1:18" x14ac:dyDescent="0.3">
      <c r="A6" s="27"/>
      <c r="B6" s="27"/>
      <c r="C6" s="27"/>
      <c r="D6" s="27"/>
      <c r="E6" s="27"/>
      <c r="F6" s="27"/>
      <c r="G6" s="27"/>
      <c r="H6" s="27"/>
      <c r="N6" s="58"/>
      <c r="O6" s="494" t="s">
        <v>276</v>
      </c>
      <c r="P6" s="494"/>
      <c r="Q6" s="494"/>
      <c r="R6" s="494"/>
    </row>
    <row r="7" spans="1:18" x14ac:dyDescent="0.3">
      <c r="B7" s="192"/>
      <c r="C7" s="193"/>
      <c r="D7" s="482" t="s">
        <v>13</v>
      </c>
      <c r="E7" s="483"/>
      <c r="F7" s="483"/>
      <c r="G7" s="483"/>
      <c r="H7" s="483"/>
      <c r="I7" s="511" t="s">
        <v>12</v>
      </c>
      <c r="J7" s="512"/>
      <c r="K7" s="512"/>
      <c r="L7" s="512"/>
      <c r="M7" s="512"/>
      <c r="N7" s="512"/>
      <c r="O7" s="512"/>
      <c r="P7" s="512"/>
      <c r="Q7" s="512"/>
      <c r="R7" s="513"/>
    </row>
    <row r="8" spans="1:18" ht="15.6" x14ac:dyDescent="0.3">
      <c r="B8" s="215" t="s">
        <v>14</v>
      </c>
      <c r="C8" s="195"/>
      <c r="D8" s="119">
        <v>44286</v>
      </c>
      <c r="E8" s="119">
        <v>44651</v>
      </c>
      <c r="F8" s="119">
        <v>45016</v>
      </c>
      <c r="G8" s="119">
        <v>45382</v>
      </c>
      <c r="H8" s="119">
        <v>45747</v>
      </c>
      <c r="I8" s="325">
        <v>46112</v>
      </c>
      <c r="J8" s="325">
        <v>46477</v>
      </c>
      <c r="K8" s="325">
        <v>46843</v>
      </c>
      <c r="L8" s="325">
        <v>47208</v>
      </c>
      <c r="M8" s="325">
        <v>47573</v>
      </c>
      <c r="N8" s="325">
        <f>M8+365</f>
        <v>47938</v>
      </c>
      <c r="O8" s="325">
        <f t="shared" ref="O8:R8" si="0">N8+365</f>
        <v>48303</v>
      </c>
      <c r="P8" s="325">
        <f t="shared" si="0"/>
        <v>48668</v>
      </c>
      <c r="Q8" s="325">
        <f t="shared" si="0"/>
        <v>49033</v>
      </c>
      <c r="R8" s="325">
        <f t="shared" si="0"/>
        <v>49398</v>
      </c>
    </row>
    <row r="9" spans="1:18" ht="15.6" x14ac:dyDescent="0.3">
      <c r="B9" s="509" t="s">
        <v>9</v>
      </c>
      <c r="C9" s="510"/>
      <c r="D9" s="143"/>
      <c r="E9" s="143"/>
      <c r="F9" s="143"/>
      <c r="G9" s="143"/>
      <c r="H9" s="143"/>
      <c r="I9" s="143"/>
      <c r="J9" s="143"/>
      <c r="K9" s="143"/>
      <c r="L9" s="143"/>
      <c r="M9" s="326"/>
      <c r="N9" s="326"/>
      <c r="O9" s="327"/>
      <c r="P9" s="327"/>
      <c r="Q9" s="327"/>
      <c r="R9" s="328"/>
    </row>
    <row r="10" spans="1:18" ht="15.6" x14ac:dyDescent="0.3">
      <c r="B10" s="145" t="s">
        <v>179</v>
      </c>
      <c r="C10" s="146"/>
      <c r="D10" s="199"/>
      <c r="E10" s="143"/>
      <c r="F10" s="143"/>
      <c r="G10" s="143"/>
      <c r="H10" s="143"/>
      <c r="I10" s="143"/>
      <c r="J10" s="143"/>
      <c r="K10" s="143"/>
      <c r="L10" s="143"/>
      <c r="M10" s="143"/>
      <c r="N10" s="143"/>
      <c r="O10" s="329"/>
      <c r="P10" s="329"/>
      <c r="Q10" s="329"/>
      <c r="R10" s="330"/>
    </row>
    <row r="11" spans="1:18" x14ac:dyDescent="0.3">
      <c r="B11" s="196" t="s">
        <v>139</v>
      </c>
      <c r="C11" s="159"/>
      <c r="D11" s="151">
        <f>Historical!D38</f>
        <v>102349.9</v>
      </c>
      <c r="E11" s="151">
        <f>Historical!E38</f>
        <v>103713.8</v>
      </c>
      <c r="F11" s="151">
        <f>Historical!F38</f>
        <v>103903.8</v>
      </c>
      <c r="G11" s="151">
        <f>Historical!G38</f>
        <v>101923.2</v>
      </c>
      <c r="H11" s="151">
        <f>Historical!H38</f>
        <v>100359.4</v>
      </c>
      <c r="I11" s="162">
        <f>Schedules!H21</f>
        <v>98762.427554309514</v>
      </c>
      <c r="J11" s="162">
        <f>Schedules!I21</f>
        <v>97693.089353832678</v>
      </c>
      <c r="K11" s="162">
        <f>Schedules!J21</f>
        <v>96768.011336222087</v>
      </c>
      <c r="L11" s="162">
        <f>Schedules!K21</f>
        <v>96202.660525317304</v>
      </c>
      <c r="M11" s="162">
        <f>Schedules!L21</f>
        <v>95656.950274684597</v>
      </c>
      <c r="N11" s="162">
        <f>Schedules!M21</f>
        <v>95375.80448236558</v>
      </c>
      <c r="O11" s="162">
        <f>Schedules!N21</f>
        <v>95042.662534427189</v>
      </c>
      <c r="P11" s="162">
        <f>Schedules!O21</f>
        <v>94920.84119786034</v>
      </c>
      <c r="Q11" s="162">
        <f>Schedules!P21</f>
        <v>94581.018360609713</v>
      </c>
      <c r="R11" s="162">
        <f>Schedules!Q21</f>
        <v>94456.853432625387</v>
      </c>
    </row>
    <row r="12" spans="1:18" x14ac:dyDescent="0.3">
      <c r="B12" s="196" t="s">
        <v>140</v>
      </c>
      <c r="C12" s="159"/>
      <c r="D12" s="151">
        <f>Historical!D39</f>
        <v>9365.2000000000007</v>
      </c>
      <c r="E12" s="151">
        <f>Historical!E39</f>
        <v>7975.1</v>
      </c>
      <c r="F12" s="151">
        <f>Historical!F39</f>
        <v>9633.5</v>
      </c>
      <c r="G12" s="151">
        <f>Historical!G39</f>
        <v>11077.3</v>
      </c>
      <c r="H12" s="151">
        <f>Historical!H39</f>
        <v>12343.4</v>
      </c>
      <c r="I12" s="151">
        <f>H12</f>
        <v>12343.4</v>
      </c>
      <c r="J12" s="151">
        <f t="shared" ref="J12:R12" si="1">I12</f>
        <v>12343.4</v>
      </c>
      <c r="K12" s="151">
        <f t="shared" si="1"/>
        <v>12343.4</v>
      </c>
      <c r="L12" s="151">
        <f t="shared" si="1"/>
        <v>12343.4</v>
      </c>
      <c r="M12" s="151">
        <f t="shared" si="1"/>
        <v>12343.4</v>
      </c>
      <c r="N12" s="151">
        <f t="shared" si="1"/>
        <v>12343.4</v>
      </c>
      <c r="O12" s="151">
        <f t="shared" si="1"/>
        <v>12343.4</v>
      </c>
      <c r="P12" s="151">
        <f t="shared" si="1"/>
        <v>12343.4</v>
      </c>
      <c r="Q12" s="151">
        <f t="shared" si="1"/>
        <v>12343.4</v>
      </c>
      <c r="R12" s="151">
        <f t="shared" si="1"/>
        <v>12343.4</v>
      </c>
    </row>
    <row r="13" spans="1:18" x14ac:dyDescent="0.3">
      <c r="B13" s="196" t="s">
        <v>141</v>
      </c>
      <c r="C13" s="159"/>
      <c r="D13" s="151">
        <f>Historical!D40</f>
        <v>62876.4</v>
      </c>
      <c r="E13" s="151">
        <f>Historical!E40</f>
        <v>65494.5</v>
      </c>
      <c r="F13" s="151">
        <f>Historical!F40</f>
        <v>87127.1</v>
      </c>
      <c r="G13" s="151">
        <f>Historical!G40</f>
        <v>85689.9</v>
      </c>
      <c r="H13" s="151">
        <f>Historical!H40</f>
        <v>89394.2</v>
      </c>
      <c r="I13" s="151">
        <f>H13</f>
        <v>89394.2</v>
      </c>
      <c r="J13" s="151">
        <f t="shared" ref="J13:R13" si="2">I13</f>
        <v>89394.2</v>
      </c>
      <c r="K13" s="151">
        <f t="shared" si="2"/>
        <v>89394.2</v>
      </c>
      <c r="L13" s="151">
        <f t="shared" si="2"/>
        <v>89394.2</v>
      </c>
      <c r="M13" s="151">
        <f t="shared" si="2"/>
        <v>89394.2</v>
      </c>
      <c r="N13" s="151">
        <f t="shared" si="2"/>
        <v>89394.2</v>
      </c>
      <c r="O13" s="151">
        <f t="shared" si="2"/>
        <v>89394.2</v>
      </c>
      <c r="P13" s="151">
        <f t="shared" si="2"/>
        <v>89394.2</v>
      </c>
      <c r="Q13" s="151">
        <f t="shared" si="2"/>
        <v>89394.2</v>
      </c>
      <c r="R13" s="151">
        <f t="shared" si="2"/>
        <v>89394.2</v>
      </c>
    </row>
    <row r="14" spans="1:18" x14ac:dyDescent="0.3">
      <c r="B14" s="197" t="s">
        <v>144</v>
      </c>
      <c r="C14" s="198"/>
      <c r="D14" s="151">
        <f>Historical!D43</f>
        <v>65788.5</v>
      </c>
      <c r="E14" s="151">
        <f>Historical!E43</f>
        <v>53412.600000000006</v>
      </c>
      <c r="F14" s="151">
        <f>Historical!F43</f>
        <v>56233.8</v>
      </c>
      <c r="G14" s="151">
        <f>Historical!G43</f>
        <v>65600.3</v>
      </c>
      <c r="H14" s="151">
        <f>Historical!H43</f>
        <v>48775.3</v>
      </c>
      <c r="I14" s="151">
        <f>H14</f>
        <v>48775.3</v>
      </c>
      <c r="J14" s="151">
        <f t="shared" ref="J14:R14" si="3">I14</f>
        <v>48775.3</v>
      </c>
      <c r="K14" s="151">
        <f t="shared" si="3"/>
        <v>48775.3</v>
      </c>
      <c r="L14" s="151">
        <f t="shared" si="3"/>
        <v>48775.3</v>
      </c>
      <c r="M14" s="151">
        <f t="shared" si="3"/>
        <v>48775.3</v>
      </c>
      <c r="N14" s="151">
        <f t="shared" si="3"/>
        <v>48775.3</v>
      </c>
      <c r="O14" s="151">
        <f t="shared" si="3"/>
        <v>48775.3</v>
      </c>
      <c r="P14" s="151">
        <f t="shared" si="3"/>
        <v>48775.3</v>
      </c>
      <c r="Q14" s="151">
        <f t="shared" si="3"/>
        <v>48775.3</v>
      </c>
      <c r="R14" s="151">
        <f t="shared" si="3"/>
        <v>48775.3</v>
      </c>
    </row>
    <row r="15" spans="1:18" ht="15" thickBot="1" x14ac:dyDescent="0.35">
      <c r="B15" s="201" t="s">
        <v>150</v>
      </c>
      <c r="C15" s="163"/>
      <c r="D15" s="210">
        <f>Historical!D41+Historical!D42+Historical!D44+Historical!D45+Historical!D46</f>
        <v>131866.20000000001</v>
      </c>
      <c r="E15" s="210">
        <f>Historical!E41+Historical!E42+Historical!E44+Historical!E45+Historical!E46</f>
        <v>117252.9</v>
      </c>
      <c r="F15" s="210">
        <f>Historical!F41+Historical!F42+Historical!F44+Historical!F45+Historical!F46</f>
        <v>151704.29999999999</v>
      </c>
      <c r="G15" s="210">
        <f>Historical!G41+Historical!G42+Historical!G44+Historical!G45+Historical!G46</f>
        <v>155955.99999999997</v>
      </c>
      <c r="H15" s="210">
        <f>Historical!H41+Historical!H42+Historical!H44+Historical!H45+Historical!H46</f>
        <v>143888.80000000002</v>
      </c>
      <c r="I15" s="210">
        <f>H15</f>
        <v>143888.80000000002</v>
      </c>
      <c r="J15" s="210">
        <f t="shared" ref="J15:R15" si="4">I15</f>
        <v>143888.80000000002</v>
      </c>
      <c r="K15" s="210">
        <f t="shared" si="4"/>
        <v>143888.80000000002</v>
      </c>
      <c r="L15" s="210">
        <f t="shared" si="4"/>
        <v>143888.80000000002</v>
      </c>
      <c r="M15" s="210">
        <f t="shared" si="4"/>
        <v>143888.80000000002</v>
      </c>
      <c r="N15" s="210">
        <f t="shared" si="4"/>
        <v>143888.80000000002</v>
      </c>
      <c r="O15" s="210">
        <f t="shared" si="4"/>
        <v>143888.80000000002</v>
      </c>
      <c r="P15" s="210">
        <f t="shared" si="4"/>
        <v>143888.80000000002</v>
      </c>
      <c r="Q15" s="210">
        <f t="shared" si="4"/>
        <v>143888.80000000002</v>
      </c>
      <c r="R15" s="210">
        <f t="shared" si="4"/>
        <v>143888.80000000002</v>
      </c>
    </row>
    <row r="16" spans="1:18" ht="15" thickBot="1" x14ac:dyDescent="0.35">
      <c r="B16" s="156" t="s">
        <v>151</v>
      </c>
      <c r="C16" s="168"/>
      <c r="D16" s="133">
        <f>SUM(D11:D15)</f>
        <v>372246.2</v>
      </c>
      <c r="E16" s="133">
        <f t="shared" ref="E16:H16" si="5">SUM(E11:E15)</f>
        <v>347848.9</v>
      </c>
      <c r="F16" s="133">
        <f t="shared" si="5"/>
        <v>408602.5</v>
      </c>
      <c r="G16" s="133">
        <f t="shared" si="5"/>
        <v>420246.69999999995</v>
      </c>
      <c r="H16" s="133">
        <f t="shared" si="5"/>
        <v>394761.1</v>
      </c>
      <c r="I16" s="133">
        <f t="shared" ref="I16" si="6">SUM(I11:I15)</f>
        <v>393164.12755430955</v>
      </c>
      <c r="J16" s="133">
        <f t="shared" ref="J16" si="7">SUM(J11:J15)</f>
        <v>392094.78935383272</v>
      </c>
      <c r="K16" s="133">
        <f t="shared" ref="K16" si="8">SUM(K11:K15)</f>
        <v>391169.71133622213</v>
      </c>
      <c r="L16" s="133">
        <f t="shared" ref="L16" si="9">SUM(L11:L15)</f>
        <v>390604.36052531726</v>
      </c>
      <c r="M16" s="133">
        <f t="shared" ref="M16:R16" si="10">SUM(M11:M15)</f>
        <v>390058.65027468465</v>
      </c>
      <c r="N16" s="133">
        <f t="shared" si="10"/>
        <v>389777.50448236556</v>
      </c>
      <c r="O16" s="133">
        <f t="shared" si="10"/>
        <v>389444.3625344272</v>
      </c>
      <c r="P16" s="133">
        <f t="shared" si="10"/>
        <v>389322.54119786038</v>
      </c>
      <c r="Q16" s="133">
        <f t="shared" si="10"/>
        <v>388982.71836060972</v>
      </c>
      <c r="R16" s="133">
        <f t="shared" si="10"/>
        <v>388858.55343262537</v>
      </c>
    </row>
    <row r="17" spans="2:18" ht="16.2" thickTop="1" x14ac:dyDescent="0.3">
      <c r="B17" s="166" t="s">
        <v>180</v>
      </c>
      <c r="C17" s="203"/>
      <c r="D17" s="204"/>
      <c r="E17" s="205"/>
      <c r="F17" s="205"/>
      <c r="G17" s="205"/>
      <c r="H17" s="205"/>
      <c r="I17" s="205"/>
      <c r="J17" s="205"/>
      <c r="K17" s="205"/>
      <c r="L17" s="205"/>
      <c r="M17" s="205"/>
      <c r="N17" s="205"/>
      <c r="O17" s="205"/>
      <c r="P17" s="205"/>
      <c r="Q17" s="205"/>
      <c r="R17" s="178"/>
    </row>
    <row r="18" spans="2:18" x14ac:dyDescent="0.3">
      <c r="B18" s="196" t="s">
        <v>7</v>
      </c>
      <c r="C18" s="159"/>
      <c r="D18" s="151">
        <f>Historical!D49</f>
        <v>89970.2</v>
      </c>
      <c r="E18" s="151">
        <f>Historical!E49</f>
        <v>89968.1</v>
      </c>
      <c r="F18" s="151">
        <f>Historical!F49</f>
        <v>105130.5</v>
      </c>
      <c r="G18" s="151">
        <f>Historical!G49</f>
        <v>98682.9</v>
      </c>
      <c r="H18" s="151">
        <f>Historical!H49</f>
        <v>102433.3</v>
      </c>
      <c r="I18" s="162">
        <f>('Income Statement'!H10*Assumptions!H20)/365</f>
        <v>131782.4184321741</v>
      </c>
      <c r="J18" s="162">
        <f>('Income Statement'!I10*Assumptions!I20)/365</f>
        <v>144960.66027539156</v>
      </c>
      <c r="K18" s="162">
        <f>('Income Statement'!J10*Assumptions!J20)/365</f>
        <v>159456.72630293071</v>
      </c>
      <c r="L18" s="162">
        <f>('Income Statement'!K10*Assumptions!K20)/365</f>
        <v>175402.3989332238</v>
      </c>
      <c r="M18" s="162">
        <f>('Income Statement'!L10*Assumptions!L20)/365</f>
        <v>192942.63882654614</v>
      </c>
      <c r="N18" s="162">
        <f>('Income Statement'!M10*Assumptions!M20)/365</f>
        <v>209005.11350885613</v>
      </c>
      <c r="O18" s="162">
        <f>('Income Statement'!N10*Assumptions!N20)/365</f>
        <v>223490.34352878336</v>
      </c>
      <c r="P18" s="162">
        <f>('Income Statement'!O10*Assumptions!O20)/365</f>
        <v>236385.05086360616</v>
      </c>
      <c r="Q18" s="162">
        <f>('Income Statement'!P10*Assumptions!P20)/365</f>
        <v>247739.26228457224</v>
      </c>
      <c r="R18" s="162">
        <f>('Income Statement'!Q10*Assumptions!Q20)/365</f>
        <v>257645.66664131166</v>
      </c>
    </row>
    <row r="19" spans="2:18" x14ac:dyDescent="0.3">
      <c r="B19" s="196" t="s">
        <v>5</v>
      </c>
      <c r="C19" s="159"/>
      <c r="D19" s="151">
        <f>Historical!D50</f>
        <v>31300.6</v>
      </c>
      <c r="E19" s="151">
        <f>Historical!E50</f>
        <v>76339.399999999994</v>
      </c>
      <c r="F19" s="151">
        <f>Historical!F50</f>
        <v>93726.1</v>
      </c>
      <c r="G19" s="151">
        <f>Historical!G50</f>
        <v>85845.4</v>
      </c>
      <c r="H19" s="151">
        <f>Historical!H50</f>
        <v>136561</v>
      </c>
      <c r="I19" s="151">
        <f>H19</f>
        <v>136561</v>
      </c>
      <c r="J19" s="151">
        <f t="shared" ref="J19:R19" si="11">I19</f>
        <v>136561</v>
      </c>
      <c r="K19" s="151">
        <f t="shared" si="11"/>
        <v>136561</v>
      </c>
      <c r="L19" s="151">
        <f t="shared" si="11"/>
        <v>136561</v>
      </c>
      <c r="M19" s="151">
        <f t="shared" si="11"/>
        <v>136561</v>
      </c>
      <c r="N19" s="151">
        <f t="shared" si="11"/>
        <v>136561</v>
      </c>
      <c r="O19" s="151">
        <f t="shared" si="11"/>
        <v>136561</v>
      </c>
      <c r="P19" s="151">
        <f t="shared" si="11"/>
        <v>136561</v>
      </c>
      <c r="Q19" s="151">
        <f t="shared" si="11"/>
        <v>136561</v>
      </c>
      <c r="R19" s="151">
        <f t="shared" si="11"/>
        <v>136561</v>
      </c>
    </row>
    <row r="20" spans="2:18" x14ac:dyDescent="0.3">
      <c r="B20" s="196" t="s">
        <v>8</v>
      </c>
      <c r="C20" s="159"/>
      <c r="D20" s="151">
        <f>Historical!D51</f>
        <v>90614</v>
      </c>
      <c r="E20" s="151">
        <f>Historical!E51</f>
        <v>105928.9</v>
      </c>
      <c r="F20" s="151">
        <f>Historical!F51</f>
        <v>114385.1</v>
      </c>
      <c r="G20" s="151">
        <f>Historical!G51</f>
        <v>112493.7</v>
      </c>
      <c r="H20" s="151">
        <f>Historical!H51</f>
        <v>130461.1</v>
      </c>
      <c r="I20" s="162">
        <f>('Income Statement'!H9*Assumptions!H21)/365</f>
        <v>148671.14132634262</v>
      </c>
      <c r="J20" s="162">
        <f>('Income Statement'!I9*Assumptions!I21)/365</f>
        <v>163538.2554589769</v>
      </c>
      <c r="K20" s="162">
        <f>('Income Statement'!J9*Assumptions!J21)/365</f>
        <v>179892.08100487461</v>
      </c>
      <c r="L20" s="162">
        <f>('Income Statement'!K9*Assumptions!K21)/365</f>
        <v>197881.28910536206</v>
      </c>
      <c r="M20" s="162">
        <f>('Income Statement'!L9*Assumptions!L21)/365</f>
        <v>217669.41801589829</v>
      </c>
      <c r="N20" s="162">
        <f>('Income Statement'!M9*Assumptions!M21)/365</f>
        <v>235790.39706572183</v>
      </c>
      <c r="O20" s="162">
        <f>('Income Statement'!N9*Assumptions!N21)/365</f>
        <v>252131.99790335982</v>
      </c>
      <c r="P20" s="162">
        <f>('Income Statement'!O9*Assumptions!O21)/365</f>
        <v>266679.24084627145</v>
      </c>
      <c r="Q20" s="162">
        <f>('Income Statement'!P9*Assumptions!P21)/365</f>
        <v>279488.56390239991</v>
      </c>
      <c r="R20" s="162">
        <f>('Income Statement'!Q9*Assumptions!Q21)/365</f>
        <v>290664.53456433408</v>
      </c>
    </row>
    <row r="21" spans="2:18" x14ac:dyDescent="0.3">
      <c r="B21" s="196" t="s">
        <v>236</v>
      </c>
      <c r="C21" s="159"/>
      <c r="D21" s="151">
        <f>Historical!D52</f>
        <v>62730.3</v>
      </c>
      <c r="E21" s="151">
        <f>Historical!E52</f>
        <v>45082.5</v>
      </c>
      <c r="F21" s="151">
        <f>Historical!F52</f>
        <v>46237.3</v>
      </c>
      <c r="G21" s="151">
        <f>Historical!G52</f>
        <v>92856.5</v>
      </c>
      <c r="H21" s="151">
        <f>Historical!H52</f>
        <v>102687.7</v>
      </c>
      <c r="I21" s="162">
        <f>CFS!I45</f>
        <v>140651.22818676924</v>
      </c>
      <c r="J21" s="162">
        <f>CFS!J45</f>
        <v>205869.12854677555</v>
      </c>
      <c r="K21" s="162">
        <f>CFS!K45</f>
        <v>278596.68260160729</v>
      </c>
      <c r="L21" s="162">
        <f>CFS!L45</f>
        <v>359740.75084081426</v>
      </c>
      <c r="M21" s="162">
        <f>CFS!M45</f>
        <v>450012.51606315497</v>
      </c>
      <c r="N21" s="162">
        <f>CFS!N45</f>
        <v>553472.37042316701</v>
      </c>
      <c r="O21" s="162">
        <f>CFS!O45</f>
        <v>668976.22859027586</v>
      </c>
      <c r="P21" s="162">
        <f>CFS!P45</f>
        <v>795676.40331072675</v>
      </c>
      <c r="Q21" s="162">
        <f>CFS!Q45</f>
        <v>932222.12732882402</v>
      </c>
      <c r="R21" s="162">
        <f>CFS!R45</f>
        <v>1077671.71576058</v>
      </c>
    </row>
    <row r="22" spans="2:18" x14ac:dyDescent="0.3">
      <c r="B22" s="196" t="s">
        <v>237</v>
      </c>
      <c r="C22" s="159"/>
      <c r="D22" s="151">
        <f>Historical!D53</f>
        <v>1724.8</v>
      </c>
      <c r="E22" s="151">
        <f>Historical!E53</f>
        <v>5251</v>
      </c>
      <c r="F22" s="151">
        <f>Historical!F53</f>
        <v>11465.6</v>
      </c>
      <c r="G22" s="151">
        <f>Historical!G53</f>
        <v>12350.3</v>
      </c>
      <c r="H22" s="151">
        <f>Historical!H53</f>
        <v>10628.5</v>
      </c>
      <c r="I22" s="151">
        <f>H22</f>
        <v>10628.5</v>
      </c>
      <c r="J22" s="151">
        <f t="shared" ref="J22:R22" si="12">I22</f>
        <v>10628.5</v>
      </c>
      <c r="K22" s="151">
        <f t="shared" si="12"/>
        <v>10628.5</v>
      </c>
      <c r="L22" s="151">
        <f t="shared" si="12"/>
        <v>10628.5</v>
      </c>
      <c r="M22" s="151">
        <f t="shared" si="12"/>
        <v>10628.5</v>
      </c>
      <c r="N22" s="151">
        <f t="shared" si="12"/>
        <v>10628.5</v>
      </c>
      <c r="O22" s="151">
        <f t="shared" si="12"/>
        <v>10628.5</v>
      </c>
      <c r="P22" s="151">
        <f t="shared" si="12"/>
        <v>10628.5</v>
      </c>
      <c r="Q22" s="151">
        <f t="shared" si="12"/>
        <v>10628.5</v>
      </c>
      <c r="R22" s="151">
        <f t="shared" si="12"/>
        <v>10628.5</v>
      </c>
    </row>
    <row r="23" spans="2:18" x14ac:dyDescent="0.3">
      <c r="B23" s="196" t="s">
        <v>239</v>
      </c>
      <c r="C23" s="159"/>
      <c r="D23" s="151">
        <f>Historical!D54</f>
        <v>560.1</v>
      </c>
      <c r="E23" s="151">
        <f>Historical!E54</f>
        <v>1699.7</v>
      </c>
      <c r="F23" s="151">
        <f>Historical!F54</f>
        <v>413.2</v>
      </c>
      <c r="G23" s="151">
        <f>Historical!G54</f>
        <v>650.20000000000005</v>
      </c>
      <c r="H23" s="151">
        <f>Historical!H54</f>
        <v>483.8</v>
      </c>
      <c r="I23" s="151">
        <f>H23</f>
        <v>483.8</v>
      </c>
      <c r="J23" s="151">
        <f t="shared" ref="J23:R23" si="13">I23</f>
        <v>483.8</v>
      </c>
      <c r="K23" s="151">
        <f t="shared" si="13"/>
        <v>483.8</v>
      </c>
      <c r="L23" s="151">
        <f t="shared" si="13"/>
        <v>483.8</v>
      </c>
      <c r="M23" s="151">
        <f t="shared" si="13"/>
        <v>483.8</v>
      </c>
      <c r="N23" s="151">
        <f t="shared" si="13"/>
        <v>483.8</v>
      </c>
      <c r="O23" s="151">
        <f t="shared" si="13"/>
        <v>483.8</v>
      </c>
      <c r="P23" s="151">
        <f t="shared" si="13"/>
        <v>483.8</v>
      </c>
      <c r="Q23" s="151">
        <f t="shared" si="13"/>
        <v>483.8</v>
      </c>
      <c r="R23" s="151">
        <f t="shared" si="13"/>
        <v>483.8</v>
      </c>
    </row>
    <row r="24" spans="2:18" x14ac:dyDescent="0.3">
      <c r="B24" s="196" t="s">
        <v>238</v>
      </c>
      <c r="C24" s="159"/>
      <c r="D24" s="151">
        <f>Historical!D55</f>
        <v>8759.2999999999993</v>
      </c>
      <c r="E24" s="151">
        <f>Historical!E55</f>
        <v>7024.7</v>
      </c>
      <c r="F24" s="151">
        <f>Historical!F55</f>
        <v>7645.1</v>
      </c>
      <c r="G24" s="151">
        <f>Historical!G55</f>
        <v>9172</v>
      </c>
      <c r="H24" s="151">
        <f>Historical!H55</f>
        <v>17406.599999999999</v>
      </c>
      <c r="I24" s="151">
        <f>H24</f>
        <v>17406.599999999999</v>
      </c>
      <c r="J24" s="151">
        <f t="shared" ref="J24:R24" si="14">I24</f>
        <v>17406.599999999999</v>
      </c>
      <c r="K24" s="151">
        <f t="shared" si="14"/>
        <v>17406.599999999999</v>
      </c>
      <c r="L24" s="151">
        <f t="shared" si="14"/>
        <v>17406.599999999999</v>
      </c>
      <c r="M24" s="151">
        <f t="shared" si="14"/>
        <v>17406.599999999999</v>
      </c>
      <c r="N24" s="151">
        <f t="shared" si="14"/>
        <v>17406.599999999999</v>
      </c>
      <c r="O24" s="151">
        <f t="shared" si="14"/>
        <v>17406.599999999999</v>
      </c>
      <c r="P24" s="151">
        <f t="shared" si="14"/>
        <v>17406.599999999999</v>
      </c>
      <c r="Q24" s="151">
        <f t="shared" si="14"/>
        <v>17406.599999999999</v>
      </c>
      <c r="R24" s="151">
        <f t="shared" si="14"/>
        <v>17406.599999999999</v>
      </c>
    </row>
    <row r="25" spans="2:18" ht="15" thickBot="1" x14ac:dyDescent="0.35">
      <c r="B25" s="201" t="s">
        <v>155</v>
      </c>
      <c r="C25" s="163"/>
      <c r="D25" s="151">
        <f>Historical!D56</f>
        <v>18761.5</v>
      </c>
      <c r="E25" s="151">
        <f>Historical!E56</f>
        <v>18855.5</v>
      </c>
      <c r="F25" s="151">
        <f>Historical!F56</f>
        <v>19616.5</v>
      </c>
      <c r="G25" s="151">
        <f>Historical!G56</f>
        <v>22280.1</v>
      </c>
      <c r="H25" s="151">
        <f>Historical!H56</f>
        <v>25278.6</v>
      </c>
      <c r="I25" s="155">
        <f>H25</f>
        <v>25278.6</v>
      </c>
      <c r="J25" s="155">
        <f t="shared" ref="J25:R25" si="15">I25</f>
        <v>25278.6</v>
      </c>
      <c r="K25" s="155">
        <f t="shared" si="15"/>
        <v>25278.6</v>
      </c>
      <c r="L25" s="155">
        <f t="shared" si="15"/>
        <v>25278.6</v>
      </c>
      <c r="M25" s="155">
        <f t="shared" si="15"/>
        <v>25278.6</v>
      </c>
      <c r="N25" s="155">
        <f t="shared" si="15"/>
        <v>25278.6</v>
      </c>
      <c r="O25" s="155">
        <f t="shared" si="15"/>
        <v>25278.6</v>
      </c>
      <c r="P25" s="155">
        <f t="shared" si="15"/>
        <v>25278.6</v>
      </c>
      <c r="Q25" s="155">
        <f t="shared" si="15"/>
        <v>25278.6</v>
      </c>
      <c r="R25" s="155">
        <f t="shared" si="15"/>
        <v>25278.6</v>
      </c>
    </row>
    <row r="26" spans="2:18" ht="15" thickBot="1" x14ac:dyDescent="0.35">
      <c r="B26" s="207" t="s">
        <v>156</v>
      </c>
      <c r="C26" s="208"/>
      <c r="D26" s="209">
        <f>SUM(D18:D25)</f>
        <v>304420.79999999993</v>
      </c>
      <c r="E26" s="209">
        <f t="shared" ref="E26:H26" si="16">SUM(E18:E25)</f>
        <v>350149.80000000005</v>
      </c>
      <c r="F26" s="209">
        <f t="shared" si="16"/>
        <v>398619.39999999997</v>
      </c>
      <c r="G26" s="209">
        <f t="shared" si="16"/>
        <v>434331.1</v>
      </c>
      <c r="H26" s="209">
        <f t="shared" si="16"/>
        <v>525940.6</v>
      </c>
      <c r="I26" s="209">
        <f t="shared" ref="I26" si="17">SUM(I18:I25)</f>
        <v>611463.28794528591</v>
      </c>
      <c r="J26" s="209">
        <f t="shared" ref="J26" si="18">SUM(J18:J25)</f>
        <v>704726.54428114393</v>
      </c>
      <c r="K26" s="209">
        <f t="shared" ref="K26" si="19">SUM(K18:K25)</f>
        <v>808303.98990941257</v>
      </c>
      <c r="L26" s="209">
        <f t="shared" ref="L26" si="20">SUM(L18:L25)</f>
        <v>923382.93887940003</v>
      </c>
      <c r="M26" s="209">
        <f t="shared" ref="M26:R26" si="21">SUM(M18:M25)</f>
        <v>1050983.0729055994</v>
      </c>
      <c r="N26" s="209">
        <f t="shared" si="21"/>
        <v>1188626.3809977451</v>
      </c>
      <c r="O26" s="209">
        <f t="shared" si="21"/>
        <v>1334957.0700224193</v>
      </c>
      <c r="P26" s="209">
        <f t="shared" si="21"/>
        <v>1489099.1950206046</v>
      </c>
      <c r="Q26" s="209">
        <f t="shared" si="21"/>
        <v>1649808.4535157965</v>
      </c>
      <c r="R26" s="209">
        <f t="shared" si="21"/>
        <v>1816340.416966226</v>
      </c>
    </row>
    <row r="27" spans="2:18" ht="15" thickBot="1" x14ac:dyDescent="0.35">
      <c r="B27" s="157" t="s">
        <v>157</v>
      </c>
      <c r="C27" s="169"/>
      <c r="D27" s="139">
        <f>Historical!D58</f>
        <v>0</v>
      </c>
      <c r="E27" s="139">
        <f>Historical!E58</f>
        <v>0</v>
      </c>
      <c r="F27" s="139">
        <f>Historical!F58</f>
        <v>214</v>
      </c>
      <c r="G27" s="139">
        <f>Historical!G58</f>
        <v>418.7</v>
      </c>
      <c r="H27" s="139">
        <f>Historical!H58</f>
        <v>304.10000000000002</v>
      </c>
      <c r="I27" s="139">
        <f>H27-0.1</f>
        <v>304</v>
      </c>
      <c r="J27" s="139">
        <f t="shared" ref="J27:R27" si="22">I27</f>
        <v>304</v>
      </c>
      <c r="K27" s="139">
        <f t="shared" si="22"/>
        <v>304</v>
      </c>
      <c r="L27" s="139">
        <f t="shared" si="22"/>
        <v>304</v>
      </c>
      <c r="M27" s="139">
        <f t="shared" si="22"/>
        <v>304</v>
      </c>
      <c r="N27" s="139">
        <f t="shared" si="22"/>
        <v>304</v>
      </c>
      <c r="O27" s="139">
        <f t="shared" si="22"/>
        <v>304</v>
      </c>
      <c r="P27" s="139">
        <f t="shared" si="22"/>
        <v>304</v>
      </c>
      <c r="Q27" s="139">
        <f t="shared" si="22"/>
        <v>304</v>
      </c>
      <c r="R27" s="139">
        <f t="shared" si="22"/>
        <v>304</v>
      </c>
    </row>
    <row r="28" spans="2:18" ht="15" thickBot="1" x14ac:dyDescent="0.35">
      <c r="B28" s="207" t="s">
        <v>158</v>
      </c>
      <c r="C28" s="208"/>
      <c r="D28" s="209">
        <f>D26+D16+D27</f>
        <v>676667</v>
      </c>
      <c r="E28" s="209">
        <f>E26+E16+E27</f>
        <v>697998.70000000007</v>
      </c>
      <c r="F28" s="209">
        <f>F26+F16+F27</f>
        <v>807435.89999999991</v>
      </c>
      <c r="G28" s="209">
        <f>G26+G16+G27</f>
        <v>854996.49999999988</v>
      </c>
      <c r="H28" s="209">
        <f>H26+H16+H27</f>
        <v>921005.79999999993</v>
      </c>
      <c r="I28" s="209">
        <f t="shared" ref="I28:M28" si="23">I26+I16+I27</f>
        <v>1004931.4154995955</v>
      </c>
      <c r="J28" s="209">
        <f t="shared" si="23"/>
        <v>1097125.3336349768</v>
      </c>
      <c r="K28" s="209">
        <f t="shared" si="23"/>
        <v>1199777.7012456348</v>
      </c>
      <c r="L28" s="209">
        <f t="shared" si="23"/>
        <v>1314291.2994047173</v>
      </c>
      <c r="M28" s="209">
        <f t="shared" si="23"/>
        <v>1441345.723180284</v>
      </c>
      <c r="N28" s="209">
        <f t="shared" ref="N28:R28" si="24">N26+N16+N27</f>
        <v>1578707.8854801105</v>
      </c>
      <c r="O28" s="209">
        <f t="shared" si="24"/>
        <v>1724705.4325568466</v>
      </c>
      <c r="P28" s="209">
        <f t="shared" si="24"/>
        <v>1878725.736218465</v>
      </c>
      <c r="Q28" s="209">
        <f t="shared" si="24"/>
        <v>2039095.1718764063</v>
      </c>
      <c r="R28" s="209">
        <f t="shared" si="24"/>
        <v>2205502.9703988512</v>
      </c>
    </row>
    <row r="29" spans="2:18" x14ac:dyDescent="0.3">
      <c r="B29" s="26"/>
      <c r="C29" s="26"/>
      <c r="D29" s="9"/>
      <c r="E29" s="9"/>
      <c r="F29" s="9"/>
      <c r="G29" s="9"/>
      <c r="H29" s="9"/>
      <c r="I29" s="9"/>
      <c r="J29" s="9"/>
      <c r="K29" s="9"/>
      <c r="L29" s="9"/>
      <c r="M29" s="9"/>
      <c r="N29" s="9"/>
      <c r="O29" s="9"/>
      <c r="P29" s="9"/>
      <c r="Q29" s="9"/>
      <c r="R29" s="9"/>
    </row>
    <row r="30" spans="2:18" ht="18" x14ac:dyDescent="0.3">
      <c r="B30" s="214" t="s">
        <v>159</v>
      </c>
      <c r="C30" s="213"/>
      <c r="D30" s="175"/>
      <c r="E30" s="175"/>
      <c r="F30" s="175"/>
      <c r="G30" s="175"/>
      <c r="H30" s="175"/>
      <c r="I30" s="175"/>
      <c r="J30" s="175"/>
      <c r="K30" s="175"/>
      <c r="L30" s="175"/>
      <c r="M30" s="175"/>
      <c r="N30" s="175"/>
      <c r="O30" s="175"/>
      <c r="P30" s="175"/>
      <c r="Q30" s="175"/>
      <c r="R30" s="177"/>
    </row>
    <row r="31" spans="2:18" ht="15.6" x14ac:dyDescent="0.3">
      <c r="B31" s="145" t="s">
        <v>52</v>
      </c>
      <c r="C31" s="160"/>
      <c r="D31" s="200"/>
      <c r="E31" s="175"/>
      <c r="F31" s="175"/>
      <c r="G31" s="175"/>
      <c r="H31" s="175"/>
      <c r="I31" s="175"/>
      <c r="J31" s="175"/>
      <c r="K31" s="175"/>
      <c r="L31" s="175"/>
      <c r="M31" s="175"/>
      <c r="N31" s="175"/>
      <c r="O31" s="175"/>
      <c r="P31" s="175"/>
      <c r="Q31" s="175"/>
      <c r="R31" s="177"/>
    </row>
    <row r="32" spans="2:18" x14ac:dyDescent="0.3">
      <c r="B32" s="196" t="s">
        <v>160</v>
      </c>
      <c r="C32" s="159"/>
      <c r="D32" s="151">
        <f>Historical!D62</f>
        <v>2399.3000000000002</v>
      </c>
      <c r="E32" s="151">
        <f>Historical!E62</f>
        <v>2399.3000000000002</v>
      </c>
      <c r="F32" s="151">
        <f>Historical!F62</f>
        <v>2399.3000000000002</v>
      </c>
      <c r="G32" s="151">
        <f>Historical!G62</f>
        <v>2399.3000000000002</v>
      </c>
      <c r="H32" s="151">
        <f>Historical!H62</f>
        <v>2399.3000000000002</v>
      </c>
      <c r="I32" s="151">
        <f>H32</f>
        <v>2399.3000000000002</v>
      </c>
      <c r="J32" s="151">
        <f t="shared" ref="J32:R32" si="25">I32</f>
        <v>2399.3000000000002</v>
      </c>
      <c r="K32" s="151">
        <f t="shared" si="25"/>
        <v>2399.3000000000002</v>
      </c>
      <c r="L32" s="151">
        <f t="shared" si="25"/>
        <v>2399.3000000000002</v>
      </c>
      <c r="M32" s="151">
        <f t="shared" si="25"/>
        <v>2399.3000000000002</v>
      </c>
      <c r="N32" s="151">
        <f t="shared" si="25"/>
        <v>2399.3000000000002</v>
      </c>
      <c r="O32" s="151">
        <f t="shared" si="25"/>
        <v>2399.3000000000002</v>
      </c>
      <c r="P32" s="151">
        <f t="shared" si="25"/>
        <v>2399.3000000000002</v>
      </c>
      <c r="Q32" s="151">
        <f t="shared" si="25"/>
        <v>2399.3000000000002</v>
      </c>
      <c r="R32" s="151">
        <f t="shared" si="25"/>
        <v>2399.3000000000002</v>
      </c>
    </row>
    <row r="33" spans="2:18" x14ac:dyDescent="0.3">
      <c r="B33" s="196" t="s">
        <v>374</v>
      </c>
      <c r="C33" s="159"/>
      <c r="D33" s="151">
        <f>Historical!D63</f>
        <v>462228.5</v>
      </c>
      <c r="E33" s="151">
        <f>Historical!E63</f>
        <v>477712.9</v>
      </c>
      <c r="F33" s="151">
        <f>Historical!F63</f>
        <v>557554.5</v>
      </c>
      <c r="G33" s="151">
        <f>Historical!G63</f>
        <v>634268.19999999995</v>
      </c>
      <c r="H33" s="151">
        <f>Historical!H63</f>
        <v>719780.9</v>
      </c>
      <c r="I33" s="162">
        <f>H33+('Income Statement'!H22*(1-Assumptions!H16))</f>
        <v>795681.08188254863</v>
      </c>
      <c r="J33" s="162">
        <f>I33+('Income Statement'!I22*(1-Assumptions!I16))</f>
        <v>880888.11665622517</v>
      </c>
      <c r="K33" s="162">
        <f>J33+('Income Statement'!J22*(1-Assumptions!J16))</f>
        <v>975854.91256900795</v>
      </c>
      <c r="L33" s="162">
        <f>K33+('Income Statement'!K22*(1-Assumptions!K16))</f>
        <v>1081914.381860428</v>
      </c>
      <c r="M33" s="162">
        <f>L33+('Income Statement'!L22*(1-Assumptions!L16))</f>
        <v>1199669.2638815655</v>
      </c>
      <c r="N33" s="162">
        <f>M33+('Income Statement'!M22*(1-Assumptions!M16))</f>
        <v>1328515.3708197738</v>
      </c>
      <c r="O33" s="162">
        <f>N33+('Income Statement'!N22*(1-Assumptions!N16))</f>
        <v>1466833.0912685907</v>
      </c>
      <c r="P33" s="162">
        <f>O33+('Income Statement'!O22*(1-Assumptions!O16))</f>
        <v>1614016.8368215039</v>
      </c>
      <c r="Q33" s="162">
        <f>P33+('Income Statement'!P22*(1-Assumptions!P16))</f>
        <v>1768366.459532754</v>
      </c>
      <c r="R33" s="162">
        <f>Q33+('Income Statement'!Q22*(1-Assumptions!Q16))</f>
        <v>1929522.0481930738</v>
      </c>
    </row>
    <row r="34" spans="2:18" ht="15" thickBot="1" x14ac:dyDescent="0.35">
      <c r="B34" s="201" t="s">
        <v>161</v>
      </c>
      <c r="C34" s="163"/>
      <c r="D34" s="151">
        <f>Historical!D64</f>
        <v>30170.5</v>
      </c>
      <c r="E34" s="151">
        <f>Historical!E64</f>
        <v>30548.9</v>
      </c>
      <c r="F34" s="151">
        <f>Historical!F64</f>
        <v>33200.9</v>
      </c>
      <c r="G34" s="151">
        <f>Historical!G64</f>
        <v>34591.9</v>
      </c>
      <c r="H34" s="151">
        <f>Historical!H64</f>
        <v>2679.3</v>
      </c>
      <c r="I34" s="210">
        <f>H34</f>
        <v>2679.3</v>
      </c>
      <c r="J34" s="210">
        <f t="shared" ref="J34:R34" si="26">I34</f>
        <v>2679.3</v>
      </c>
      <c r="K34" s="210">
        <f t="shared" si="26"/>
        <v>2679.3</v>
      </c>
      <c r="L34" s="210">
        <f t="shared" si="26"/>
        <v>2679.3</v>
      </c>
      <c r="M34" s="210">
        <f t="shared" si="26"/>
        <v>2679.3</v>
      </c>
      <c r="N34" s="210">
        <f t="shared" si="26"/>
        <v>2679.3</v>
      </c>
      <c r="O34" s="210">
        <f t="shared" si="26"/>
        <v>2679.3</v>
      </c>
      <c r="P34" s="210">
        <f t="shared" si="26"/>
        <v>2679.3</v>
      </c>
      <c r="Q34" s="210">
        <f t="shared" si="26"/>
        <v>2679.3</v>
      </c>
      <c r="R34" s="210">
        <f t="shared" si="26"/>
        <v>2679.3</v>
      </c>
    </row>
    <row r="35" spans="2:18" ht="15" thickBot="1" x14ac:dyDescent="0.35">
      <c r="B35" s="156" t="s">
        <v>162</v>
      </c>
      <c r="C35" s="168"/>
      <c r="D35" s="133">
        <f>SUM(D32:D34)</f>
        <v>494798.3</v>
      </c>
      <c r="E35" s="133">
        <f t="shared" ref="E35:M35" si="27">SUM(E32:E34)</f>
        <v>510661.10000000003</v>
      </c>
      <c r="F35" s="133">
        <f t="shared" si="27"/>
        <v>593154.70000000007</v>
      </c>
      <c r="G35" s="133">
        <f t="shared" si="27"/>
        <v>671259.4</v>
      </c>
      <c r="H35" s="133">
        <f t="shared" si="27"/>
        <v>724859.50000000012</v>
      </c>
      <c r="I35" s="133">
        <f t="shared" si="27"/>
        <v>800759.68188254873</v>
      </c>
      <c r="J35" s="133">
        <f t="shared" si="27"/>
        <v>885966.71665622527</v>
      </c>
      <c r="K35" s="133">
        <f t="shared" si="27"/>
        <v>980933.51256900805</v>
      </c>
      <c r="L35" s="133">
        <f t="shared" si="27"/>
        <v>1086992.9818604281</v>
      </c>
      <c r="M35" s="133">
        <f t="shared" si="27"/>
        <v>1204747.8638815656</v>
      </c>
      <c r="N35" s="133">
        <f t="shared" ref="N35:R35" si="28">SUM(N32:N34)</f>
        <v>1333593.9708197739</v>
      </c>
      <c r="O35" s="133">
        <f t="shared" si="28"/>
        <v>1471911.6912685907</v>
      </c>
      <c r="P35" s="133">
        <f t="shared" si="28"/>
        <v>1619095.436821504</v>
      </c>
      <c r="Q35" s="133">
        <f t="shared" si="28"/>
        <v>1773445.0595327541</v>
      </c>
      <c r="R35" s="133">
        <f t="shared" si="28"/>
        <v>1934600.6481930739</v>
      </c>
    </row>
    <row r="36" spans="2:18" ht="18.600000000000001" thickTop="1" x14ac:dyDescent="0.3">
      <c r="B36" s="166" t="s">
        <v>163</v>
      </c>
      <c r="C36" s="164"/>
      <c r="D36" s="211"/>
      <c r="E36" s="174"/>
      <c r="F36" s="174"/>
      <c r="G36" s="174"/>
      <c r="H36" s="174"/>
      <c r="I36" s="174"/>
      <c r="J36" s="174"/>
      <c r="K36" s="174"/>
      <c r="L36" s="174"/>
      <c r="M36" s="175"/>
      <c r="N36" s="175"/>
      <c r="O36" s="175"/>
      <c r="P36" s="175"/>
      <c r="Q36" s="175"/>
      <c r="R36" s="178"/>
    </row>
    <row r="37" spans="2:18" ht="15.6" x14ac:dyDescent="0.3">
      <c r="B37" s="145" t="s">
        <v>164</v>
      </c>
      <c r="C37" s="160"/>
      <c r="D37" s="200"/>
      <c r="E37" s="175"/>
      <c r="F37" s="175"/>
      <c r="G37" s="175"/>
      <c r="H37" s="175"/>
      <c r="I37" s="175"/>
      <c r="J37" s="175"/>
      <c r="K37" s="175"/>
      <c r="L37" s="175"/>
      <c r="M37" s="175"/>
      <c r="N37" s="175"/>
      <c r="O37" s="175"/>
      <c r="P37" s="175"/>
      <c r="Q37" s="175"/>
      <c r="R37" s="177"/>
    </row>
    <row r="38" spans="2:18" x14ac:dyDescent="0.3">
      <c r="B38" s="196" t="s">
        <v>165</v>
      </c>
      <c r="C38" s="159"/>
      <c r="D38" s="151">
        <f>Historical!D68</f>
        <v>6547</v>
      </c>
      <c r="E38" s="151">
        <f>Historical!E68</f>
        <v>2299.1999999999998</v>
      </c>
      <c r="F38" s="151">
        <f>Historical!F68</f>
        <v>0</v>
      </c>
      <c r="G38" s="151">
        <f>Historical!G68</f>
        <v>13.3</v>
      </c>
      <c r="H38" s="151">
        <f>Historical!H68</f>
        <v>25.2</v>
      </c>
      <c r="I38" s="151">
        <f t="shared" ref="I38:I43" si="29">H38</f>
        <v>25.2</v>
      </c>
      <c r="J38" s="151">
        <f t="shared" ref="J38:R38" si="30">I38</f>
        <v>25.2</v>
      </c>
      <c r="K38" s="151">
        <f t="shared" si="30"/>
        <v>25.2</v>
      </c>
      <c r="L38" s="151">
        <f t="shared" si="30"/>
        <v>25.2</v>
      </c>
      <c r="M38" s="151">
        <f t="shared" si="30"/>
        <v>25.2</v>
      </c>
      <c r="N38" s="151">
        <f t="shared" si="30"/>
        <v>25.2</v>
      </c>
      <c r="O38" s="151">
        <f t="shared" si="30"/>
        <v>25.2</v>
      </c>
      <c r="P38" s="151">
        <f t="shared" si="30"/>
        <v>25.2</v>
      </c>
      <c r="Q38" s="151">
        <f t="shared" si="30"/>
        <v>25.2</v>
      </c>
      <c r="R38" s="151">
        <f t="shared" si="30"/>
        <v>25.2</v>
      </c>
    </row>
    <row r="39" spans="2:18" x14ac:dyDescent="0.3">
      <c r="B39" s="196" t="s">
        <v>166</v>
      </c>
      <c r="C39" s="159"/>
      <c r="D39" s="151">
        <f>Historical!D69</f>
        <v>2434</v>
      </c>
      <c r="E39" s="151">
        <f>Historical!E69</f>
        <v>2517.9</v>
      </c>
      <c r="F39" s="151">
        <f>Historical!F69</f>
        <v>5599.1</v>
      </c>
      <c r="G39" s="151">
        <f>Historical!G69</f>
        <v>3022.9</v>
      </c>
      <c r="H39" s="151">
        <f>Historical!H69</f>
        <v>3557.4</v>
      </c>
      <c r="I39" s="151">
        <f t="shared" si="29"/>
        <v>3557.4</v>
      </c>
      <c r="J39" s="151">
        <f t="shared" ref="J39:R39" si="31">I39</f>
        <v>3557.4</v>
      </c>
      <c r="K39" s="151">
        <f t="shared" si="31"/>
        <v>3557.4</v>
      </c>
      <c r="L39" s="151">
        <f t="shared" si="31"/>
        <v>3557.4</v>
      </c>
      <c r="M39" s="151">
        <f t="shared" si="31"/>
        <v>3557.4</v>
      </c>
      <c r="N39" s="151">
        <f t="shared" si="31"/>
        <v>3557.4</v>
      </c>
      <c r="O39" s="151">
        <f t="shared" si="31"/>
        <v>3557.4</v>
      </c>
      <c r="P39" s="151">
        <f t="shared" si="31"/>
        <v>3557.4</v>
      </c>
      <c r="Q39" s="151">
        <f t="shared" si="31"/>
        <v>3557.4</v>
      </c>
      <c r="R39" s="151">
        <f t="shared" si="31"/>
        <v>3557.4</v>
      </c>
    </row>
    <row r="40" spans="2:18" x14ac:dyDescent="0.3">
      <c r="B40" s="196" t="s">
        <v>167</v>
      </c>
      <c r="C40" s="159"/>
      <c r="D40" s="151">
        <f>Historical!D70</f>
        <v>3271.2</v>
      </c>
      <c r="E40" s="151">
        <f>Historical!E70</f>
        <v>3690.7</v>
      </c>
      <c r="F40" s="151">
        <f>Historical!F70</f>
        <v>3429.1</v>
      </c>
      <c r="G40" s="151">
        <f>Historical!G70</f>
        <v>4138.8999999999996</v>
      </c>
      <c r="H40" s="151">
        <f>Historical!H70</f>
        <v>4650.3999999999996</v>
      </c>
      <c r="I40" s="151">
        <f t="shared" si="29"/>
        <v>4650.3999999999996</v>
      </c>
      <c r="J40" s="151">
        <f t="shared" ref="J40:R40" si="32">I40</f>
        <v>4650.3999999999996</v>
      </c>
      <c r="K40" s="151">
        <f t="shared" si="32"/>
        <v>4650.3999999999996</v>
      </c>
      <c r="L40" s="151">
        <f t="shared" si="32"/>
        <v>4650.3999999999996</v>
      </c>
      <c r="M40" s="151">
        <f t="shared" si="32"/>
        <v>4650.3999999999996</v>
      </c>
      <c r="N40" s="151">
        <f t="shared" si="32"/>
        <v>4650.3999999999996</v>
      </c>
      <c r="O40" s="151">
        <f t="shared" si="32"/>
        <v>4650.3999999999996</v>
      </c>
      <c r="P40" s="151">
        <f t="shared" si="32"/>
        <v>4650.3999999999996</v>
      </c>
      <c r="Q40" s="151">
        <f t="shared" si="32"/>
        <v>4650.3999999999996</v>
      </c>
      <c r="R40" s="151">
        <f t="shared" si="32"/>
        <v>4650.3999999999996</v>
      </c>
    </row>
    <row r="41" spans="2:18" x14ac:dyDescent="0.3">
      <c r="B41" s="196" t="s">
        <v>168</v>
      </c>
      <c r="C41" s="159"/>
      <c r="D41" s="151">
        <f>Historical!D71</f>
        <v>445.1</v>
      </c>
      <c r="E41" s="151">
        <f>Historical!E71</f>
        <v>318.60000000000002</v>
      </c>
      <c r="F41" s="151">
        <f>Historical!F71</f>
        <v>316.89999999999998</v>
      </c>
      <c r="G41" s="151">
        <f>Historical!G71</f>
        <v>1718.6</v>
      </c>
      <c r="H41" s="151">
        <f>Historical!H71</f>
        <v>1924.4</v>
      </c>
      <c r="I41" s="151">
        <f t="shared" si="29"/>
        <v>1924.4</v>
      </c>
      <c r="J41" s="151">
        <f t="shared" ref="J41:R41" si="33">I41</f>
        <v>1924.4</v>
      </c>
      <c r="K41" s="151">
        <f t="shared" si="33"/>
        <v>1924.4</v>
      </c>
      <c r="L41" s="151">
        <f t="shared" si="33"/>
        <v>1924.4</v>
      </c>
      <c r="M41" s="151">
        <f t="shared" si="33"/>
        <v>1924.4</v>
      </c>
      <c r="N41" s="151">
        <f t="shared" si="33"/>
        <v>1924.4</v>
      </c>
      <c r="O41" s="151">
        <f t="shared" si="33"/>
        <v>1924.4</v>
      </c>
      <c r="P41" s="151">
        <f t="shared" si="33"/>
        <v>1924.4</v>
      </c>
      <c r="Q41" s="151">
        <f t="shared" si="33"/>
        <v>1924.4</v>
      </c>
      <c r="R41" s="151">
        <f t="shared" si="33"/>
        <v>1924.4</v>
      </c>
    </row>
    <row r="42" spans="2:18" x14ac:dyDescent="0.3">
      <c r="B42" s="196" t="s">
        <v>169</v>
      </c>
      <c r="C42" s="159"/>
      <c r="D42" s="151">
        <f>Historical!D72</f>
        <v>7715.1</v>
      </c>
      <c r="E42" s="151">
        <f>Historical!E72</f>
        <v>6505.7</v>
      </c>
      <c r="F42" s="151">
        <f>Historical!F72</f>
        <v>5866.0999999999995</v>
      </c>
      <c r="G42" s="151">
        <f>Historical!G72</f>
        <v>4999.3999999999996</v>
      </c>
      <c r="H42" s="151">
        <f>Historical!H72</f>
        <v>3959.2000000000003</v>
      </c>
      <c r="I42" s="151">
        <f t="shared" si="29"/>
        <v>3959.2000000000003</v>
      </c>
      <c r="J42" s="151">
        <f t="shared" ref="J42:R42" si="34">I42</f>
        <v>3959.2000000000003</v>
      </c>
      <c r="K42" s="151">
        <f t="shared" si="34"/>
        <v>3959.2000000000003</v>
      </c>
      <c r="L42" s="151">
        <f t="shared" si="34"/>
        <v>3959.2000000000003</v>
      </c>
      <c r="M42" s="151">
        <f t="shared" si="34"/>
        <v>3959.2000000000003</v>
      </c>
      <c r="N42" s="151">
        <f t="shared" si="34"/>
        <v>3959.2000000000003</v>
      </c>
      <c r="O42" s="151">
        <f t="shared" si="34"/>
        <v>3959.2000000000003</v>
      </c>
      <c r="P42" s="151">
        <f t="shared" si="34"/>
        <v>3959.2000000000003</v>
      </c>
      <c r="Q42" s="151">
        <f t="shared" si="34"/>
        <v>3959.2000000000003</v>
      </c>
      <c r="R42" s="151">
        <f t="shared" si="34"/>
        <v>3959.2000000000003</v>
      </c>
    </row>
    <row r="43" spans="2:18" ht="15" thickBot="1" x14ac:dyDescent="0.35">
      <c r="B43" s="201" t="s">
        <v>170</v>
      </c>
      <c r="C43" s="163"/>
      <c r="D43" s="151" t="str">
        <f>Historical!D73</f>
        <v>-</v>
      </c>
      <c r="E43" s="151" t="str">
        <f>Historical!E73</f>
        <v>-</v>
      </c>
      <c r="F43" s="151" t="str">
        <f>Historical!F73</f>
        <v>-</v>
      </c>
      <c r="G43" s="151" t="str">
        <f>Historical!G73</f>
        <v>-</v>
      </c>
      <c r="H43" s="151">
        <f>Historical!H73</f>
        <v>87.6</v>
      </c>
      <c r="I43" s="155">
        <f t="shared" si="29"/>
        <v>87.6</v>
      </c>
      <c r="J43" s="155">
        <f t="shared" ref="J43:R43" si="35">I43</f>
        <v>87.6</v>
      </c>
      <c r="K43" s="155">
        <f t="shared" si="35"/>
        <v>87.6</v>
      </c>
      <c r="L43" s="155">
        <f t="shared" si="35"/>
        <v>87.6</v>
      </c>
      <c r="M43" s="155">
        <f t="shared" si="35"/>
        <v>87.6</v>
      </c>
      <c r="N43" s="155">
        <f t="shared" si="35"/>
        <v>87.6</v>
      </c>
      <c r="O43" s="155">
        <f t="shared" si="35"/>
        <v>87.6</v>
      </c>
      <c r="P43" s="155">
        <f t="shared" si="35"/>
        <v>87.6</v>
      </c>
      <c r="Q43" s="155">
        <f t="shared" si="35"/>
        <v>87.6</v>
      </c>
      <c r="R43" s="155">
        <f t="shared" si="35"/>
        <v>87.6</v>
      </c>
    </row>
    <row r="44" spans="2:18" ht="15" thickBot="1" x14ac:dyDescent="0.35">
      <c r="B44" s="156" t="s">
        <v>171</v>
      </c>
      <c r="C44" s="168"/>
      <c r="D44" s="133">
        <f>SUM(D38:D43)</f>
        <v>20412.400000000001</v>
      </c>
      <c r="E44" s="133">
        <f t="shared" ref="E44:M44" si="36">SUM(E38:E43)</f>
        <v>15332.099999999999</v>
      </c>
      <c r="F44" s="133">
        <f t="shared" si="36"/>
        <v>15211.2</v>
      </c>
      <c r="G44" s="133">
        <f t="shared" si="36"/>
        <v>13893.1</v>
      </c>
      <c r="H44" s="133">
        <f t="shared" si="36"/>
        <v>14204.2</v>
      </c>
      <c r="I44" s="133">
        <f t="shared" si="36"/>
        <v>14204.2</v>
      </c>
      <c r="J44" s="133">
        <f t="shared" si="36"/>
        <v>14204.2</v>
      </c>
      <c r="K44" s="133">
        <f t="shared" si="36"/>
        <v>14204.2</v>
      </c>
      <c r="L44" s="133">
        <f t="shared" si="36"/>
        <v>14204.2</v>
      </c>
      <c r="M44" s="133">
        <f t="shared" si="36"/>
        <v>14204.2</v>
      </c>
      <c r="N44" s="133">
        <f t="shared" ref="N44:R44" si="37">SUM(N38:N43)</f>
        <v>14204.2</v>
      </c>
      <c r="O44" s="133">
        <f t="shared" si="37"/>
        <v>14204.2</v>
      </c>
      <c r="P44" s="133">
        <f t="shared" si="37"/>
        <v>14204.2</v>
      </c>
      <c r="Q44" s="133">
        <f t="shared" si="37"/>
        <v>14204.2</v>
      </c>
      <c r="R44" s="133">
        <f t="shared" si="37"/>
        <v>14204.2</v>
      </c>
    </row>
    <row r="45" spans="2:18" ht="16.2" thickTop="1" x14ac:dyDescent="0.3">
      <c r="B45" s="166" t="s">
        <v>172</v>
      </c>
      <c r="C45" s="167"/>
      <c r="D45" s="211"/>
      <c r="E45" s="174"/>
      <c r="F45" s="174"/>
      <c r="G45" s="174"/>
      <c r="H45" s="174"/>
      <c r="I45" s="174"/>
      <c r="J45" s="174"/>
      <c r="K45" s="174"/>
      <c r="L45" s="174"/>
      <c r="M45" s="175"/>
      <c r="N45" s="175"/>
      <c r="O45" s="175"/>
      <c r="P45" s="175"/>
      <c r="Q45" s="175"/>
      <c r="R45" s="178"/>
    </row>
    <row r="46" spans="2:18" x14ac:dyDescent="0.3">
      <c r="B46" s="196" t="s">
        <v>165</v>
      </c>
      <c r="C46" s="159"/>
      <c r="D46" s="151">
        <f>Historical!D76</f>
        <v>28687.8</v>
      </c>
      <c r="E46" s="151">
        <f>Historical!E76</f>
        <v>7007.7</v>
      </c>
      <c r="F46" s="151">
        <f>Historical!F76</f>
        <v>61978.8</v>
      </c>
      <c r="G46" s="151">
        <f>Historical!G76</f>
        <v>28443.599999999999</v>
      </c>
      <c r="H46" s="151">
        <f>Historical!H76</f>
        <v>18671.099999999999</v>
      </c>
      <c r="I46" s="151">
        <f>H46</f>
        <v>18671.099999999999</v>
      </c>
      <c r="J46" s="151">
        <f t="shared" ref="J46:R46" si="38">I46</f>
        <v>18671.099999999999</v>
      </c>
      <c r="K46" s="151">
        <f t="shared" si="38"/>
        <v>18671.099999999999</v>
      </c>
      <c r="L46" s="151">
        <f t="shared" si="38"/>
        <v>18671.099999999999</v>
      </c>
      <c r="M46" s="151">
        <f t="shared" si="38"/>
        <v>18671.099999999999</v>
      </c>
      <c r="N46" s="151">
        <f t="shared" si="38"/>
        <v>18671.099999999999</v>
      </c>
      <c r="O46" s="151">
        <f t="shared" si="38"/>
        <v>18671.099999999999</v>
      </c>
      <c r="P46" s="151">
        <f t="shared" si="38"/>
        <v>18671.099999999999</v>
      </c>
      <c r="Q46" s="151">
        <f t="shared" si="38"/>
        <v>18671.099999999999</v>
      </c>
      <c r="R46" s="151">
        <f t="shared" si="38"/>
        <v>18671.099999999999</v>
      </c>
    </row>
    <row r="47" spans="2:18" x14ac:dyDescent="0.3">
      <c r="B47" s="196" t="s">
        <v>166</v>
      </c>
      <c r="C47" s="159"/>
      <c r="D47" s="151">
        <f>Historical!D77</f>
        <v>1016.7</v>
      </c>
      <c r="E47" s="151">
        <f>Historical!E77</f>
        <v>1078.2</v>
      </c>
      <c r="F47" s="151">
        <f>Historical!F77</f>
        <v>1280.8</v>
      </c>
      <c r="G47" s="151">
        <f>Historical!G77</f>
        <v>1256.9000000000001</v>
      </c>
      <c r="H47" s="151">
        <f>Historical!H77</f>
        <v>1368.2</v>
      </c>
      <c r="I47" s="151">
        <f>H47</f>
        <v>1368.2</v>
      </c>
      <c r="J47" s="151">
        <f t="shared" ref="J47:R47" si="39">I47</f>
        <v>1368.2</v>
      </c>
      <c r="K47" s="151">
        <f t="shared" si="39"/>
        <v>1368.2</v>
      </c>
      <c r="L47" s="151">
        <f t="shared" si="39"/>
        <v>1368.2</v>
      </c>
      <c r="M47" s="151">
        <f t="shared" si="39"/>
        <v>1368.2</v>
      </c>
      <c r="N47" s="151">
        <f t="shared" si="39"/>
        <v>1368.2</v>
      </c>
      <c r="O47" s="151">
        <f t="shared" si="39"/>
        <v>1368.2</v>
      </c>
      <c r="P47" s="151">
        <f t="shared" si="39"/>
        <v>1368.2</v>
      </c>
      <c r="Q47" s="151">
        <f t="shared" si="39"/>
        <v>1368.2</v>
      </c>
      <c r="R47" s="151">
        <f t="shared" si="39"/>
        <v>1368.2</v>
      </c>
    </row>
    <row r="48" spans="2:18" x14ac:dyDescent="0.3">
      <c r="B48" s="196" t="s">
        <v>173</v>
      </c>
      <c r="C48" s="159"/>
      <c r="D48" s="151">
        <f>Historical!D78</f>
        <v>39736.6</v>
      </c>
      <c r="E48" s="151">
        <f>Historical!E78</f>
        <v>44793.4</v>
      </c>
      <c r="F48" s="151">
        <f>Historical!F78</f>
        <v>56815.199999999997</v>
      </c>
      <c r="G48" s="151">
        <f>Historical!G78</f>
        <v>56533</v>
      </c>
      <c r="H48" s="151">
        <f>Historical!H78</f>
        <v>61843.4</v>
      </c>
      <c r="I48" s="162">
        <f>('Income Statement'!H10*Assumptions!H22)/365</f>
        <v>69868.833617046839</v>
      </c>
      <c r="J48" s="162">
        <f>('Income Statement'!I10*Assumptions!I22)/365</f>
        <v>76855.716978751545</v>
      </c>
      <c r="K48" s="162">
        <f>('Income Statement'!J10*Assumptions!J22)/365</f>
        <v>84541.288676626689</v>
      </c>
      <c r="L48" s="162">
        <f>('Income Statement'!K10*Assumptions!K22)/365</f>
        <v>92995.417544289361</v>
      </c>
      <c r="M48" s="162">
        <f>('Income Statement'!L10*Assumptions!L22)/365</f>
        <v>102294.9592987183</v>
      </c>
      <c r="N48" s="162">
        <f>('Income Statement'!M10*Assumptions!M22)/365</f>
        <v>110811.0146603366</v>
      </c>
      <c r="O48" s="162">
        <f>('Income Statement'!N10*Assumptions!N22)/365</f>
        <v>118490.8412882554</v>
      </c>
      <c r="P48" s="162">
        <f>('Income Statement'!O10*Assumptions!O22)/365</f>
        <v>125327.39939696048</v>
      </c>
      <c r="Q48" s="162">
        <f>('Income Statement'!P10*Assumptions!P22)/365</f>
        <v>131347.21234365151</v>
      </c>
      <c r="R48" s="162">
        <f>('Income Statement'!Q10*Assumptions!Q22)/365</f>
        <v>136599.42220577699</v>
      </c>
    </row>
    <row r="49" spans="2:19" x14ac:dyDescent="0.3">
      <c r="B49" s="196" t="s">
        <v>174</v>
      </c>
      <c r="C49" s="159"/>
      <c r="D49" s="151">
        <f>Historical!D79</f>
        <v>44397.9</v>
      </c>
      <c r="E49" s="151">
        <f>Historical!E79</f>
        <v>25866.6</v>
      </c>
      <c r="F49" s="151">
        <f>Historical!F79</f>
        <v>22358.1</v>
      </c>
      <c r="G49" s="151">
        <f>Historical!G79</f>
        <v>25911.599999999999</v>
      </c>
      <c r="H49" s="151">
        <f>Historical!H79</f>
        <v>31176.300000000003</v>
      </c>
      <c r="I49" s="151">
        <f>H49</f>
        <v>31176.300000000003</v>
      </c>
      <c r="J49" s="151">
        <f t="shared" ref="J49:R49" si="40">I49</f>
        <v>31176.300000000003</v>
      </c>
      <c r="K49" s="151">
        <f t="shared" si="40"/>
        <v>31176.300000000003</v>
      </c>
      <c r="L49" s="151">
        <f t="shared" si="40"/>
        <v>31176.300000000003</v>
      </c>
      <c r="M49" s="151">
        <f t="shared" si="40"/>
        <v>31176.300000000003</v>
      </c>
      <c r="N49" s="151">
        <f t="shared" si="40"/>
        <v>31176.300000000003</v>
      </c>
      <c r="O49" s="151">
        <f t="shared" si="40"/>
        <v>31176.300000000003</v>
      </c>
      <c r="P49" s="151">
        <f t="shared" si="40"/>
        <v>31176.300000000003</v>
      </c>
      <c r="Q49" s="151">
        <f t="shared" si="40"/>
        <v>31176.300000000003</v>
      </c>
      <c r="R49" s="151">
        <f t="shared" si="40"/>
        <v>31176.300000000003</v>
      </c>
    </row>
    <row r="50" spans="2:19" x14ac:dyDescent="0.3">
      <c r="B50" s="196" t="s">
        <v>167</v>
      </c>
      <c r="C50" s="159"/>
      <c r="D50" s="151">
        <f>Historical!D80</f>
        <v>45826.5</v>
      </c>
      <c r="E50" s="151">
        <f>Historical!E80</f>
        <v>91478.2</v>
      </c>
      <c r="F50" s="151">
        <f>Historical!F80</f>
        <v>53543.8</v>
      </c>
      <c r="G50" s="151">
        <f>Historical!G80</f>
        <v>53575.6</v>
      </c>
      <c r="H50" s="151">
        <f>Historical!H80</f>
        <v>61551.3</v>
      </c>
      <c r="I50" s="151">
        <f>H50</f>
        <v>61551.3</v>
      </c>
      <c r="J50" s="151">
        <f t="shared" ref="J50:R50" si="41">I50</f>
        <v>61551.3</v>
      </c>
      <c r="K50" s="151">
        <f t="shared" si="41"/>
        <v>61551.3</v>
      </c>
      <c r="L50" s="151">
        <f t="shared" si="41"/>
        <v>61551.3</v>
      </c>
      <c r="M50" s="151">
        <f t="shared" si="41"/>
        <v>61551.3</v>
      </c>
      <c r="N50" s="151">
        <f t="shared" si="41"/>
        <v>61551.3</v>
      </c>
      <c r="O50" s="151">
        <f t="shared" si="41"/>
        <v>61551.3</v>
      </c>
      <c r="P50" s="151">
        <f t="shared" si="41"/>
        <v>61551.3</v>
      </c>
      <c r="Q50" s="151">
        <f t="shared" si="41"/>
        <v>61551.3</v>
      </c>
      <c r="R50" s="151">
        <f t="shared" si="41"/>
        <v>61551.3</v>
      </c>
    </row>
    <row r="51" spans="2:19" ht="15" thickBot="1" x14ac:dyDescent="0.35">
      <c r="B51" s="201" t="s">
        <v>175</v>
      </c>
      <c r="C51" s="163"/>
      <c r="D51" s="151">
        <f>Historical!D81</f>
        <v>1790.8</v>
      </c>
      <c r="E51" s="151">
        <f>Historical!E81</f>
        <v>1781.4</v>
      </c>
      <c r="F51" s="151">
        <f>Historical!F81</f>
        <v>3087.1</v>
      </c>
      <c r="G51" s="151">
        <f>Historical!G81</f>
        <v>4117</v>
      </c>
      <c r="H51" s="151">
        <f>Historical!H81</f>
        <v>7331.8</v>
      </c>
      <c r="I51" s="155">
        <f>H51</f>
        <v>7331.8</v>
      </c>
      <c r="J51" s="155">
        <f t="shared" ref="J51:R51" si="42">I51</f>
        <v>7331.8</v>
      </c>
      <c r="K51" s="155">
        <f t="shared" si="42"/>
        <v>7331.8</v>
      </c>
      <c r="L51" s="155">
        <f t="shared" si="42"/>
        <v>7331.8</v>
      </c>
      <c r="M51" s="155">
        <f t="shared" si="42"/>
        <v>7331.8</v>
      </c>
      <c r="N51" s="155">
        <f t="shared" si="42"/>
        <v>7331.8</v>
      </c>
      <c r="O51" s="155">
        <f t="shared" si="42"/>
        <v>7331.8</v>
      </c>
      <c r="P51" s="155">
        <f t="shared" si="42"/>
        <v>7331.8</v>
      </c>
      <c r="Q51" s="155">
        <f t="shared" si="42"/>
        <v>7331.8</v>
      </c>
      <c r="R51" s="155">
        <f t="shared" si="42"/>
        <v>7331.8</v>
      </c>
    </row>
    <row r="52" spans="2:19" ht="15" thickBot="1" x14ac:dyDescent="0.35">
      <c r="B52" s="207" t="s">
        <v>176</v>
      </c>
      <c r="C52" s="208"/>
      <c r="D52" s="209">
        <f>SUM(D46:D51)</f>
        <v>161456.29999999999</v>
      </c>
      <c r="E52" s="209">
        <f t="shared" ref="E52:H52" si="43">SUM(E46:E51)</f>
        <v>172005.49999999997</v>
      </c>
      <c r="F52" s="209">
        <f t="shared" si="43"/>
        <v>199063.80000000002</v>
      </c>
      <c r="G52" s="209">
        <f t="shared" si="43"/>
        <v>169837.7</v>
      </c>
      <c r="H52" s="209">
        <f t="shared" si="43"/>
        <v>181942.09999999998</v>
      </c>
      <c r="I52" s="209">
        <f>SUM(I46:I51)</f>
        <v>189967.53361704684</v>
      </c>
      <c r="J52" s="209">
        <f t="shared" ref="J52" si="44">SUM(J46:J51)</f>
        <v>196954.41697875154</v>
      </c>
      <c r="K52" s="209">
        <f t="shared" ref="K52" si="45">SUM(K46:K51)</f>
        <v>204639.9886766267</v>
      </c>
      <c r="L52" s="209">
        <f t="shared" ref="L52" si="46">SUM(L46:L51)</f>
        <v>213094.11754428933</v>
      </c>
      <c r="M52" s="209">
        <f t="shared" ref="M52:R52" si="47">SUM(M46:M51)</f>
        <v>222393.65929871827</v>
      </c>
      <c r="N52" s="209">
        <f t="shared" si="47"/>
        <v>230909.71466033661</v>
      </c>
      <c r="O52" s="209">
        <f t="shared" si="47"/>
        <v>238589.54128825536</v>
      </c>
      <c r="P52" s="209">
        <f t="shared" si="47"/>
        <v>245426.09939696046</v>
      </c>
      <c r="Q52" s="209">
        <f t="shared" si="47"/>
        <v>251445.91234365146</v>
      </c>
      <c r="R52" s="209">
        <f t="shared" si="47"/>
        <v>256698.12220577698</v>
      </c>
    </row>
    <row r="53" spans="2:19" ht="34.799999999999997" customHeight="1" thickBot="1" x14ac:dyDescent="0.35">
      <c r="B53" s="157" t="s">
        <v>177</v>
      </c>
      <c r="C53" s="169"/>
      <c r="D53" s="139">
        <f>Historical!D83</f>
        <v>0</v>
      </c>
      <c r="E53" s="139">
        <f>Historical!E83</f>
        <v>0</v>
      </c>
      <c r="F53" s="139">
        <f>Historical!F83</f>
        <v>6.2</v>
      </c>
      <c r="G53" s="139">
        <f>Historical!G83</f>
        <v>6.3</v>
      </c>
      <c r="H53" s="139">
        <f>Historical!H83</f>
        <v>0</v>
      </c>
      <c r="I53" s="212">
        <f>H53</f>
        <v>0</v>
      </c>
      <c r="J53" s="212">
        <f t="shared" ref="J53:R53" si="48">I53</f>
        <v>0</v>
      </c>
      <c r="K53" s="212">
        <f t="shared" si="48"/>
        <v>0</v>
      </c>
      <c r="L53" s="212">
        <f t="shared" si="48"/>
        <v>0</v>
      </c>
      <c r="M53" s="212">
        <f t="shared" si="48"/>
        <v>0</v>
      </c>
      <c r="N53" s="212">
        <f t="shared" si="48"/>
        <v>0</v>
      </c>
      <c r="O53" s="212">
        <f t="shared" si="48"/>
        <v>0</v>
      </c>
      <c r="P53" s="212">
        <f t="shared" si="48"/>
        <v>0</v>
      </c>
      <c r="Q53" s="212">
        <f t="shared" si="48"/>
        <v>0</v>
      </c>
      <c r="R53" s="212">
        <f t="shared" si="48"/>
        <v>0</v>
      </c>
    </row>
    <row r="54" spans="2:19" ht="15" thickBot="1" x14ac:dyDescent="0.35">
      <c r="B54" s="156" t="s">
        <v>4</v>
      </c>
      <c r="C54" s="168"/>
      <c r="D54" s="133">
        <f>D44+D52+D53</f>
        <v>181868.69999999998</v>
      </c>
      <c r="E54" s="133">
        <f t="shared" ref="E54:H54" si="49">E44+E52+E53</f>
        <v>187337.59999999998</v>
      </c>
      <c r="F54" s="133">
        <f t="shared" si="49"/>
        <v>214281.20000000004</v>
      </c>
      <c r="G54" s="133">
        <f t="shared" si="49"/>
        <v>183737.1</v>
      </c>
      <c r="H54" s="133">
        <f t="shared" si="49"/>
        <v>196146.3</v>
      </c>
      <c r="I54" s="133">
        <f>I44+I52</f>
        <v>204171.73361704685</v>
      </c>
      <c r="J54" s="133">
        <f>J44+J52</f>
        <v>211158.61697875155</v>
      </c>
      <c r="K54" s="133">
        <f>K44+K52</f>
        <v>218844.18867662671</v>
      </c>
      <c r="L54" s="133">
        <f>L44+L52</f>
        <v>227298.31754428934</v>
      </c>
      <c r="M54" s="133">
        <f>M44+M52</f>
        <v>236597.85929871828</v>
      </c>
      <c r="N54" s="133">
        <f t="shared" ref="N54:R54" si="50">N44+N52</f>
        <v>245113.91466033662</v>
      </c>
      <c r="O54" s="133">
        <f t="shared" si="50"/>
        <v>252793.74128825538</v>
      </c>
      <c r="P54" s="133">
        <f t="shared" si="50"/>
        <v>259630.29939696047</v>
      </c>
      <c r="Q54" s="133">
        <f t="shared" si="50"/>
        <v>265650.11234365148</v>
      </c>
      <c r="R54" s="133">
        <f t="shared" si="50"/>
        <v>270902.32220577699</v>
      </c>
    </row>
    <row r="55" spans="2:19" ht="15.6" thickTop="1" thickBot="1" x14ac:dyDescent="0.35">
      <c r="B55" s="181"/>
      <c r="C55" s="182"/>
      <c r="D55" s="183"/>
      <c r="E55" s="183"/>
      <c r="F55" s="183"/>
      <c r="G55" s="183"/>
      <c r="H55" s="183"/>
      <c r="I55" s="236"/>
      <c r="J55" s="236"/>
      <c r="K55" s="236"/>
      <c r="L55" s="236"/>
      <c r="M55" s="237"/>
      <c r="N55" s="237"/>
      <c r="O55" s="237"/>
      <c r="P55" s="237"/>
      <c r="Q55" s="237"/>
      <c r="R55" s="237"/>
    </row>
    <row r="56" spans="2:19" ht="15" thickBot="1" x14ac:dyDescent="0.35">
      <c r="B56" s="156" t="s">
        <v>178</v>
      </c>
      <c r="C56" s="168"/>
      <c r="D56" s="133">
        <f t="shared" ref="D56:M56" si="51">D35+D54</f>
        <v>676667</v>
      </c>
      <c r="E56" s="133">
        <f t="shared" si="51"/>
        <v>697998.7</v>
      </c>
      <c r="F56" s="133">
        <f t="shared" si="51"/>
        <v>807435.90000000014</v>
      </c>
      <c r="G56" s="133">
        <f t="shared" si="51"/>
        <v>854996.5</v>
      </c>
      <c r="H56" s="133">
        <f t="shared" si="51"/>
        <v>921005.8</v>
      </c>
      <c r="I56" s="133">
        <f t="shared" si="51"/>
        <v>1004931.4154995956</v>
      </c>
      <c r="J56" s="133">
        <f t="shared" si="51"/>
        <v>1097125.3336349768</v>
      </c>
      <c r="K56" s="133">
        <f t="shared" si="51"/>
        <v>1199777.7012456348</v>
      </c>
      <c r="L56" s="133">
        <f t="shared" si="51"/>
        <v>1314291.2994047175</v>
      </c>
      <c r="M56" s="133">
        <f t="shared" si="51"/>
        <v>1441345.7231802838</v>
      </c>
      <c r="N56" s="133">
        <f t="shared" ref="N56:R56" si="52">N35+N54</f>
        <v>1578707.8854801105</v>
      </c>
      <c r="O56" s="133">
        <f t="shared" si="52"/>
        <v>1724705.4325568462</v>
      </c>
      <c r="P56" s="133">
        <f t="shared" si="52"/>
        <v>1878725.7362184646</v>
      </c>
      <c r="Q56" s="133">
        <f t="shared" si="52"/>
        <v>2039095.1718764056</v>
      </c>
      <c r="R56" s="133">
        <f t="shared" si="52"/>
        <v>2205502.9703988507</v>
      </c>
    </row>
    <row r="57" spans="2:19" ht="15" thickTop="1" x14ac:dyDescent="0.3">
      <c r="D57" s="362" t="str">
        <f>IF(D56=D28,"Tallied","Error")</f>
        <v>Tallied</v>
      </c>
      <c r="E57" s="362" t="str">
        <f t="shared" ref="E57:R57" si="53">IF(E56=E28,"Tallied","Error")</f>
        <v>Tallied</v>
      </c>
      <c r="F57" s="362" t="str">
        <f t="shared" si="53"/>
        <v>Tallied</v>
      </c>
      <c r="G57" s="362" t="str">
        <f t="shared" si="53"/>
        <v>Tallied</v>
      </c>
      <c r="H57" s="362" t="str">
        <f t="shared" si="53"/>
        <v>Tallied</v>
      </c>
      <c r="I57" s="362" t="str">
        <f t="shared" si="53"/>
        <v>Tallied</v>
      </c>
      <c r="J57" s="362" t="str">
        <f t="shared" si="53"/>
        <v>Tallied</v>
      </c>
      <c r="K57" s="362" t="str">
        <f t="shared" si="53"/>
        <v>Tallied</v>
      </c>
      <c r="L57" s="362" t="str">
        <f t="shared" si="53"/>
        <v>Tallied</v>
      </c>
      <c r="M57" s="362" t="str">
        <f t="shared" si="53"/>
        <v>Tallied</v>
      </c>
      <c r="N57" s="362" t="str">
        <f t="shared" si="53"/>
        <v>Tallied</v>
      </c>
      <c r="O57" s="362" t="str">
        <f t="shared" si="53"/>
        <v>Tallied</v>
      </c>
      <c r="P57" s="362" t="str">
        <f t="shared" si="53"/>
        <v>Error</v>
      </c>
      <c r="Q57" s="362" t="str">
        <f t="shared" si="53"/>
        <v>Tallied</v>
      </c>
      <c r="R57" s="362" t="str">
        <f t="shared" si="53"/>
        <v>Tallied</v>
      </c>
    </row>
    <row r="58" spans="2:19" x14ac:dyDescent="0.3">
      <c r="D58" s="24"/>
      <c r="E58" s="24"/>
      <c r="F58" s="24"/>
      <c r="G58" s="24"/>
      <c r="H58" s="24"/>
      <c r="I58" s="24"/>
      <c r="J58" s="24"/>
      <c r="K58" s="24"/>
      <c r="L58" s="24"/>
      <c r="M58" s="24"/>
      <c r="N58" s="24"/>
      <c r="O58" s="24"/>
      <c r="P58" s="24"/>
      <c r="Q58" s="24"/>
      <c r="R58" s="24"/>
    </row>
    <row r="59" spans="2:19" x14ac:dyDescent="0.3">
      <c r="I59" s="142"/>
      <c r="J59" s="142"/>
      <c r="K59" s="142"/>
      <c r="L59" s="142"/>
      <c r="M59" s="142"/>
      <c r="N59" s="142"/>
      <c r="O59" s="142"/>
      <c r="P59" s="142"/>
      <c r="Q59" s="142"/>
      <c r="R59" s="142"/>
      <c r="S59" s="142"/>
    </row>
  </sheetData>
  <mergeCells count="4">
    <mergeCell ref="D7:H7"/>
    <mergeCell ref="B9:C9"/>
    <mergeCell ref="O6:R6"/>
    <mergeCell ref="I7:R7"/>
  </mergeCells>
  <pageMargins left="0.7" right="0.7" top="0.75" bottom="0.75" header="0.3" footer="0.3"/>
  <ignoredErrors>
    <ignoredError sqref="I33:R33 J26:R26" formula="1"/>
  </ignoredError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BEED9"/>
  </sheetPr>
  <dimension ref="A1:R25"/>
  <sheetViews>
    <sheetView showGridLines="0" workbookViewId="0">
      <selection activeCell="H22" sqref="H22"/>
    </sheetView>
  </sheetViews>
  <sheetFormatPr defaultRowHeight="14.4" x14ac:dyDescent="0.3"/>
  <cols>
    <col min="1" max="1" width="2.88671875" customWidth="1"/>
    <col min="2" max="2" width="34.44140625" bestFit="1" customWidth="1"/>
    <col min="3" max="7" width="10.109375" bestFit="1" customWidth="1"/>
    <col min="8" max="12" width="12" customWidth="1"/>
    <col min="13" max="13" width="10.109375" bestFit="1" customWidth="1"/>
    <col min="14" max="17" width="11.6640625" style="323" bestFit="1" customWidth="1"/>
    <col min="18" max="18" width="2.109375" style="323" customWidth="1"/>
    <col min="19" max="16384" width="8.88671875" style="255"/>
  </cols>
  <sheetData>
    <row r="1" spans="1:17" x14ac:dyDescent="0.3">
      <c r="A1" s="26"/>
      <c r="B1" s="40"/>
      <c r="C1" s="40"/>
      <c r="D1" s="40"/>
      <c r="E1" s="40"/>
      <c r="F1" s="40"/>
      <c r="G1" s="40"/>
      <c r="H1" s="40"/>
      <c r="I1" s="40"/>
      <c r="J1" s="40"/>
      <c r="K1" s="40"/>
      <c r="L1" s="40"/>
      <c r="M1" s="40"/>
      <c r="N1" s="40"/>
      <c r="O1" s="40"/>
      <c r="P1" s="40"/>
      <c r="Q1" s="40"/>
    </row>
    <row r="2" spans="1:17" x14ac:dyDescent="0.3">
      <c r="A2" s="26"/>
      <c r="B2" s="40"/>
      <c r="C2" s="40"/>
      <c r="D2" s="40"/>
      <c r="E2" s="40"/>
      <c r="F2" s="40"/>
      <c r="G2" s="40"/>
      <c r="H2" s="40"/>
      <c r="I2" s="40"/>
      <c r="J2" s="40"/>
      <c r="K2" s="40"/>
      <c r="L2" s="40"/>
      <c r="M2" s="40"/>
      <c r="N2" s="40"/>
      <c r="O2" s="40"/>
      <c r="P2" s="40"/>
      <c r="Q2" s="40"/>
    </row>
    <row r="3" spans="1:17" x14ac:dyDescent="0.3">
      <c r="A3" s="26"/>
      <c r="B3" s="40"/>
      <c r="C3" s="40"/>
      <c r="D3" s="40"/>
      <c r="E3" s="40"/>
      <c r="F3" s="40"/>
      <c r="G3" s="40"/>
      <c r="H3" s="40"/>
      <c r="I3" s="40"/>
      <c r="J3" s="40"/>
      <c r="K3" s="40"/>
      <c r="L3" s="40"/>
      <c r="M3" s="40"/>
      <c r="N3" s="40"/>
      <c r="O3" s="40"/>
      <c r="P3" s="40"/>
      <c r="Q3" s="40"/>
    </row>
    <row r="4" spans="1:17" x14ac:dyDescent="0.3">
      <c r="A4" s="26"/>
      <c r="B4" s="40"/>
      <c r="C4" s="40"/>
      <c r="D4" s="40"/>
      <c r="E4" s="40"/>
      <c r="F4" s="40"/>
      <c r="G4" s="40"/>
      <c r="H4" s="40"/>
      <c r="I4" s="40"/>
      <c r="J4" s="40"/>
      <c r="K4" s="40"/>
      <c r="L4" s="40"/>
      <c r="M4" s="40"/>
      <c r="N4" s="40"/>
      <c r="O4" s="40"/>
      <c r="P4" s="40"/>
      <c r="Q4" s="40"/>
    </row>
    <row r="5" spans="1:17" x14ac:dyDescent="0.3">
      <c r="A5" s="26"/>
      <c r="B5" s="40"/>
      <c r="C5" s="40"/>
      <c r="D5" s="40"/>
      <c r="E5" s="40"/>
      <c r="F5" s="40"/>
      <c r="G5" s="40"/>
      <c r="H5" s="40"/>
      <c r="I5" s="40"/>
      <c r="J5" s="40"/>
      <c r="K5" s="40"/>
      <c r="L5" s="40"/>
      <c r="M5" s="40"/>
      <c r="N5" s="40"/>
      <c r="O5" s="40"/>
      <c r="P5" s="40"/>
      <c r="Q5" s="40"/>
    </row>
    <row r="6" spans="1:17" x14ac:dyDescent="0.3">
      <c r="A6" s="21"/>
      <c r="B6" s="21"/>
      <c r="C6" s="21"/>
      <c r="D6" s="21"/>
      <c r="E6" s="21"/>
      <c r="F6" s="21"/>
      <c r="G6" s="21"/>
      <c r="H6" s="21"/>
      <c r="M6" s="21"/>
      <c r="N6" s="494" t="s">
        <v>276</v>
      </c>
      <c r="O6" s="494"/>
      <c r="P6" s="494"/>
      <c r="Q6" s="494"/>
    </row>
    <row r="7" spans="1:17" x14ac:dyDescent="0.3">
      <c r="B7" s="242"/>
      <c r="C7" s="480" t="s">
        <v>13</v>
      </c>
      <c r="D7" s="480"/>
      <c r="E7" s="480"/>
      <c r="F7" s="480"/>
      <c r="G7" s="480"/>
      <c r="H7" s="514" t="s">
        <v>12</v>
      </c>
      <c r="I7" s="514"/>
      <c r="J7" s="514"/>
      <c r="K7" s="514"/>
      <c r="L7" s="514"/>
      <c r="M7" s="514"/>
      <c r="N7" s="514"/>
      <c r="O7" s="514"/>
      <c r="P7" s="514"/>
      <c r="Q7" s="514"/>
    </row>
    <row r="8" spans="1:17" x14ac:dyDescent="0.3">
      <c r="B8" s="244" t="s">
        <v>14</v>
      </c>
      <c r="C8" s="121">
        <v>44286</v>
      </c>
      <c r="D8" s="121">
        <v>44651</v>
      </c>
      <c r="E8" s="121">
        <v>45016</v>
      </c>
      <c r="F8" s="121">
        <v>45382</v>
      </c>
      <c r="G8" s="121">
        <v>45747</v>
      </c>
      <c r="H8" s="121">
        <v>46112</v>
      </c>
      <c r="I8" s="121">
        <v>46477</v>
      </c>
      <c r="J8" s="121">
        <v>46843</v>
      </c>
      <c r="K8" s="121">
        <v>47208</v>
      </c>
      <c r="L8" s="121">
        <v>47573</v>
      </c>
      <c r="M8" s="121">
        <f>L8+365</f>
        <v>47938</v>
      </c>
      <c r="N8" s="121">
        <f t="shared" ref="N8:Q8" si="0">M8+365</f>
        <v>48303</v>
      </c>
      <c r="O8" s="121">
        <f t="shared" si="0"/>
        <v>48668</v>
      </c>
      <c r="P8" s="121">
        <f t="shared" si="0"/>
        <v>49033</v>
      </c>
      <c r="Q8" s="121">
        <f t="shared" si="0"/>
        <v>49398</v>
      </c>
    </row>
    <row r="9" spans="1:17" x14ac:dyDescent="0.3">
      <c r="B9" s="245" t="s">
        <v>0</v>
      </c>
      <c r="C9" s="216">
        <f>Historical!D10</f>
        <v>334981.40000000002</v>
      </c>
      <c r="D9" s="216">
        <f>Historical!E10</f>
        <v>386544.9</v>
      </c>
      <c r="E9" s="216">
        <f>Historical!F10</f>
        <v>438856.8</v>
      </c>
      <c r="F9" s="216">
        <f>Historical!G10</f>
        <v>484968.5</v>
      </c>
      <c r="G9" s="216">
        <f>Historical!H10</f>
        <v>525784.4</v>
      </c>
      <c r="H9" s="216">
        <f>G9*(1+Assumptions!H10)</f>
        <v>578362.84000000008</v>
      </c>
      <c r="I9" s="216">
        <f>H9*(1+Assumptions!I10)</f>
        <v>636199.12400000019</v>
      </c>
      <c r="J9" s="216">
        <f>I9*(1+Assumptions!J10)</f>
        <v>699819.03640000022</v>
      </c>
      <c r="K9" s="216">
        <f>J9*(1+Assumptions!K10)</f>
        <v>769800.94004000025</v>
      </c>
      <c r="L9" s="216">
        <f>K9*(1+Assumptions!L10)</f>
        <v>846781.03404400032</v>
      </c>
      <c r="M9" s="216">
        <f>L9*(1+Assumptions!M10)</f>
        <v>917275.55512816343</v>
      </c>
      <c r="N9" s="216">
        <f>M9*(1+Assumptions!N10)</f>
        <v>980847.91077354271</v>
      </c>
      <c r="O9" s="216">
        <f>N9*(1+Assumptions!O10)</f>
        <v>1037439.8267807249</v>
      </c>
      <c r="P9" s="216">
        <f>O9*(1+Assumptions!P10)</f>
        <v>1087270.8591863886</v>
      </c>
      <c r="Q9" s="216">
        <f>P9*(1+Assumptions!Q10)</f>
        <v>1130747.798114331</v>
      </c>
    </row>
    <row r="10" spans="1:17" ht="15" thickBot="1" x14ac:dyDescent="0.35">
      <c r="B10" s="248" t="s">
        <v>129</v>
      </c>
      <c r="C10" s="265">
        <f>Historical!D14+Historical!D15+Historical!D16</f>
        <v>86900.800000000003</v>
      </c>
      <c r="D10" s="265">
        <f>Historical!E14+Historical!E15+Historical!E16</f>
        <v>103515.4</v>
      </c>
      <c r="E10" s="265">
        <f>Historical!F14+Historical!F15+Historical!F16</f>
        <v>106621.59999999999</v>
      </c>
      <c r="F10" s="265">
        <f>Historical!G14+Historical!G15+Historical!G16</f>
        <v>106626.1</v>
      </c>
      <c r="G10" s="265">
        <f>Historical!H14+Historical!H15+Historical!H16</f>
        <v>107473.60000000001</v>
      </c>
      <c r="H10" s="265">
        <f>H9*Assumptions!H11</f>
        <v>138163.65647939756</v>
      </c>
      <c r="I10" s="265">
        <f>I9*Assumptions!I11</f>
        <v>151980.02212733735</v>
      </c>
      <c r="J10" s="265">
        <f>J9*Assumptions!J11</f>
        <v>167178.02434007108</v>
      </c>
      <c r="K10" s="265">
        <f>K9*Assumptions!K11</f>
        <v>183895.82677407819</v>
      </c>
      <c r="L10" s="265">
        <f>L9*Assumptions!L11</f>
        <v>202285.40945148602</v>
      </c>
      <c r="M10" s="265">
        <f>M9*Assumptions!M11</f>
        <v>219125.66978832224</v>
      </c>
      <c r="N10" s="265">
        <f>N9*Assumptions!N11</f>
        <v>234312.31128654553</v>
      </c>
      <c r="O10" s="265">
        <f>O9*Assumptions!O11</f>
        <v>247831.41296798695</v>
      </c>
      <c r="P10" s="265">
        <f>P9*Assumptions!P11</f>
        <v>259735.42402670201</v>
      </c>
      <c r="Q10" s="265">
        <f>Q9*Assumptions!Q11</f>
        <v>270121.52154087834</v>
      </c>
    </row>
    <row r="11" spans="1:17" x14ac:dyDescent="0.3">
      <c r="B11" s="249" t="s">
        <v>11</v>
      </c>
      <c r="C11" s="223">
        <f>C9-C10</f>
        <v>248080.60000000003</v>
      </c>
      <c r="D11" s="223">
        <f t="shared" ref="D11:G11" si="1">D9-D10</f>
        <v>283029.5</v>
      </c>
      <c r="E11" s="223">
        <f t="shared" si="1"/>
        <v>332235.2</v>
      </c>
      <c r="F11" s="223">
        <f t="shared" si="1"/>
        <v>378342.40000000002</v>
      </c>
      <c r="G11" s="223">
        <f t="shared" si="1"/>
        <v>418310.80000000005</v>
      </c>
      <c r="H11" s="223">
        <f t="shared" ref="H11:L11" si="2">H9-H10</f>
        <v>440199.18352060253</v>
      </c>
      <c r="I11" s="223">
        <f t="shared" si="2"/>
        <v>484219.10187266284</v>
      </c>
      <c r="J11" s="223">
        <f t="shared" si="2"/>
        <v>532641.01205992908</v>
      </c>
      <c r="K11" s="223">
        <f t="shared" si="2"/>
        <v>585905.11326592206</v>
      </c>
      <c r="L11" s="223">
        <f t="shared" si="2"/>
        <v>644495.62459251424</v>
      </c>
      <c r="M11" s="223">
        <f t="shared" ref="M11:Q11" si="3">M9-M10</f>
        <v>698149.88533984125</v>
      </c>
      <c r="N11" s="223">
        <f t="shared" si="3"/>
        <v>746535.59948699712</v>
      </c>
      <c r="O11" s="223">
        <f t="shared" si="3"/>
        <v>789608.41381273791</v>
      </c>
      <c r="P11" s="223">
        <f t="shared" si="3"/>
        <v>827535.43515968649</v>
      </c>
      <c r="Q11" s="223">
        <f t="shared" si="3"/>
        <v>860626.27657345263</v>
      </c>
    </row>
    <row r="12" spans="1:17" x14ac:dyDescent="0.3">
      <c r="B12" s="247" t="s">
        <v>130</v>
      </c>
      <c r="C12" s="162">
        <f>Historical!D17</f>
        <v>68622.3</v>
      </c>
      <c r="D12" s="162">
        <f>Historical!E17</f>
        <v>73008.3</v>
      </c>
      <c r="E12" s="162">
        <f>Historical!F17</f>
        <v>82960.3</v>
      </c>
      <c r="F12" s="162">
        <f>Historical!G17</f>
        <v>94290.6</v>
      </c>
      <c r="G12" s="162">
        <f>Historical!H17</f>
        <v>99731.199999999997</v>
      </c>
      <c r="H12" s="162">
        <f>'Income Statement'!H9*Assumptions!H12</f>
        <v>111840.61614509464</v>
      </c>
      <c r="I12" s="162">
        <f>'Income Statement'!I9*Assumptions!I12</f>
        <v>123024.67775960412</v>
      </c>
      <c r="J12" s="162">
        <f>'Income Statement'!J9*Assumptions!J12</f>
        <v>135327.14553556454</v>
      </c>
      <c r="K12" s="162">
        <f>'Income Statement'!K9*Assumptions!K12</f>
        <v>148859.86008912101</v>
      </c>
      <c r="L12" s="162">
        <f>'Income Statement'!L9*Assumptions!L12</f>
        <v>163745.8460980331</v>
      </c>
      <c r="M12" s="162">
        <f>'Income Statement'!M9*Assumptions!M12</f>
        <v>177377.68778569438</v>
      </c>
      <c r="N12" s="162">
        <f>'Income Statement'!N9*Assumptions!N12</f>
        <v>189670.95929873679</v>
      </c>
      <c r="O12" s="162">
        <f>'Income Statement'!O9*Assumptions!O12</f>
        <v>200614.39189387843</v>
      </c>
      <c r="P12" s="162">
        <f>'Income Statement'!P9*Assumptions!P12</f>
        <v>210250.44210657122</v>
      </c>
      <c r="Q12" s="162">
        <f>'Income Statement'!Q9*Assumptions!Q12</f>
        <v>218657.77276737877</v>
      </c>
    </row>
    <row r="13" spans="1:17" ht="15" thickBot="1" x14ac:dyDescent="0.35">
      <c r="B13" s="248" t="s">
        <v>131</v>
      </c>
      <c r="C13" s="210">
        <f>Historical!D20</f>
        <v>94781.1</v>
      </c>
      <c r="D13" s="210">
        <f>Historical!E20</f>
        <v>107583.6</v>
      </c>
      <c r="E13" s="210">
        <f>Historical!F20</f>
        <v>131546</v>
      </c>
      <c r="F13" s="210">
        <f>Historical!G20</f>
        <v>154181.79999999999</v>
      </c>
      <c r="G13" s="210">
        <f>Historical!H20</f>
        <v>167718</v>
      </c>
      <c r="H13" s="210">
        <f>H9*Assumptions!H13</f>
        <v>173268.24949587529</v>
      </c>
      <c r="I13" s="210">
        <f>I9*Assumptions!I13</f>
        <v>190595.07444546287</v>
      </c>
      <c r="J13" s="210">
        <f>J9*Assumptions!J13</f>
        <v>209654.58189000917</v>
      </c>
      <c r="K13" s="210">
        <f>K9*Assumptions!K13</f>
        <v>230620.04007901007</v>
      </c>
      <c r="L13" s="210">
        <f>L9*Assumptions!L13</f>
        <v>253682.0440869111</v>
      </c>
      <c r="M13" s="210">
        <f>M9*Assumptions!M13</f>
        <v>274801.07425714645</v>
      </c>
      <c r="N13" s="210">
        <f>N9*Assumptions!N13</f>
        <v>293846.33445920941</v>
      </c>
      <c r="O13" s="210">
        <f>O9*Assumptions!O13</f>
        <v>310800.36667570187</v>
      </c>
      <c r="P13" s="210">
        <f>P9*Assumptions!P13</f>
        <v>325728.94638096367</v>
      </c>
      <c r="Q13" s="210">
        <f>Q9*Assumptions!Q13</f>
        <v>338753.94138493668</v>
      </c>
    </row>
    <row r="14" spans="1:17" x14ac:dyDescent="0.3">
      <c r="B14" s="250" t="s">
        <v>86</v>
      </c>
      <c r="C14" s="223">
        <f>C11-C12-C13</f>
        <v>84677.200000000041</v>
      </c>
      <c r="D14" s="223">
        <f t="shared" ref="D14:G14" si="4">D11-D12-D13</f>
        <v>102437.6</v>
      </c>
      <c r="E14" s="223">
        <f t="shared" si="4"/>
        <v>117728.90000000002</v>
      </c>
      <c r="F14" s="223">
        <f t="shared" si="4"/>
        <v>129870.00000000006</v>
      </c>
      <c r="G14" s="223">
        <f t="shared" si="4"/>
        <v>150861.60000000003</v>
      </c>
      <c r="H14" s="223">
        <f t="shared" ref="H14" si="5">H11-H12-H13</f>
        <v>155090.31787963261</v>
      </c>
      <c r="I14" s="223">
        <f t="shared" ref="I14" si="6">I11-I12-I13</f>
        <v>170599.34966759584</v>
      </c>
      <c r="J14" s="223">
        <f t="shared" ref="J14" si="7">J11-J12-J13</f>
        <v>187659.2846343554</v>
      </c>
      <c r="K14" s="223">
        <f t="shared" ref="K14" si="8">K11-K12-K13</f>
        <v>206425.21309779095</v>
      </c>
      <c r="L14" s="223">
        <f t="shared" ref="L14:Q14" si="9">L11-L12-L13</f>
        <v>227067.73440757001</v>
      </c>
      <c r="M14" s="223">
        <f t="shared" si="9"/>
        <v>245971.12329700042</v>
      </c>
      <c r="N14" s="223">
        <f t="shared" si="9"/>
        <v>263018.30572905095</v>
      </c>
      <c r="O14" s="223">
        <f t="shared" si="9"/>
        <v>278193.65524315758</v>
      </c>
      <c r="P14" s="223">
        <f t="shared" si="9"/>
        <v>291556.04667215154</v>
      </c>
      <c r="Q14" s="223">
        <f t="shared" si="9"/>
        <v>303214.56242113723</v>
      </c>
    </row>
    <row r="15" spans="1:17" ht="15" thickBot="1" x14ac:dyDescent="0.35">
      <c r="B15" s="248" t="s">
        <v>235</v>
      </c>
      <c r="C15" s="210">
        <f>Historical!D19</f>
        <v>20799.5</v>
      </c>
      <c r="D15" s="210">
        <f>Historical!E19</f>
        <v>21437.4</v>
      </c>
      <c r="E15" s="210">
        <f>Historical!F19</f>
        <v>25294.3</v>
      </c>
      <c r="F15" s="210">
        <f>Historical!G19</f>
        <v>25566.400000000001</v>
      </c>
      <c r="G15" s="210">
        <f>Historical!H19</f>
        <v>25753.9</v>
      </c>
      <c r="H15" s="210">
        <f>Schedules!H20</f>
        <v>25612.347445690481</v>
      </c>
      <c r="I15" s="210">
        <f>Schedules!I20</f>
        <v>25204.790075476842</v>
      </c>
      <c r="J15" s="210">
        <f>Schedules!J20</f>
        <v>25181.207151985574</v>
      </c>
      <c r="K15" s="210">
        <f>Schedules!K20</f>
        <v>24942.760590951661</v>
      </c>
      <c r="L15" s="210">
        <f>Schedules!L20</f>
        <v>25045.007079579806</v>
      </c>
      <c r="M15" s="210">
        <f>Schedules!M20</f>
        <v>24902.939105410849</v>
      </c>
      <c r="N15" s="210">
        <f>Schedules!N20</f>
        <v>25078.044227595674</v>
      </c>
      <c r="O15" s="210">
        <f>Schedules!O20</f>
        <v>24990.448127622425</v>
      </c>
      <c r="P15" s="210">
        <f>Schedules!P20</f>
        <v>25332.792762261462</v>
      </c>
      <c r="Q15" s="210">
        <f>Schedules!Q20</f>
        <v>25242.099702620228</v>
      </c>
    </row>
    <row r="16" spans="1:17" x14ac:dyDescent="0.3">
      <c r="B16" s="250" t="s">
        <v>10</v>
      </c>
      <c r="C16" s="223">
        <f>C14-C15</f>
        <v>63877.700000000041</v>
      </c>
      <c r="D16" s="223">
        <f t="shared" ref="D16:G16" si="10">D14-D15</f>
        <v>81000.200000000012</v>
      </c>
      <c r="E16" s="223">
        <f t="shared" si="10"/>
        <v>92434.60000000002</v>
      </c>
      <c r="F16" s="223">
        <f t="shared" si="10"/>
        <v>104303.60000000006</v>
      </c>
      <c r="G16" s="223">
        <f t="shared" si="10"/>
        <v>125107.70000000004</v>
      </c>
      <c r="H16" s="223">
        <f t="shared" ref="H16:L16" si="11">H14-H15</f>
        <v>129477.97043394213</v>
      </c>
      <c r="I16" s="223">
        <f t="shared" si="11"/>
        <v>145394.55959211901</v>
      </c>
      <c r="J16" s="223">
        <f t="shared" si="11"/>
        <v>162478.07748236982</v>
      </c>
      <c r="K16" s="223">
        <f t="shared" si="11"/>
        <v>181482.4525068393</v>
      </c>
      <c r="L16" s="223">
        <f t="shared" si="11"/>
        <v>202022.7273279902</v>
      </c>
      <c r="M16" s="223">
        <f t="shared" ref="M16:Q16" si="12">M14-M15</f>
        <v>221068.18419158956</v>
      </c>
      <c r="N16" s="223">
        <f t="shared" si="12"/>
        <v>237940.26150145527</v>
      </c>
      <c r="O16" s="223">
        <f t="shared" si="12"/>
        <v>253203.20711553516</v>
      </c>
      <c r="P16" s="223">
        <f t="shared" si="12"/>
        <v>266223.25390989007</v>
      </c>
      <c r="Q16" s="223">
        <f t="shared" si="12"/>
        <v>277972.462718517</v>
      </c>
    </row>
    <row r="17" spans="2:18" x14ac:dyDescent="0.3">
      <c r="B17" s="246" t="s">
        <v>132</v>
      </c>
      <c r="C17" s="162">
        <f>Historical!D18</f>
        <v>1414.3</v>
      </c>
      <c r="D17" s="162">
        <f>Historical!E18</f>
        <v>1273.5</v>
      </c>
      <c r="E17" s="162">
        <f>Historical!F18</f>
        <v>1720</v>
      </c>
      <c r="F17" s="162">
        <f>Historical!G18</f>
        <v>2384.6999999999998</v>
      </c>
      <c r="G17" s="162">
        <f>Historical!H18</f>
        <v>2313.6</v>
      </c>
      <c r="H17" s="162">
        <f>Schedules!H27</f>
        <v>1520.0446879315737</v>
      </c>
      <c r="I17" s="162">
        <f>Schedules!I27</f>
        <v>1520.0446879315737</v>
      </c>
      <c r="J17" s="162">
        <f>Schedules!J27</f>
        <v>1520.0446879315737</v>
      </c>
      <c r="K17" s="162">
        <f>Schedules!K27</f>
        <v>1520.0446879315737</v>
      </c>
      <c r="L17" s="162">
        <f>Schedules!L27</f>
        <v>1520.0446879315737</v>
      </c>
      <c r="M17" s="162">
        <f>Schedules!M27</f>
        <v>1520.0446879315737</v>
      </c>
      <c r="N17" s="162">
        <f>Schedules!N27</f>
        <v>1520.0446879315737</v>
      </c>
      <c r="O17" s="162">
        <f>Schedules!O27</f>
        <v>1520.0446879315737</v>
      </c>
      <c r="P17" s="162">
        <f>Schedules!P27</f>
        <v>1520.0446879315737</v>
      </c>
      <c r="Q17" s="162">
        <f>Schedules!Q27</f>
        <v>1520.0446879315737</v>
      </c>
    </row>
    <row r="18" spans="2:18" ht="15" thickBot="1" x14ac:dyDescent="0.35">
      <c r="B18" s="248" t="s">
        <v>133</v>
      </c>
      <c r="C18" s="210">
        <f>Historical!D11-Historical!D21-Historical!D24</f>
        <v>-34469.699999999997</v>
      </c>
      <c r="D18" s="210">
        <f>Historical!E11-Historical!E21-Historical!E24</f>
        <v>-34913.5</v>
      </c>
      <c r="E18" s="210">
        <f>Historical!F11-Historical!F21-Historical!F24</f>
        <v>3369.7</v>
      </c>
      <c r="F18" s="210">
        <f>Historical!G11-Historical!G21-Historical!G24</f>
        <v>8960</v>
      </c>
      <c r="G18" s="210">
        <f>Historical!H11-Historical!H21-Historical!H24</f>
        <v>14727.2</v>
      </c>
      <c r="H18" s="210">
        <f>H9*Assumptions!H17</f>
        <v>10442.099242224969</v>
      </c>
      <c r="I18" s="210">
        <f>I9*Assumptions!I17</f>
        <v>11486.309166447467</v>
      </c>
      <c r="J18" s="210">
        <f>J9*Assumptions!J17</f>
        <v>12634.940083092213</v>
      </c>
      <c r="K18" s="210">
        <f>K9*Assumptions!K17</f>
        <v>13898.434091401436</v>
      </c>
      <c r="L18" s="210">
        <f>L9*Assumptions!L17</f>
        <v>15288.277500541581</v>
      </c>
      <c r="M18" s="210">
        <f>M9*Assumptions!M17</f>
        <v>16561.026602461669</v>
      </c>
      <c r="N18" s="210">
        <f>N9*Assumptions!N17</f>
        <v>17708.7989017869</v>
      </c>
      <c r="O18" s="210">
        <f>O9*Assumptions!O17</f>
        <v>18730.542282213373</v>
      </c>
      <c r="P18" s="210">
        <f>P9*Assumptions!P17</f>
        <v>19630.220736179173</v>
      </c>
      <c r="Q18" s="210">
        <f>Q9*Assumptions!Q17</f>
        <v>20415.178689276105</v>
      </c>
    </row>
    <row r="19" spans="2:18" x14ac:dyDescent="0.3">
      <c r="B19" s="250" t="s">
        <v>2</v>
      </c>
      <c r="C19" s="223">
        <f>C16-C17+C18</f>
        <v>27993.700000000041</v>
      </c>
      <c r="D19" s="223">
        <f t="shared" ref="D19:G19" si="13">D16-D17+D18</f>
        <v>44813.200000000012</v>
      </c>
      <c r="E19" s="223">
        <f t="shared" si="13"/>
        <v>94084.300000000017</v>
      </c>
      <c r="F19" s="223">
        <f t="shared" si="13"/>
        <v>110878.90000000007</v>
      </c>
      <c r="G19" s="223">
        <f t="shared" si="13"/>
        <v>137521.30000000005</v>
      </c>
      <c r="H19" s="223">
        <f t="shared" ref="H19:L19" si="14">H16-H17+H18</f>
        <v>138400.02498823553</v>
      </c>
      <c r="I19" s="223">
        <f t="shared" si="14"/>
        <v>155360.8240706349</v>
      </c>
      <c r="J19" s="223">
        <f t="shared" si="14"/>
        <v>173592.97287753047</v>
      </c>
      <c r="K19" s="223">
        <f t="shared" si="14"/>
        <v>193860.84191030916</v>
      </c>
      <c r="L19" s="223">
        <f t="shared" si="14"/>
        <v>215790.96014060022</v>
      </c>
      <c r="M19" s="223">
        <f t="shared" ref="M19:Q19" si="15">M16-M17+M18</f>
        <v>236109.16610611966</v>
      </c>
      <c r="N19" s="223">
        <f t="shared" si="15"/>
        <v>254129.01571531061</v>
      </c>
      <c r="O19" s="223">
        <f t="shared" si="15"/>
        <v>270413.70470981696</v>
      </c>
      <c r="P19" s="223">
        <f t="shared" si="15"/>
        <v>284333.42995813763</v>
      </c>
      <c r="Q19" s="223">
        <f t="shared" si="15"/>
        <v>296867.5967198615</v>
      </c>
    </row>
    <row r="20" spans="2:18" x14ac:dyDescent="0.3">
      <c r="B20" s="246" t="s">
        <v>134</v>
      </c>
      <c r="C20" s="162">
        <f>Historical!D30</f>
        <v>5146.8999999999996</v>
      </c>
      <c r="D20" s="162">
        <f>Historical!E30</f>
        <v>10755</v>
      </c>
      <c r="E20" s="162">
        <f>Historical!F30</f>
        <v>8475.9000000000015</v>
      </c>
      <c r="F20" s="162">
        <f>Historical!G30</f>
        <v>14394.5</v>
      </c>
      <c r="G20" s="162">
        <f>Historical!H30</f>
        <v>27720.3</v>
      </c>
      <c r="H20" s="162">
        <f>H19*Assumptions!H18</f>
        <v>28176.399690871142</v>
      </c>
      <c r="I20" s="162">
        <f>I19*Assumptions!I18</f>
        <v>31629.392232331073</v>
      </c>
      <c r="J20" s="162">
        <f>J19*Assumptions!J18</f>
        <v>35694.626772047326</v>
      </c>
      <c r="K20" s="162">
        <f>K19*Assumptions!K18</f>
        <v>39862.157338507335</v>
      </c>
      <c r="L20" s="162">
        <f>L19*Assumptions!L18</f>
        <v>44815.198633178356</v>
      </c>
      <c r="M20" s="162">
        <f>M19*Assumptions!M18</f>
        <v>49034.858416986252</v>
      </c>
      <c r="N20" s="162">
        <f>N19*Assumptions!N18</f>
        <v>53304.970390874652</v>
      </c>
      <c r="O20" s="162">
        <f>O19*Assumptions!O18</f>
        <v>56720.774218837396</v>
      </c>
      <c r="P20" s="162">
        <f>P19*Assumptions!P18</f>
        <v>60236.918923314573</v>
      </c>
      <c r="Q20" s="162">
        <f>Q19*Assumptions!Q18</f>
        <v>62892.321023266122</v>
      </c>
    </row>
    <row r="21" spans="2:18" ht="15" thickBot="1" x14ac:dyDescent="0.35">
      <c r="B21" s="400" t="s">
        <v>372</v>
      </c>
      <c r="C21" s="401">
        <f>Historical!D31</f>
        <v>-123.3</v>
      </c>
      <c r="D21" s="401">
        <f>Historical!E31</f>
        <v>-165.4</v>
      </c>
      <c r="E21" s="401">
        <f>Historical!F31</f>
        <v>-479</v>
      </c>
      <c r="F21" s="401">
        <f>Historical!G31</f>
        <v>-384.1</v>
      </c>
      <c r="G21" s="401">
        <f>Historical!H31</f>
        <v>-153.5</v>
      </c>
      <c r="H21" s="401">
        <f>H9*Assumptions!H19</f>
        <v>-343.70954687769034</v>
      </c>
      <c r="I21" s="401">
        <f>I9*Assumptions!I19</f>
        <v>-378.08050156545943</v>
      </c>
      <c r="J21" s="401">
        <f>J9*Assumptions!J19</f>
        <v>-415.88855172200539</v>
      </c>
      <c r="K21" s="401">
        <f>K9*Assumptions!K19</f>
        <v>-457.4774068942059</v>
      </c>
      <c r="L21" s="401">
        <f>L9*Assumptions!L19</f>
        <v>-503.22514758362655</v>
      </c>
      <c r="M21" s="401">
        <f>M9*Assumptions!M19</f>
        <v>-545.11864111996351</v>
      </c>
      <c r="N21" s="401">
        <f>N9*Assumptions!N19</f>
        <v>-582.89842924193329</v>
      </c>
      <c r="O21" s="401">
        <f>O9*Assumptions!O19</f>
        <v>-616.52988075041696</v>
      </c>
      <c r="P21" s="401">
        <f>P9*Assumptions!P19</f>
        <v>-646.14347343662439</v>
      </c>
      <c r="Q21" s="401">
        <f>Q9*Assumptions!Q19</f>
        <v>-671.98095459041372</v>
      </c>
      <c r="R21" s="324"/>
    </row>
    <row r="22" spans="2:18" ht="15" thickBot="1" x14ac:dyDescent="0.35">
      <c r="B22" s="251" t="s">
        <v>3</v>
      </c>
      <c r="C22" s="227">
        <f>C19-C20+C21</f>
        <v>22723.50000000004</v>
      </c>
      <c r="D22" s="227">
        <f t="shared" ref="D22:G22" si="16">D19-D20+D21</f>
        <v>33892.80000000001</v>
      </c>
      <c r="E22" s="227">
        <f t="shared" si="16"/>
        <v>85129.400000000023</v>
      </c>
      <c r="F22" s="227">
        <f t="shared" si="16"/>
        <v>96100.300000000061</v>
      </c>
      <c r="G22" s="227">
        <f t="shared" si="16"/>
        <v>109647.50000000004</v>
      </c>
      <c r="H22" s="227">
        <f t="shared" ref="H22" si="17">H19-H20+H21</f>
        <v>109879.91575048669</v>
      </c>
      <c r="I22" s="227">
        <f t="shared" ref="I22" si="18">I19-I20+I21</f>
        <v>123353.35133673837</v>
      </c>
      <c r="J22" s="227">
        <f t="shared" ref="J22" si="19">J19-J20+J21</f>
        <v>137482.45755376111</v>
      </c>
      <c r="K22" s="227">
        <f t="shared" ref="K22" si="20">K19-K20+K21</f>
        <v>153541.20716490762</v>
      </c>
      <c r="L22" s="227">
        <f t="shared" ref="L22" si="21">L19-L20+L21</f>
        <v>170472.53635983821</v>
      </c>
      <c r="M22" s="227">
        <f t="shared" ref="M22" si="22">M19-M20+M21</f>
        <v>186529.18904801345</v>
      </c>
      <c r="N22" s="227">
        <f t="shared" ref="N22" si="23">N19-N20+N21</f>
        <v>200241.14689519402</v>
      </c>
      <c r="O22" s="227">
        <f t="shared" ref="O22" si="24">O19-O20+O21</f>
        <v>213076.40061022915</v>
      </c>
      <c r="P22" s="227">
        <f t="shared" ref="P22" si="25">P19-P20+P21</f>
        <v>223450.36756138643</v>
      </c>
      <c r="Q22" s="227">
        <f t="shared" ref="Q22" si="26">Q19-Q20+Q21</f>
        <v>233303.29474200495</v>
      </c>
    </row>
    <row r="23" spans="2:18" ht="15" thickTop="1" x14ac:dyDescent="0.3">
      <c r="B23" s="1"/>
      <c r="G23" s="142"/>
    </row>
    <row r="25" spans="2:18" x14ac:dyDescent="0.3">
      <c r="I25" s="22"/>
    </row>
  </sheetData>
  <mergeCells count="3">
    <mergeCell ref="C7:G7"/>
    <mergeCell ref="N6:Q6"/>
    <mergeCell ref="H7:Q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BEED9"/>
  </sheetPr>
  <dimension ref="A1:S109"/>
  <sheetViews>
    <sheetView showGridLines="0" zoomScale="96" zoomScaleNormal="96" workbookViewId="0">
      <selection activeCell="I13" sqref="I13"/>
    </sheetView>
  </sheetViews>
  <sheetFormatPr defaultRowHeight="14.4" x14ac:dyDescent="0.3"/>
  <cols>
    <col min="1" max="1" width="1.88671875" customWidth="1"/>
    <col min="2" max="2" width="49.5546875" bestFit="1" customWidth="1"/>
    <col min="3" max="3" width="11.21875" bestFit="1" customWidth="1"/>
    <col min="4" max="5" width="11.33203125" bestFit="1" customWidth="1"/>
    <col min="6" max="7" width="12.77734375" bestFit="1" customWidth="1"/>
    <col min="8" max="8" width="10.88671875" bestFit="1" customWidth="1"/>
    <col min="9" max="10" width="10.6640625" customWidth="1"/>
    <col min="11" max="13" width="10.6640625" bestFit="1" customWidth="1"/>
    <col min="14" max="14" width="10.88671875" bestFit="1" customWidth="1"/>
    <col min="15" max="15" width="11.88671875" style="323" bestFit="1" customWidth="1"/>
    <col min="16" max="18" width="12" style="323" bestFit="1" customWidth="1"/>
    <col min="19" max="19" width="2.5546875" style="323" customWidth="1"/>
    <col min="20" max="16384" width="8.88671875" style="255"/>
  </cols>
  <sheetData>
    <row r="1" spans="1:18" s="323" customFormat="1" x14ac:dyDescent="0.3">
      <c r="A1" s="26"/>
      <c r="B1" s="40"/>
      <c r="C1" s="40"/>
      <c r="D1" s="40"/>
      <c r="E1" s="40"/>
      <c r="F1" s="40"/>
      <c r="G1" s="40"/>
      <c r="H1" s="40"/>
      <c r="I1" s="40"/>
      <c r="J1" s="40"/>
      <c r="K1" s="40"/>
      <c r="L1" s="40"/>
      <c r="M1" s="40"/>
      <c r="N1" s="40"/>
      <c r="O1" s="40"/>
      <c r="P1" s="40"/>
      <c r="Q1" s="40"/>
      <c r="R1" s="40"/>
    </row>
    <row r="2" spans="1:18" s="323" customFormat="1" x14ac:dyDescent="0.3">
      <c r="A2" s="26"/>
      <c r="B2" s="40"/>
      <c r="C2" s="40"/>
      <c r="D2" s="40"/>
      <c r="E2" s="40"/>
      <c r="F2" s="40"/>
      <c r="G2" s="40"/>
      <c r="H2" s="40"/>
      <c r="I2" s="40"/>
      <c r="J2" s="40"/>
      <c r="K2" s="40"/>
      <c r="L2" s="40"/>
      <c r="M2" s="40"/>
      <c r="N2" s="40"/>
      <c r="O2" s="40"/>
      <c r="P2" s="40"/>
      <c r="Q2" s="40"/>
      <c r="R2" s="40"/>
    </row>
    <row r="3" spans="1:18" s="323" customFormat="1" x14ac:dyDescent="0.3">
      <c r="A3" s="26"/>
      <c r="B3" s="40"/>
      <c r="C3" s="40"/>
      <c r="D3" s="40"/>
      <c r="E3" s="40"/>
      <c r="F3" s="40"/>
      <c r="G3" s="40"/>
      <c r="H3" s="40"/>
      <c r="I3" s="40"/>
      <c r="J3" s="40"/>
      <c r="K3" s="40"/>
      <c r="L3" s="40"/>
      <c r="M3" s="40"/>
      <c r="N3" s="40"/>
      <c r="O3" s="40"/>
      <c r="P3" s="40"/>
      <c r="Q3" s="40"/>
      <c r="R3" s="40"/>
    </row>
    <row r="4" spans="1:18" s="323" customFormat="1" x14ac:dyDescent="0.3">
      <c r="A4"/>
      <c r="B4" s="40"/>
      <c r="C4" s="40"/>
      <c r="D4" s="40"/>
      <c r="E4" s="40"/>
      <c r="F4" s="40"/>
      <c r="G4" s="40"/>
      <c r="H4" s="40"/>
      <c r="I4" s="40"/>
      <c r="J4" s="40"/>
      <c r="K4" s="40"/>
      <c r="L4" s="40"/>
      <c r="M4" s="40"/>
      <c r="N4" s="40"/>
      <c r="O4" s="40"/>
      <c r="P4" s="40"/>
      <c r="Q4" s="40"/>
      <c r="R4" s="40"/>
    </row>
    <row r="5" spans="1:18" s="323" customFormat="1" x14ac:dyDescent="0.3">
      <c r="A5"/>
      <c r="B5" s="40"/>
      <c r="C5" s="40"/>
      <c r="D5" s="40"/>
      <c r="E5" s="40"/>
      <c r="F5" s="40"/>
      <c r="G5" s="40"/>
      <c r="H5" s="40"/>
      <c r="I5" s="40"/>
      <c r="J5" s="40"/>
      <c r="K5" s="40"/>
      <c r="L5" s="40"/>
      <c r="M5" s="40"/>
      <c r="N5" s="40"/>
      <c r="O5" s="40"/>
      <c r="P5" s="40"/>
      <c r="Q5" s="40"/>
      <c r="R5" s="40"/>
    </row>
    <row r="6" spans="1:18" s="323" customFormat="1" x14ac:dyDescent="0.3">
      <c r="A6"/>
      <c r="B6" s="26"/>
      <c r="C6" s="26"/>
      <c r="D6" s="26"/>
      <c r="E6" s="26"/>
      <c r="F6" s="26"/>
      <c r="G6" s="26"/>
      <c r="H6" s="26"/>
      <c r="I6" s="26"/>
      <c r="J6"/>
      <c r="K6"/>
      <c r="L6"/>
      <c r="M6"/>
      <c r="N6"/>
      <c r="O6" s="494" t="s">
        <v>276</v>
      </c>
      <c r="P6" s="494"/>
      <c r="Q6" s="494"/>
      <c r="R6" s="494"/>
    </row>
    <row r="7" spans="1:18" s="323" customFormat="1" x14ac:dyDescent="0.3">
      <c r="A7"/>
      <c r="B7" s="192"/>
      <c r="C7" s="193"/>
      <c r="D7" s="480" t="s">
        <v>13</v>
      </c>
      <c r="E7" s="480"/>
      <c r="F7" s="480"/>
      <c r="G7" s="480"/>
      <c r="H7" s="480"/>
      <c r="I7" s="514" t="s">
        <v>12</v>
      </c>
      <c r="J7" s="514"/>
      <c r="K7" s="514"/>
      <c r="L7" s="514"/>
      <c r="M7" s="514"/>
      <c r="N7" s="514"/>
      <c r="O7" s="514"/>
      <c r="P7" s="514"/>
      <c r="Q7" s="514"/>
      <c r="R7" s="514"/>
    </row>
    <row r="8" spans="1:18" s="323" customFormat="1" x14ac:dyDescent="0.3">
      <c r="A8"/>
      <c r="B8" s="194" t="s">
        <v>14</v>
      </c>
      <c r="C8" s="195"/>
      <c r="D8" s="119">
        <v>44286</v>
      </c>
      <c r="E8" s="119">
        <v>44651</v>
      </c>
      <c r="F8" s="119">
        <v>45016</v>
      </c>
      <c r="G8" s="119">
        <v>45382</v>
      </c>
      <c r="H8" s="119">
        <v>45747</v>
      </c>
      <c r="I8" s="119">
        <v>46112</v>
      </c>
      <c r="J8" s="119">
        <v>46477</v>
      </c>
      <c r="K8" s="119">
        <v>46843</v>
      </c>
      <c r="L8" s="119">
        <v>47208</v>
      </c>
      <c r="M8" s="119">
        <v>47573</v>
      </c>
      <c r="N8" s="298">
        <f>M8+365</f>
        <v>47938</v>
      </c>
      <c r="O8" s="298">
        <f t="shared" ref="O8:R8" si="0">N8+365</f>
        <v>48303</v>
      </c>
      <c r="P8" s="298">
        <f t="shared" si="0"/>
        <v>48668</v>
      </c>
      <c r="Q8" s="298">
        <f t="shared" si="0"/>
        <v>49033</v>
      </c>
      <c r="R8" s="298">
        <f t="shared" si="0"/>
        <v>49398</v>
      </c>
    </row>
    <row r="9" spans="1:18" x14ac:dyDescent="0.3">
      <c r="B9" s="515" t="str">
        <f>Historical!B91</f>
        <v>A. Cash Flow from Operating Activities</v>
      </c>
      <c r="C9" s="516"/>
      <c r="D9" s="175"/>
      <c r="E9" s="175"/>
      <c r="F9" s="175"/>
      <c r="G9" s="175"/>
      <c r="H9" s="175"/>
      <c r="I9" s="175"/>
      <c r="J9" s="175"/>
      <c r="K9" s="175"/>
      <c r="L9" s="175"/>
      <c r="M9" s="175"/>
      <c r="N9" s="175"/>
      <c r="O9" s="175"/>
      <c r="P9" s="175"/>
      <c r="Q9" s="175"/>
      <c r="R9" s="177"/>
    </row>
    <row r="10" spans="1:18" x14ac:dyDescent="0.3">
      <c r="B10" s="199" t="str">
        <f>Historical!B92</f>
        <v>Profit before tax</v>
      </c>
      <c r="C10" s="144"/>
      <c r="D10" s="162">
        <f>Historical!D92</f>
        <v>27993.7</v>
      </c>
      <c r="E10" s="162">
        <f>Historical!E92</f>
        <v>44813.2</v>
      </c>
      <c r="F10" s="162">
        <f>Historical!F92</f>
        <v>94084.3</v>
      </c>
      <c r="G10" s="162">
        <f>Historical!G92</f>
        <v>110878.9</v>
      </c>
      <c r="H10" s="162">
        <f>Historical!H92</f>
        <v>137521.29999999999</v>
      </c>
      <c r="I10" s="162">
        <f>'Income Statement'!H19</f>
        <v>138400.02498823553</v>
      </c>
      <c r="J10" s="162">
        <f>'Income Statement'!I19</f>
        <v>155360.8240706349</v>
      </c>
      <c r="K10" s="162">
        <f>'Income Statement'!J19</f>
        <v>173592.97287753047</v>
      </c>
      <c r="L10" s="162">
        <f>'Income Statement'!K19</f>
        <v>193860.84191030916</v>
      </c>
      <c r="M10" s="162">
        <f>'Income Statement'!L19</f>
        <v>215790.96014060022</v>
      </c>
      <c r="N10" s="162">
        <f>'Income Statement'!M19</f>
        <v>236109.16610611966</v>
      </c>
      <c r="O10" s="162">
        <f>'Income Statement'!N19</f>
        <v>254129.01571531061</v>
      </c>
      <c r="P10" s="162">
        <f>'Income Statement'!O19</f>
        <v>270413.70470981696</v>
      </c>
      <c r="Q10" s="162">
        <f>'Income Statement'!P19</f>
        <v>284333.42995813763</v>
      </c>
      <c r="R10" s="162">
        <f>'Income Statement'!Q19</f>
        <v>296867.5967198615</v>
      </c>
    </row>
    <row r="11" spans="1:18" x14ac:dyDescent="0.3">
      <c r="B11" s="199" t="str">
        <f>Historical!B93</f>
        <v>Depreciation &amp; amortisation</v>
      </c>
      <c r="C11" s="144"/>
      <c r="D11" s="162">
        <f>Historical!D93</f>
        <v>20799.5</v>
      </c>
      <c r="E11" s="162">
        <f>Historical!E93</f>
        <v>21437.4</v>
      </c>
      <c r="F11" s="162">
        <f>Historical!F93</f>
        <v>25294.3</v>
      </c>
      <c r="G11" s="162">
        <f>Historical!G93</f>
        <v>25566.400000000001</v>
      </c>
      <c r="H11" s="162">
        <f>Historical!H93</f>
        <v>25753.9</v>
      </c>
      <c r="I11" s="162">
        <f>'Income Statement'!H15</f>
        <v>25612.347445690481</v>
      </c>
      <c r="J11" s="162">
        <f>'Income Statement'!I15</f>
        <v>25204.790075476842</v>
      </c>
      <c r="K11" s="162">
        <f>'Income Statement'!J15</f>
        <v>25181.207151985574</v>
      </c>
      <c r="L11" s="162">
        <f>'Income Statement'!K15</f>
        <v>24942.760590951661</v>
      </c>
      <c r="M11" s="162">
        <f>'Income Statement'!L15</f>
        <v>25045.007079579806</v>
      </c>
      <c r="N11" s="162">
        <f>'Income Statement'!M15</f>
        <v>24902.939105410849</v>
      </c>
      <c r="O11" s="162">
        <f>'Income Statement'!N15</f>
        <v>25078.044227595674</v>
      </c>
      <c r="P11" s="162">
        <f>'Income Statement'!O15</f>
        <v>24990.448127622425</v>
      </c>
      <c r="Q11" s="162">
        <f>'Income Statement'!P15</f>
        <v>25332.792762261462</v>
      </c>
      <c r="R11" s="162">
        <f>'Income Statement'!Q15</f>
        <v>25242.099702620228</v>
      </c>
    </row>
    <row r="12" spans="1:18" x14ac:dyDescent="0.3">
      <c r="B12" s="199" t="str">
        <f>Historical!B94</f>
        <v>Finance costs</v>
      </c>
      <c r="C12" s="144"/>
      <c r="D12" s="162">
        <f>Historical!D94</f>
        <v>1414.3</v>
      </c>
      <c r="E12" s="162">
        <f>Historical!E94</f>
        <v>1273.5</v>
      </c>
      <c r="F12" s="162">
        <f>Historical!F94</f>
        <v>1720</v>
      </c>
      <c r="G12" s="162">
        <f>Historical!G94</f>
        <v>2384.6999999999998</v>
      </c>
      <c r="H12" s="162">
        <f>Historical!H94</f>
        <v>2313.6</v>
      </c>
      <c r="I12" s="162">
        <f>'Income Statement'!H17</f>
        <v>1520.0446879315737</v>
      </c>
      <c r="J12" s="162">
        <f>'Income Statement'!I17</f>
        <v>1520.0446879315737</v>
      </c>
      <c r="K12" s="162">
        <f>'Income Statement'!J17</f>
        <v>1520.0446879315737</v>
      </c>
      <c r="L12" s="162">
        <f>'Income Statement'!K17</f>
        <v>1520.0446879315737</v>
      </c>
      <c r="M12" s="162">
        <f>'Income Statement'!L17</f>
        <v>1520.0446879315737</v>
      </c>
      <c r="N12" s="162">
        <f>'Income Statement'!M17</f>
        <v>1520.0446879315737</v>
      </c>
      <c r="O12" s="162">
        <f>'Income Statement'!N17</f>
        <v>1520.0446879315737</v>
      </c>
      <c r="P12" s="162">
        <f>'Income Statement'!O17</f>
        <v>1520.0446879315737</v>
      </c>
      <c r="Q12" s="162">
        <f>'Income Statement'!P17</f>
        <v>1520.0446879315737</v>
      </c>
      <c r="R12" s="162">
        <f>'Income Statement'!Q17</f>
        <v>1520.0446879315737</v>
      </c>
    </row>
    <row r="13" spans="1:18" ht="15" thickBot="1" x14ac:dyDescent="0.35">
      <c r="B13" s="220" t="str">
        <f>Historical!B96</f>
        <v>Other adjustments (net)</v>
      </c>
      <c r="C13" s="171"/>
      <c r="D13" s="210">
        <f>Historical!D95+Historical!D96</f>
        <v>-4115.3</v>
      </c>
      <c r="E13" s="210">
        <f>Historical!E95+Historical!E96</f>
        <v>-2961.3999999999996</v>
      </c>
      <c r="F13" s="210">
        <f>Historical!F95+Historical!F96</f>
        <v>211.30000000000018</v>
      </c>
      <c r="G13" s="210">
        <f>Historical!G95+Historical!G96</f>
        <v>-12407.1</v>
      </c>
      <c r="H13" s="210">
        <f>Historical!H95+Historical!H96</f>
        <v>-16863.899999999998</v>
      </c>
      <c r="I13" s="210">
        <f>-'Income Statement'!H18+'Income Statement'!H21</f>
        <v>-10785.808789102659</v>
      </c>
      <c r="J13" s="210">
        <f>-'Income Statement'!I18+'Income Statement'!I21</f>
        <v>-11864.389668012926</v>
      </c>
      <c r="K13" s="210">
        <f>-'Income Statement'!J18+'Income Statement'!J21</f>
        <v>-13050.828634814219</v>
      </c>
      <c r="L13" s="210">
        <f>-'Income Statement'!K18+'Income Statement'!K21</f>
        <v>-14355.911498295642</v>
      </c>
      <c r="M13" s="210">
        <f>-'Income Statement'!L18+'Income Statement'!L21</f>
        <v>-15791.502648125208</v>
      </c>
      <c r="N13" s="210">
        <f>-'Income Statement'!M18+'Income Statement'!M21</f>
        <v>-17106.145243581632</v>
      </c>
      <c r="O13" s="210">
        <f>-'Income Statement'!N18+'Income Statement'!N21</f>
        <v>-18291.697331028834</v>
      </c>
      <c r="P13" s="210">
        <f>-'Income Statement'!O18+'Income Statement'!O21</f>
        <v>-19347.072162963792</v>
      </c>
      <c r="Q13" s="210">
        <f>-'Income Statement'!P18+'Income Statement'!P21</f>
        <v>-20276.364209615796</v>
      </c>
      <c r="R13" s="210">
        <f>-'Income Statement'!Q18+'Income Statement'!Q21</f>
        <v>-21087.159643866518</v>
      </c>
    </row>
    <row r="14" spans="1:18" x14ac:dyDescent="0.3">
      <c r="A14" s="21"/>
      <c r="B14" s="221" t="str">
        <f>Historical!B97</f>
        <v>Operating profit before WC changes</v>
      </c>
      <c r="C14" s="222"/>
      <c r="D14" s="223">
        <f>SUM(D10:D13)</f>
        <v>46092.2</v>
      </c>
      <c r="E14" s="223">
        <f t="shared" ref="E14:R14" si="1">SUM(E10:E13)</f>
        <v>64562.700000000004</v>
      </c>
      <c r="F14" s="223">
        <f t="shared" si="1"/>
        <v>121309.90000000001</v>
      </c>
      <c r="G14" s="223">
        <f t="shared" si="1"/>
        <v>126422.9</v>
      </c>
      <c r="H14" s="223">
        <f t="shared" si="1"/>
        <v>148724.9</v>
      </c>
      <c r="I14" s="223">
        <f t="shared" si="1"/>
        <v>154746.60833275493</v>
      </c>
      <c r="J14" s="223">
        <f t="shared" si="1"/>
        <v>170221.2691660304</v>
      </c>
      <c r="K14" s="223">
        <f t="shared" si="1"/>
        <v>187243.39608263341</v>
      </c>
      <c r="L14" s="223">
        <f t="shared" si="1"/>
        <v>205967.73569089675</v>
      </c>
      <c r="M14" s="223">
        <f t="shared" si="1"/>
        <v>226564.5092599864</v>
      </c>
      <c r="N14" s="223">
        <f t="shared" si="1"/>
        <v>245426.0046558805</v>
      </c>
      <c r="O14" s="223">
        <f t="shared" si="1"/>
        <v>262435.40729980904</v>
      </c>
      <c r="P14" s="223">
        <f t="shared" si="1"/>
        <v>277577.12536240718</v>
      </c>
      <c r="Q14" s="223">
        <f t="shared" si="1"/>
        <v>290909.90319871489</v>
      </c>
      <c r="R14" s="223">
        <f t="shared" si="1"/>
        <v>302542.58146654681</v>
      </c>
    </row>
    <row r="15" spans="1:18" x14ac:dyDescent="0.3">
      <c r="B15" s="217" t="str">
        <f>Historical!B98</f>
        <v>Working Capital Changes</v>
      </c>
      <c r="C15" s="143"/>
      <c r="D15" s="175"/>
      <c r="E15" s="175"/>
      <c r="F15" s="175"/>
      <c r="G15" s="175"/>
      <c r="H15" s="175"/>
      <c r="I15" s="175"/>
      <c r="J15" s="175"/>
      <c r="K15" s="175"/>
      <c r="L15" s="175"/>
      <c r="M15" s="175"/>
      <c r="N15" s="175"/>
      <c r="O15" s="175"/>
      <c r="P15" s="175"/>
      <c r="Q15" s="175"/>
      <c r="R15" s="177"/>
    </row>
    <row r="16" spans="1:18" x14ac:dyDescent="0.3">
      <c r="B16" s="218" t="str">
        <f>Historical!B99</f>
        <v>Inventories</v>
      </c>
      <c r="C16" s="144"/>
      <c r="D16" s="162">
        <f>Historical!D99</f>
        <v>-10802.9</v>
      </c>
      <c r="E16" s="162">
        <f>Historical!E99</f>
        <v>3069.5</v>
      </c>
      <c r="F16" s="162">
        <f>Historical!F99</f>
        <v>-12022</v>
      </c>
      <c r="G16" s="162">
        <f>Historical!G99</f>
        <v>5988.1</v>
      </c>
      <c r="H16" s="162">
        <f>Historical!H99</f>
        <v>-1839.7</v>
      </c>
      <c r="I16" s="162">
        <f>'Balance Sheet'!H18-'Balance Sheet'!I18</f>
        <v>-29349.118432174102</v>
      </c>
      <c r="J16" s="162">
        <f>'Balance Sheet'!I18-'Balance Sheet'!J18</f>
        <v>-13178.24184321746</v>
      </c>
      <c r="K16" s="162">
        <f>'Balance Sheet'!J18-'Balance Sheet'!K18</f>
        <v>-14496.066027539142</v>
      </c>
      <c r="L16" s="162">
        <f>'Balance Sheet'!K18-'Balance Sheet'!L18</f>
        <v>-15945.672630293091</v>
      </c>
      <c r="M16" s="162">
        <f>'Balance Sheet'!L18-'Balance Sheet'!M18</f>
        <v>-17540.239893322345</v>
      </c>
      <c r="N16" s="162">
        <f>'Balance Sheet'!M18-'Balance Sheet'!N18</f>
        <v>-16062.474682309985</v>
      </c>
      <c r="O16" s="162">
        <f>'Balance Sheet'!N18-'Balance Sheet'!O18</f>
        <v>-14485.230019927229</v>
      </c>
      <c r="P16" s="162">
        <f>'Balance Sheet'!O18-'Balance Sheet'!P18</f>
        <v>-12894.7073348228</v>
      </c>
      <c r="Q16" s="162">
        <f>'Balance Sheet'!P18-'Balance Sheet'!Q18</f>
        <v>-11354.211420966079</v>
      </c>
      <c r="R16" s="162">
        <f>'Balance Sheet'!Q18-'Balance Sheet'!R18</f>
        <v>-9906.4043567394256</v>
      </c>
    </row>
    <row r="17" spans="2:18" x14ac:dyDescent="0.3">
      <c r="B17" s="218" t="str">
        <f>Historical!B100</f>
        <v>Trade receivables</v>
      </c>
      <c r="C17" s="144"/>
      <c r="D17" s="162">
        <f>Historical!D100</f>
        <v>937.3</v>
      </c>
      <c r="E17" s="162">
        <f>Historical!E100</f>
        <v>-13422.6</v>
      </c>
      <c r="F17" s="162">
        <f>Historical!F100</f>
        <v>-9531.7000000000007</v>
      </c>
      <c r="G17" s="162">
        <f>Historical!G100</f>
        <v>3528.9</v>
      </c>
      <c r="H17" s="162">
        <f>Historical!H100</f>
        <v>-16020.5</v>
      </c>
      <c r="I17" s="162">
        <f>'Balance Sheet'!H20-'Balance Sheet'!I20</f>
        <v>-18210.041326342616</v>
      </c>
      <c r="J17" s="162">
        <f>'Balance Sheet'!I20-'Balance Sheet'!J20</f>
        <v>-14867.114132634277</v>
      </c>
      <c r="K17" s="162">
        <f>'Balance Sheet'!J20-'Balance Sheet'!K20</f>
        <v>-16353.825545897707</v>
      </c>
      <c r="L17" s="162">
        <f>'Balance Sheet'!K20-'Balance Sheet'!L20</f>
        <v>-17989.208100487449</v>
      </c>
      <c r="M17" s="162">
        <f>'Balance Sheet'!L20-'Balance Sheet'!M20</f>
        <v>-19788.128910536238</v>
      </c>
      <c r="N17" s="162">
        <f>'Balance Sheet'!M20-'Balance Sheet'!N20</f>
        <v>-18120.979049823538</v>
      </c>
      <c r="O17" s="162">
        <f>'Balance Sheet'!N20-'Balance Sheet'!O20</f>
        <v>-16341.60083763799</v>
      </c>
      <c r="P17" s="162">
        <f>'Balance Sheet'!O20-'Balance Sheet'!P20</f>
        <v>-14547.242942911631</v>
      </c>
      <c r="Q17" s="162">
        <f>'Balance Sheet'!P20-'Balance Sheet'!Q20</f>
        <v>-12809.323056128458</v>
      </c>
      <c r="R17" s="162">
        <f>'Balance Sheet'!Q20-'Balance Sheet'!R20</f>
        <v>-11175.970661934174</v>
      </c>
    </row>
    <row r="18" spans="2:18" x14ac:dyDescent="0.3">
      <c r="B18" s="218" t="str">
        <f>Historical!B101</f>
        <v>Other assets</v>
      </c>
      <c r="C18" s="144"/>
      <c r="D18" s="162">
        <f>Historical!D101</f>
        <v>1166.2</v>
      </c>
      <c r="E18" s="162">
        <f>Historical!E101</f>
        <v>141.1</v>
      </c>
      <c r="F18" s="162">
        <f>Historical!F101</f>
        <v>-2158.1</v>
      </c>
      <c r="G18" s="162">
        <f>Historical!G101</f>
        <v>-3839</v>
      </c>
      <c r="H18" s="162">
        <f>Historical!H101</f>
        <v>-593.20000000000005</v>
      </c>
      <c r="I18" s="162">
        <f>-(SUM('Balance Sheet'!I19,'Balance Sheet'!I23:I25)-SUM('Balance Sheet'!H19,'Balance Sheet'!H23:H25))</f>
        <v>0</v>
      </c>
      <c r="J18" s="162">
        <f>-(SUM('Balance Sheet'!J19,'Balance Sheet'!J23:J25)-SUM('Balance Sheet'!I19,'Balance Sheet'!I23:I25))</f>
        <v>0</v>
      </c>
      <c r="K18" s="162">
        <f>-(SUM('Balance Sheet'!K19,'Balance Sheet'!K23:K25)-SUM('Balance Sheet'!J19,'Balance Sheet'!J23:J25))</f>
        <v>0</v>
      </c>
      <c r="L18" s="162">
        <f>-(SUM('Balance Sheet'!L19,'Balance Sheet'!L23:L25)-SUM('Balance Sheet'!K19,'Balance Sheet'!K23:K25))</f>
        <v>0</v>
      </c>
      <c r="M18" s="162">
        <f>-(SUM('Balance Sheet'!M19,'Balance Sheet'!M23:M25)-SUM('Balance Sheet'!L19,'Balance Sheet'!L23:L25))</f>
        <v>0</v>
      </c>
      <c r="N18" s="162">
        <f>-(SUM('Balance Sheet'!N19,'Balance Sheet'!N23:N25)-SUM('Balance Sheet'!M19,'Balance Sheet'!M23:M25))</f>
        <v>0</v>
      </c>
      <c r="O18" s="162">
        <f>-(SUM('Balance Sheet'!O19,'Balance Sheet'!O23:O25)-SUM('Balance Sheet'!N19,'Balance Sheet'!N23:N25))</f>
        <v>0</v>
      </c>
      <c r="P18" s="162">
        <f>-(SUM('Balance Sheet'!P19,'Balance Sheet'!P23:P25)-SUM('Balance Sheet'!O19,'Balance Sheet'!O23:O25))</f>
        <v>0</v>
      </c>
      <c r="Q18" s="162">
        <f>-(SUM('Balance Sheet'!Q19,'Balance Sheet'!Q23:Q25)-SUM('Balance Sheet'!P19,'Balance Sheet'!P23:P25))</f>
        <v>0</v>
      </c>
      <c r="R18" s="162">
        <f>-(SUM('Balance Sheet'!R19,'Balance Sheet'!R23:R25)-SUM('Balance Sheet'!Q19,'Balance Sheet'!Q23:Q25))</f>
        <v>0</v>
      </c>
    </row>
    <row r="19" spans="2:18" x14ac:dyDescent="0.3">
      <c r="B19" s="218" t="str">
        <f>Historical!B102</f>
        <v>Trade payables</v>
      </c>
      <c r="C19" s="144"/>
      <c r="D19" s="162">
        <f>Historical!D102</f>
        <v>3814.6</v>
      </c>
      <c r="E19" s="162">
        <f>Historical!E102</f>
        <v>3699.2</v>
      </c>
      <c r="F19" s="162">
        <f>Historical!F102</f>
        <v>11823.7</v>
      </c>
      <c r="G19" s="162">
        <f>Historical!G102</f>
        <v>2497.1999999999998</v>
      </c>
      <c r="H19" s="162">
        <f>Historical!H102</f>
        <v>5279.7</v>
      </c>
      <c r="I19" s="162">
        <f>'Balance Sheet'!I48-'Balance Sheet'!H48</f>
        <v>8025.4336170468378</v>
      </c>
      <c r="J19" s="162">
        <f>'Balance Sheet'!J48-'Balance Sheet'!I48</f>
        <v>6986.8833617047057</v>
      </c>
      <c r="K19" s="162">
        <f>'Balance Sheet'!K48-'Balance Sheet'!J48</f>
        <v>7685.5716978751443</v>
      </c>
      <c r="L19" s="162">
        <f>'Balance Sheet'!L48-'Balance Sheet'!K48</f>
        <v>8454.1288676626718</v>
      </c>
      <c r="M19" s="162">
        <f>'Balance Sheet'!M48-'Balance Sheet'!L48</f>
        <v>9299.5417544289376</v>
      </c>
      <c r="N19" s="162">
        <f>'Balance Sheet'!N48-'Balance Sheet'!M48</f>
        <v>8516.0553616183024</v>
      </c>
      <c r="O19" s="162">
        <f>'Balance Sheet'!O48-'Balance Sheet'!N48</f>
        <v>7679.8266279187956</v>
      </c>
      <c r="P19" s="162">
        <f>'Balance Sheet'!P48-'Balance Sheet'!O48</f>
        <v>6836.5581087050814</v>
      </c>
      <c r="Q19" s="162">
        <f>'Balance Sheet'!Q48-'Balance Sheet'!P48</f>
        <v>6019.8129466910323</v>
      </c>
      <c r="R19" s="162">
        <f>'Balance Sheet'!R48-'Balance Sheet'!Q48</f>
        <v>5252.2098621254845</v>
      </c>
    </row>
    <row r="20" spans="2:18" x14ac:dyDescent="0.3">
      <c r="B20" s="218" t="str">
        <f>Historical!B103</f>
        <v>Other liabilities</v>
      </c>
      <c r="C20" s="144"/>
      <c r="D20" s="162">
        <f>Historical!D103</f>
        <v>24983.5</v>
      </c>
      <c r="E20" s="162">
        <f>Historical!E103</f>
        <v>-23333.5</v>
      </c>
      <c r="F20" s="162">
        <f>Historical!F103</f>
        <v>-6691.5</v>
      </c>
      <c r="G20" s="162">
        <f>Historical!G103</f>
        <v>2409.1999999999998</v>
      </c>
      <c r="H20" s="162">
        <f>Historical!H103</f>
        <v>1820.3</v>
      </c>
      <c r="I20" s="162">
        <f>(SUM('Balance Sheet'!I46,'Balance Sheet'!I47,'Balance Sheet'!I49,'Balance Sheet'!I51)-SUM('Balance Sheet'!H46,'Balance Sheet'!H47,'Balance Sheet'!H49,'Balance Sheet'!H51))</f>
        <v>0</v>
      </c>
      <c r="J20" s="162">
        <f>(SUM('Balance Sheet'!J46,'Balance Sheet'!J47,'Balance Sheet'!J49,'Balance Sheet'!J51)-SUM('Balance Sheet'!I46,'Balance Sheet'!I47,'Balance Sheet'!I49,'Balance Sheet'!I51))</f>
        <v>0</v>
      </c>
      <c r="K20" s="162">
        <f>(SUM('Balance Sheet'!K46,'Balance Sheet'!K47,'Balance Sheet'!K49,'Balance Sheet'!K51)-SUM('Balance Sheet'!J46,'Balance Sheet'!J47,'Balance Sheet'!J49,'Balance Sheet'!J51))</f>
        <v>0</v>
      </c>
      <c r="L20" s="162">
        <f>(SUM('Balance Sheet'!L46,'Balance Sheet'!L47,'Balance Sheet'!L49,'Balance Sheet'!L51)-SUM('Balance Sheet'!K46,'Balance Sheet'!K47,'Balance Sheet'!K49,'Balance Sheet'!K51))</f>
        <v>0</v>
      </c>
      <c r="M20" s="162">
        <f>(SUM('Balance Sheet'!M46,'Balance Sheet'!M47,'Balance Sheet'!M49,'Balance Sheet'!M51)-SUM('Balance Sheet'!L46,'Balance Sheet'!L47,'Balance Sheet'!L49,'Balance Sheet'!L51))</f>
        <v>0</v>
      </c>
      <c r="N20" s="162">
        <f>(SUM('Balance Sheet'!N46,'Balance Sheet'!N47,'Balance Sheet'!N49,'Balance Sheet'!N51)-SUM('Balance Sheet'!M46,'Balance Sheet'!M47,'Balance Sheet'!M49,'Balance Sheet'!M51))</f>
        <v>0</v>
      </c>
      <c r="O20" s="162">
        <f>(SUM('Balance Sheet'!O46,'Balance Sheet'!O47,'Balance Sheet'!O49,'Balance Sheet'!O51)-SUM('Balance Sheet'!N46,'Balance Sheet'!N47,'Balance Sheet'!N49,'Balance Sheet'!N51))</f>
        <v>0</v>
      </c>
      <c r="P20" s="162">
        <f>(SUM('Balance Sheet'!P46,'Balance Sheet'!P47,'Balance Sheet'!P49,'Balance Sheet'!P51)-SUM('Balance Sheet'!O46,'Balance Sheet'!O47,'Balance Sheet'!O49,'Balance Sheet'!O51))</f>
        <v>0</v>
      </c>
      <c r="Q20" s="162">
        <f>(SUM('Balance Sheet'!Q46,'Balance Sheet'!Q47,'Balance Sheet'!Q49,'Balance Sheet'!Q51)-SUM('Balance Sheet'!P46,'Balance Sheet'!P47,'Balance Sheet'!P49,'Balance Sheet'!P51))</f>
        <v>0</v>
      </c>
      <c r="R20" s="162">
        <f>(SUM('Balance Sheet'!R46,'Balance Sheet'!R47,'Balance Sheet'!R49,'Balance Sheet'!R51)-SUM('Balance Sheet'!Q46,'Balance Sheet'!Q47,'Balance Sheet'!Q49,'Balance Sheet'!Q51))</f>
        <v>0</v>
      </c>
    </row>
    <row r="21" spans="2:18" ht="15" thickBot="1" x14ac:dyDescent="0.35">
      <c r="B21" s="224" t="str">
        <f>Historical!B104</f>
        <v>Provisions</v>
      </c>
      <c r="C21" s="171"/>
      <c r="D21" s="210">
        <f>Historical!D104</f>
        <v>5542.2</v>
      </c>
      <c r="E21" s="210">
        <f>Historical!E104</f>
        <v>45436.800000000003</v>
      </c>
      <c r="F21" s="210">
        <f>Historical!F104</f>
        <v>-38038.6</v>
      </c>
      <c r="G21" s="210">
        <f>Historical!G104</f>
        <v>36.9</v>
      </c>
      <c r="H21" s="210">
        <f>Historical!H104</f>
        <v>8117.8</v>
      </c>
      <c r="I21" s="210">
        <f>'Balance Sheet'!I50-'Balance Sheet'!H50</f>
        <v>0</v>
      </c>
      <c r="J21" s="210">
        <f>'Balance Sheet'!J50-'Balance Sheet'!I50</f>
        <v>0</v>
      </c>
      <c r="K21" s="210">
        <f>'Balance Sheet'!K50-'Balance Sheet'!J50</f>
        <v>0</v>
      </c>
      <c r="L21" s="210">
        <f>'Balance Sheet'!L50-'Balance Sheet'!K50</f>
        <v>0</v>
      </c>
      <c r="M21" s="210">
        <f>'Balance Sheet'!M50-'Balance Sheet'!L50</f>
        <v>0</v>
      </c>
      <c r="N21" s="210">
        <f>'Balance Sheet'!N50-'Balance Sheet'!M50</f>
        <v>0</v>
      </c>
      <c r="O21" s="210">
        <f>'Balance Sheet'!O50-'Balance Sheet'!N50</f>
        <v>0</v>
      </c>
      <c r="P21" s="210">
        <f>'Balance Sheet'!P50-'Balance Sheet'!O50</f>
        <v>0</v>
      </c>
      <c r="Q21" s="210">
        <f>'Balance Sheet'!Q50-'Balance Sheet'!P50</f>
        <v>0</v>
      </c>
      <c r="R21" s="210">
        <f>'Balance Sheet'!R50-'Balance Sheet'!Q50</f>
        <v>0</v>
      </c>
    </row>
    <row r="22" spans="2:18" x14ac:dyDescent="0.3">
      <c r="B22" s="221" t="str">
        <f>Historical!B105</f>
        <v>Cash from operations</v>
      </c>
      <c r="C22" s="222"/>
      <c r="D22" s="223">
        <f>SUM(D14:D21)</f>
        <v>71733.099999999991</v>
      </c>
      <c r="E22" s="223">
        <f t="shared" ref="E22:R22" si="2">SUM(E14:E21)</f>
        <v>80153.200000000012</v>
      </c>
      <c r="F22" s="223">
        <f t="shared" si="2"/>
        <v>64691.700000000004</v>
      </c>
      <c r="G22" s="223">
        <f t="shared" si="2"/>
        <v>137044.20000000001</v>
      </c>
      <c r="H22" s="223">
        <f t="shared" si="2"/>
        <v>145489.29999999996</v>
      </c>
      <c r="I22" s="223">
        <f t="shared" si="2"/>
        <v>115212.88219128505</v>
      </c>
      <c r="J22" s="223">
        <f t="shared" si="2"/>
        <v>149162.79655188337</v>
      </c>
      <c r="K22" s="223">
        <f t="shared" si="2"/>
        <v>164079.07620707172</v>
      </c>
      <c r="L22" s="223">
        <f t="shared" si="2"/>
        <v>180486.98382777889</v>
      </c>
      <c r="M22" s="223">
        <f t="shared" si="2"/>
        <v>198535.68221055676</v>
      </c>
      <c r="N22" s="223">
        <f t="shared" si="2"/>
        <v>219758.6062853653</v>
      </c>
      <c r="O22" s="223">
        <f t="shared" si="2"/>
        <v>239288.40307016263</v>
      </c>
      <c r="P22" s="223">
        <f t="shared" si="2"/>
        <v>256971.73319337785</v>
      </c>
      <c r="Q22" s="223">
        <f t="shared" si="2"/>
        <v>272766.18166831136</v>
      </c>
      <c r="R22" s="223">
        <f t="shared" si="2"/>
        <v>286712.41630999872</v>
      </c>
    </row>
    <row r="23" spans="2:18" ht="15" thickBot="1" x14ac:dyDescent="0.35">
      <c r="B23" s="220" t="str">
        <f>Historical!B106</f>
        <v>Tax paid (net)</v>
      </c>
      <c r="C23" s="171"/>
      <c r="D23" s="210">
        <f>Historical!D106</f>
        <v>-10029.4</v>
      </c>
      <c r="E23" s="210">
        <f>Historical!E106</f>
        <v>9692.2000000000007</v>
      </c>
      <c r="F23" s="210">
        <f>Historical!F106</f>
        <v>-15098.4</v>
      </c>
      <c r="G23" s="210">
        <f>Historical!G106</f>
        <v>-15694.4</v>
      </c>
      <c r="H23" s="210">
        <f>Historical!H106</f>
        <v>-4768.3999999999996</v>
      </c>
      <c r="I23" s="210">
        <f>-'Income Statement'!H20</f>
        <v>-28176.399690871142</v>
      </c>
      <c r="J23" s="210">
        <f>-'Income Statement'!I20</f>
        <v>-31629.392232331073</v>
      </c>
      <c r="K23" s="210">
        <f>-'Income Statement'!J20</f>
        <v>-35694.626772047326</v>
      </c>
      <c r="L23" s="210">
        <f>-'Income Statement'!K20</f>
        <v>-39862.157338507335</v>
      </c>
      <c r="M23" s="210">
        <f>-'Income Statement'!L20</f>
        <v>-44815.198633178356</v>
      </c>
      <c r="N23" s="210">
        <f>-'Income Statement'!M20</f>
        <v>-49034.858416986252</v>
      </c>
      <c r="O23" s="210">
        <f>-'Income Statement'!N20</f>
        <v>-53304.970390874652</v>
      </c>
      <c r="P23" s="210">
        <f>-'Income Statement'!O20</f>
        <v>-56720.774218837396</v>
      </c>
      <c r="Q23" s="210">
        <f>-'Income Statement'!P20</f>
        <v>-60236.918923314573</v>
      </c>
      <c r="R23" s="210">
        <f>-'Income Statement'!Q20</f>
        <v>-62892.321023266122</v>
      </c>
    </row>
    <row r="24" spans="2:18" ht="15" thickBot="1" x14ac:dyDescent="0.35">
      <c r="B24" s="225" t="str">
        <f>Historical!B107</f>
        <v>Net Cash from Operating (A)</v>
      </c>
      <c r="C24" s="226"/>
      <c r="D24" s="227">
        <f>D22+D23</f>
        <v>61703.69999999999</v>
      </c>
      <c r="E24" s="227">
        <f t="shared" ref="E24:R24" si="3">E22+E23</f>
        <v>89845.400000000009</v>
      </c>
      <c r="F24" s="227">
        <f t="shared" si="3"/>
        <v>49593.3</v>
      </c>
      <c r="G24" s="227">
        <f t="shared" si="3"/>
        <v>121349.80000000002</v>
      </c>
      <c r="H24" s="227">
        <f t="shared" si="3"/>
        <v>140720.89999999997</v>
      </c>
      <c r="I24" s="227">
        <f t="shared" si="3"/>
        <v>87036.482500413913</v>
      </c>
      <c r="J24" s="227">
        <f t="shared" si="3"/>
        <v>117533.4043195523</v>
      </c>
      <c r="K24" s="227">
        <f t="shared" si="3"/>
        <v>128384.44943502439</v>
      </c>
      <c r="L24" s="227">
        <f t="shared" si="3"/>
        <v>140624.82648927157</v>
      </c>
      <c r="M24" s="227">
        <f t="shared" si="3"/>
        <v>153720.48357737839</v>
      </c>
      <c r="N24" s="227">
        <f t="shared" si="3"/>
        <v>170723.74786837905</v>
      </c>
      <c r="O24" s="227">
        <f t="shared" si="3"/>
        <v>185983.43267928797</v>
      </c>
      <c r="P24" s="227">
        <f t="shared" si="3"/>
        <v>200250.95897454047</v>
      </c>
      <c r="Q24" s="227">
        <f t="shared" si="3"/>
        <v>212529.26274499678</v>
      </c>
      <c r="R24" s="227">
        <f t="shared" si="3"/>
        <v>223820.0952867326</v>
      </c>
    </row>
    <row r="25" spans="2:18" ht="15" thickTop="1" x14ac:dyDescent="0.3">
      <c r="B25" s="238" t="str">
        <f>Historical!B108</f>
        <v>B. Cash Flow from Investing Activities</v>
      </c>
      <c r="C25" s="190"/>
      <c r="D25" s="174"/>
      <c r="E25" s="174"/>
      <c r="F25" s="174"/>
      <c r="G25" s="174"/>
      <c r="H25" s="174"/>
      <c r="I25" s="174"/>
      <c r="J25" s="174"/>
      <c r="K25" s="174"/>
      <c r="L25" s="174"/>
      <c r="M25" s="176"/>
      <c r="N25" s="176"/>
      <c r="O25" s="176"/>
      <c r="P25" s="176"/>
      <c r="Q25" s="176"/>
      <c r="R25" s="176"/>
    </row>
    <row r="26" spans="2:18" x14ac:dyDescent="0.3">
      <c r="B26" s="199" t="str">
        <f>Historical!B109</f>
        <v>Purchase of PP&amp;E</v>
      </c>
      <c r="C26" s="144"/>
      <c r="D26" s="162">
        <f>Historical!D109</f>
        <v>-11701.3</v>
      </c>
      <c r="E26" s="162">
        <f>Historical!E109</f>
        <v>-14950.4</v>
      </c>
      <c r="F26" s="162">
        <f>Historical!F109</f>
        <v>-20855.8</v>
      </c>
      <c r="G26" s="162">
        <f>Historical!G109</f>
        <v>-22018.1</v>
      </c>
      <c r="H26" s="162">
        <f>Historical!H109</f>
        <v>-21285.8</v>
      </c>
      <c r="I26" s="162">
        <f>-Schedules!H19</f>
        <v>-24015.375</v>
      </c>
      <c r="J26" s="162">
        <f>-Schedules!I19</f>
        <v>-24135.451874999999</v>
      </c>
      <c r="K26" s="162">
        <f>-Schedules!J19</f>
        <v>-24256.129134374994</v>
      </c>
      <c r="L26" s="162">
        <f>-Schedules!K19</f>
        <v>-24377.409780046866</v>
      </c>
      <c r="M26" s="162">
        <f>-Schedules!L19</f>
        <v>-24499.296828947099</v>
      </c>
      <c r="N26" s="162">
        <f>-Schedules!M19</f>
        <v>-24621.793313091832</v>
      </c>
      <c r="O26" s="162">
        <f>-Schedules!N19</f>
        <v>-24744.90227965729</v>
      </c>
      <c r="P26" s="162">
        <f>-Schedules!O19</f>
        <v>-24868.626791055573</v>
      </c>
      <c r="Q26" s="162">
        <f>-Schedules!P19</f>
        <v>-24992.969925010846</v>
      </c>
      <c r="R26" s="162">
        <f>-Schedules!Q19</f>
        <v>-25117.934774635898</v>
      </c>
    </row>
    <row r="27" spans="2:18" x14ac:dyDescent="0.3">
      <c r="B27" s="199" t="str">
        <f>Historical!B110</f>
        <v>Sale of PP&amp;E</v>
      </c>
      <c r="C27" s="144"/>
      <c r="D27" s="162">
        <f>Historical!D110</f>
        <v>971</v>
      </c>
      <c r="E27" s="162">
        <f>Historical!E110</f>
        <v>606.1</v>
      </c>
      <c r="F27" s="162">
        <f>Historical!F110</f>
        <v>210.1</v>
      </c>
      <c r="G27" s="162">
        <f>Historical!G110</f>
        <v>308.39999999999998</v>
      </c>
      <c r="H27" s="162">
        <f>Historical!H110</f>
        <v>610.1</v>
      </c>
      <c r="I27" s="162">
        <v>0</v>
      </c>
      <c r="J27" s="162">
        <v>0</v>
      </c>
      <c r="K27" s="162">
        <v>0</v>
      </c>
      <c r="L27" s="162">
        <v>0</v>
      </c>
      <c r="M27" s="162">
        <v>0</v>
      </c>
      <c r="N27" s="162">
        <v>0</v>
      </c>
      <c r="O27" s="162">
        <v>0</v>
      </c>
      <c r="P27" s="162">
        <v>0</v>
      </c>
      <c r="Q27" s="162">
        <v>0</v>
      </c>
      <c r="R27" s="162">
        <v>0</v>
      </c>
    </row>
    <row r="28" spans="2:18" x14ac:dyDescent="0.3">
      <c r="B28" s="199" t="str">
        <f>Historical!B111</f>
        <v>Investments (net)</v>
      </c>
      <c r="C28" s="144"/>
      <c r="D28" s="162">
        <f>Historical!D111</f>
        <v>11670.6</v>
      </c>
      <c r="E28" s="162">
        <f>Historical!E111</f>
        <v>-34485.4</v>
      </c>
      <c r="F28" s="162">
        <f>Historical!F111</f>
        <v>-10673.9</v>
      </c>
      <c r="G28" s="162">
        <f>Historical!G111</f>
        <v>10034.299999999999</v>
      </c>
      <c r="H28" s="162">
        <f>Historical!H111</f>
        <v>-28911.599999999999</v>
      </c>
      <c r="I28" s="162">
        <v>0</v>
      </c>
      <c r="J28" s="162">
        <v>0</v>
      </c>
      <c r="K28" s="162">
        <v>0</v>
      </c>
      <c r="L28" s="162">
        <v>0</v>
      </c>
      <c r="M28" s="162">
        <v>0</v>
      </c>
      <c r="N28" s="162">
        <v>0</v>
      </c>
      <c r="O28" s="162">
        <v>0</v>
      </c>
      <c r="P28" s="162">
        <v>0</v>
      </c>
      <c r="Q28" s="162">
        <v>0</v>
      </c>
      <c r="R28" s="162">
        <v>0</v>
      </c>
    </row>
    <row r="29" spans="2:18" x14ac:dyDescent="0.3">
      <c r="B29" s="199" t="str">
        <f>Historical!B112</f>
        <v>Acquisition/Diaposal of subsidiary (net)</v>
      </c>
      <c r="C29" s="144"/>
      <c r="D29" s="162">
        <f>Historical!D112</f>
        <v>-616</v>
      </c>
      <c r="E29" s="162">
        <f>Historical!E112</f>
        <v>-7157.3</v>
      </c>
      <c r="F29" s="162">
        <f>Historical!F112</f>
        <v>-46858.2</v>
      </c>
      <c r="G29" s="162">
        <f>Historical!G112</f>
        <v>-1433.2</v>
      </c>
      <c r="H29" s="162">
        <f>Historical!H112</f>
        <v>-2728.3</v>
      </c>
      <c r="I29" s="162">
        <v>0</v>
      </c>
      <c r="J29" s="162">
        <v>0</v>
      </c>
      <c r="K29" s="162">
        <v>0</v>
      </c>
      <c r="L29" s="162">
        <v>0</v>
      </c>
      <c r="M29" s="162">
        <v>0</v>
      </c>
      <c r="N29" s="162">
        <v>0</v>
      </c>
      <c r="O29" s="162">
        <v>0</v>
      </c>
      <c r="P29" s="162">
        <v>0</v>
      </c>
      <c r="Q29" s="162">
        <v>0</v>
      </c>
      <c r="R29" s="162">
        <v>0</v>
      </c>
    </row>
    <row r="30" spans="2:18" x14ac:dyDescent="0.3">
      <c r="B30" s="199" t="str">
        <f>Historical!B113</f>
        <v>Interest &amp; dividend received</v>
      </c>
      <c r="C30" s="144"/>
      <c r="D30" s="162">
        <f>Historical!D113</f>
        <v>2093.6</v>
      </c>
      <c r="E30" s="162">
        <f>Historical!E113</f>
        <v>2101.3000000000002</v>
      </c>
      <c r="F30" s="162">
        <f>Historical!F113</f>
        <v>4503.3</v>
      </c>
      <c r="G30" s="162">
        <f>Historical!G113</f>
        <v>7123.4</v>
      </c>
      <c r="H30" s="162">
        <f>Historical!H113</f>
        <v>8697.7000000000007</v>
      </c>
      <c r="I30" s="162">
        <f>'Income Statement'!H18</f>
        <v>10442.099242224969</v>
      </c>
      <c r="J30" s="162">
        <f>'Income Statement'!I18</f>
        <v>11486.309166447467</v>
      </c>
      <c r="K30" s="162">
        <f>'Income Statement'!J18</f>
        <v>12634.940083092213</v>
      </c>
      <c r="L30" s="162">
        <f>'Income Statement'!K18</f>
        <v>13898.434091401436</v>
      </c>
      <c r="M30" s="162">
        <f>'Income Statement'!L18</f>
        <v>15288.277500541581</v>
      </c>
      <c r="N30" s="162">
        <f>'Income Statement'!M18</f>
        <v>16561.026602461669</v>
      </c>
      <c r="O30" s="162">
        <f>'Income Statement'!N18</f>
        <v>17708.7989017869</v>
      </c>
      <c r="P30" s="162">
        <f>'Income Statement'!O18</f>
        <v>18730.542282213373</v>
      </c>
      <c r="Q30" s="162">
        <f>'Income Statement'!P18</f>
        <v>19630.220736179173</v>
      </c>
      <c r="R30" s="162">
        <f>'Income Statement'!Q18</f>
        <v>20415.178689276105</v>
      </c>
    </row>
    <row r="31" spans="2:18" ht="15" thickBot="1" x14ac:dyDescent="0.35">
      <c r="B31" s="220" t="str">
        <f>Historical!B114</f>
        <v>Other investing flows</v>
      </c>
      <c r="C31" s="171"/>
      <c r="D31" s="210">
        <f>Historical!D114</f>
        <v>2944.3</v>
      </c>
      <c r="E31" s="210">
        <f>Historical!E114</f>
        <v>-3361.7</v>
      </c>
      <c r="F31" s="210">
        <f>Historical!F114</f>
        <v>-5762.3</v>
      </c>
      <c r="G31" s="210">
        <f>Historical!G114</f>
        <v>-916.7</v>
      </c>
      <c r="H31" s="210">
        <f>Historical!H114</f>
        <v>-9443.7000000000007</v>
      </c>
      <c r="I31" s="162">
        <v>0</v>
      </c>
      <c r="J31" s="162">
        <v>0</v>
      </c>
      <c r="K31" s="162">
        <v>0</v>
      </c>
      <c r="L31" s="162">
        <v>0</v>
      </c>
      <c r="M31" s="162">
        <v>0</v>
      </c>
      <c r="N31" s="162">
        <v>0</v>
      </c>
      <c r="O31" s="162">
        <v>0</v>
      </c>
      <c r="P31" s="162">
        <v>0</v>
      </c>
      <c r="Q31" s="162">
        <v>0</v>
      </c>
      <c r="R31" s="162">
        <v>0</v>
      </c>
    </row>
    <row r="32" spans="2:18" ht="15" thickBot="1" x14ac:dyDescent="0.35">
      <c r="B32" s="225" t="str">
        <f>Historical!B115</f>
        <v>Net Cash from Investing (B)</v>
      </c>
      <c r="C32" s="226"/>
      <c r="D32" s="227">
        <f>SUM(D26:D31)</f>
        <v>5362.2000000000007</v>
      </c>
      <c r="E32" s="227">
        <f t="shared" ref="E32:R32" si="4">SUM(E26:E31)</f>
        <v>-57247.399999999994</v>
      </c>
      <c r="F32" s="227">
        <f t="shared" si="4"/>
        <v>-79436.799999999988</v>
      </c>
      <c r="G32" s="227">
        <f t="shared" si="4"/>
        <v>-6901.8999999999987</v>
      </c>
      <c r="H32" s="227">
        <f t="shared" si="4"/>
        <v>-53061.600000000006</v>
      </c>
      <c r="I32" s="227">
        <f t="shared" si="4"/>
        <v>-13573.275757775031</v>
      </c>
      <c r="J32" s="227">
        <f t="shared" si="4"/>
        <v>-12649.142708552532</v>
      </c>
      <c r="K32" s="227">
        <f t="shared" si="4"/>
        <v>-11621.189051282781</v>
      </c>
      <c r="L32" s="227">
        <f t="shared" si="4"/>
        <v>-10478.975688645431</v>
      </c>
      <c r="M32" s="227">
        <f t="shared" si="4"/>
        <v>-9211.0193284055185</v>
      </c>
      <c r="N32" s="227">
        <f t="shared" si="4"/>
        <v>-8060.7667106301633</v>
      </c>
      <c r="O32" s="227">
        <f t="shared" si="4"/>
        <v>-7036.1033778703895</v>
      </c>
      <c r="P32" s="227">
        <f t="shared" si="4"/>
        <v>-6138.0845088421993</v>
      </c>
      <c r="Q32" s="227">
        <f t="shared" si="4"/>
        <v>-5362.7491888316727</v>
      </c>
      <c r="R32" s="227">
        <f t="shared" si="4"/>
        <v>-4702.7560853597934</v>
      </c>
    </row>
    <row r="33" spans="2:18" ht="15" thickTop="1" x14ac:dyDescent="0.3">
      <c r="B33" s="238" t="str">
        <f>Historical!B116</f>
        <v>C. Cash Flow from Financing Activities</v>
      </c>
      <c r="C33" s="190"/>
      <c r="D33" s="174"/>
      <c r="E33" s="174"/>
      <c r="F33" s="174"/>
      <c r="G33" s="174"/>
      <c r="H33" s="174"/>
      <c r="I33" s="174"/>
      <c r="J33" s="174"/>
      <c r="K33" s="174"/>
      <c r="L33" s="175"/>
      <c r="M33" s="175"/>
      <c r="N33" s="175"/>
      <c r="O33" s="175"/>
      <c r="P33" s="175"/>
      <c r="Q33" s="175"/>
      <c r="R33" s="176"/>
    </row>
    <row r="34" spans="2:18" x14ac:dyDescent="0.3">
      <c r="B34" s="199" t="str">
        <f>Historical!B117</f>
        <v>Borrowings (net)</v>
      </c>
      <c r="C34" s="144"/>
      <c r="D34" s="162">
        <f>Historical!D117</f>
        <v>-41992.1</v>
      </c>
      <c r="E34" s="162">
        <f>Historical!E117</f>
        <v>-27431.3</v>
      </c>
      <c r="F34" s="162">
        <f>Historical!F117</f>
        <v>52601.5</v>
      </c>
      <c r="G34" s="162">
        <f>Historical!G117</f>
        <v>-35329.4</v>
      </c>
      <c r="H34" s="162">
        <f>Historical!H117</f>
        <v>-9821.4</v>
      </c>
      <c r="I34" s="162">
        <f>Schedules!H25</f>
        <v>0</v>
      </c>
      <c r="J34" s="162">
        <f>Schedules!I25</f>
        <v>0</v>
      </c>
      <c r="K34" s="162">
        <f>Schedules!J25</f>
        <v>0</v>
      </c>
      <c r="L34" s="162">
        <f>Schedules!K25</f>
        <v>0</v>
      </c>
      <c r="M34" s="162">
        <f>Schedules!L25</f>
        <v>0</v>
      </c>
      <c r="N34" s="162">
        <f>Schedules!M25</f>
        <v>0</v>
      </c>
      <c r="O34" s="162">
        <f>Schedules!N25</f>
        <v>0</v>
      </c>
      <c r="P34" s="162">
        <f>Schedules!O25</f>
        <v>0</v>
      </c>
      <c r="Q34" s="162">
        <f>Schedules!P25</f>
        <v>0</v>
      </c>
      <c r="R34" s="162">
        <f>Schedules!Q25</f>
        <v>0</v>
      </c>
    </row>
    <row r="35" spans="2:18" x14ac:dyDescent="0.3">
      <c r="B35" s="199" t="str">
        <f>Historical!B118</f>
        <v>Lease payments</v>
      </c>
      <c r="C35" s="144"/>
      <c r="D35" s="162">
        <f>Historical!D118</f>
        <v>-1177.9000000000001</v>
      </c>
      <c r="E35" s="162">
        <f>Historical!E118</f>
        <v>-1286.5</v>
      </c>
      <c r="F35" s="162">
        <f>Historical!F118</f>
        <v>-1346.2</v>
      </c>
      <c r="G35" s="162">
        <f>Historical!G118</f>
        <v>-1231</v>
      </c>
      <c r="H35" s="162">
        <f>Historical!H118</f>
        <v>-1345.1</v>
      </c>
      <c r="I35" s="162">
        <v>0</v>
      </c>
      <c r="J35" s="162">
        <v>0</v>
      </c>
      <c r="K35" s="162">
        <v>0</v>
      </c>
      <c r="L35" s="162">
        <v>0</v>
      </c>
      <c r="M35" s="162">
        <v>0</v>
      </c>
      <c r="N35" s="162">
        <v>0</v>
      </c>
      <c r="O35" s="162">
        <v>0</v>
      </c>
      <c r="P35" s="162">
        <v>0</v>
      </c>
      <c r="Q35" s="162">
        <v>0</v>
      </c>
      <c r="R35" s="162">
        <v>0</v>
      </c>
    </row>
    <row r="36" spans="2:18" x14ac:dyDescent="0.3">
      <c r="B36" s="199" t="str">
        <f>Historical!B119</f>
        <v>Buyback / NCI</v>
      </c>
      <c r="C36" s="144"/>
      <c r="D36" s="162">
        <f>Historical!D119</f>
        <v>-1854.2</v>
      </c>
      <c r="E36" s="162">
        <f>Historical!E119</f>
        <v>-1857</v>
      </c>
      <c r="F36" s="162" t="str">
        <f>Historical!F119</f>
        <v>-</v>
      </c>
      <c r="G36" s="162">
        <f>Historical!G119</f>
        <v>-773.9</v>
      </c>
      <c r="H36" s="162">
        <f>Historical!H119</f>
        <v>-28998.5</v>
      </c>
      <c r="I36" s="162">
        <v>0</v>
      </c>
      <c r="J36" s="162">
        <v>0</v>
      </c>
      <c r="K36" s="162">
        <v>0</v>
      </c>
      <c r="L36" s="162">
        <v>0</v>
      </c>
      <c r="M36" s="162">
        <v>0</v>
      </c>
      <c r="N36" s="162">
        <v>0</v>
      </c>
      <c r="O36" s="162">
        <v>0</v>
      </c>
      <c r="P36" s="162">
        <v>0</v>
      </c>
      <c r="Q36" s="162">
        <v>0</v>
      </c>
      <c r="R36" s="162">
        <v>0</v>
      </c>
    </row>
    <row r="37" spans="2:18" x14ac:dyDescent="0.3">
      <c r="B37" s="199" t="str">
        <f>Historical!B120</f>
        <v>Finance cost paid</v>
      </c>
      <c r="C37" s="144"/>
      <c r="D37" s="162">
        <f>Historical!D120</f>
        <v>-1442.5</v>
      </c>
      <c r="E37" s="162">
        <f>Historical!E120</f>
        <v>-732.1</v>
      </c>
      <c r="F37" s="162">
        <f>Historical!F120</f>
        <v>-992.4</v>
      </c>
      <c r="G37" s="162">
        <f>Historical!G120</f>
        <v>-2190.3000000000002</v>
      </c>
      <c r="H37" s="162">
        <f>Historical!H120</f>
        <v>-2238.1999999999998</v>
      </c>
      <c r="I37" s="162">
        <f>-Schedules!H27</f>
        <v>-1520.0446879315737</v>
      </c>
      <c r="J37" s="162">
        <f>-Schedules!I27</f>
        <v>-1520.0446879315737</v>
      </c>
      <c r="K37" s="162">
        <f>-Schedules!J27</f>
        <v>-1520.0446879315737</v>
      </c>
      <c r="L37" s="162">
        <f>-Schedules!K27</f>
        <v>-1520.0446879315737</v>
      </c>
      <c r="M37" s="162">
        <f>-Schedules!L27</f>
        <v>-1520.0446879315737</v>
      </c>
      <c r="N37" s="162">
        <f>-Schedules!M27</f>
        <v>-1520.0446879315737</v>
      </c>
      <c r="O37" s="162">
        <f>-Schedules!N27</f>
        <v>-1520.0446879315737</v>
      </c>
      <c r="P37" s="162">
        <f>-Schedules!O27</f>
        <v>-1520.0446879315737</v>
      </c>
      <c r="Q37" s="162">
        <f>-Schedules!P27</f>
        <v>-1520.0446879315737</v>
      </c>
      <c r="R37" s="162">
        <f>-Schedules!Q27</f>
        <v>-1520.0446879315737</v>
      </c>
    </row>
    <row r="38" spans="2:18" x14ac:dyDescent="0.3">
      <c r="B38" s="199" t="str">
        <f>Historical!B121</f>
        <v>Dividend paid</v>
      </c>
      <c r="C38" s="144"/>
      <c r="D38" s="162">
        <f>Historical!D121</f>
        <v>-15861.7</v>
      </c>
      <c r="E38" s="162">
        <f>Historical!E121</f>
        <v>-21691.9</v>
      </c>
      <c r="F38" s="162">
        <f>Historical!F121</f>
        <v>-25197.3</v>
      </c>
      <c r="G38" s="162">
        <f>Historical!G121</f>
        <v>-29007.1</v>
      </c>
      <c r="H38" s="162">
        <f>Historical!H121</f>
        <v>-36173</v>
      </c>
      <c r="I38" s="162">
        <f>-'Income Statement'!H22*Assumptions!H16</f>
        <v>-33979.733867938077</v>
      </c>
      <c r="J38" s="162">
        <f>-'Income Statement'!I22*Assumptions!I16</f>
        <v>-38146.316563061875</v>
      </c>
      <c r="K38" s="162">
        <f>-'Income Statement'!J22*Assumptions!J16</f>
        <v>-42515.661640978309</v>
      </c>
      <c r="L38" s="162">
        <f>-'Income Statement'!K22*Assumptions!K16</f>
        <v>-47481.737873487582</v>
      </c>
      <c r="M38" s="162">
        <f>-'Income Statement'!L22*Assumptions!L16</f>
        <v>-52717.654338700588</v>
      </c>
      <c r="N38" s="162">
        <f>-'Income Statement'!M22*Assumptions!M16</f>
        <v>-57683.082109805247</v>
      </c>
      <c r="O38" s="162">
        <f>-'Income Statement'!N22*Assumptions!N16</f>
        <v>-61923.426446377212</v>
      </c>
      <c r="P38" s="162">
        <f>-'Income Statement'!O22*Assumptions!O16</f>
        <v>-65892.655057315831</v>
      </c>
      <c r="Q38" s="162">
        <f>-'Income Statement'!P22*Assumptions!P16</f>
        <v>-69100.744850136311</v>
      </c>
      <c r="R38" s="162">
        <f>-'Income Statement'!Q22*Assumptions!Q16</f>
        <v>-72147.706081685188</v>
      </c>
    </row>
    <row r="39" spans="2:18" ht="15" thickBot="1" x14ac:dyDescent="0.35">
      <c r="B39" s="220" t="str">
        <f>Historical!B122</f>
        <v>Other financing flows</v>
      </c>
      <c r="C39" s="171"/>
      <c r="D39" s="210">
        <f>Historical!D122</f>
        <v>2523.6</v>
      </c>
      <c r="E39" s="210">
        <f>Historical!E122</f>
        <v>1064.2</v>
      </c>
      <c r="F39" s="210">
        <f>Historical!F122</f>
        <v>-1304.9000000000001</v>
      </c>
      <c r="G39" s="210">
        <f>Historical!G122</f>
        <v>1430.1</v>
      </c>
      <c r="H39" s="210">
        <f>Historical!H122</f>
        <v>-482</v>
      </c>
      <c r="I39" s="162">
        <v>0</v>
      </c>
      <c r="J39" s="162">
        <v>0</v>
      </c>
      <c r="K39" s="162">
        <v>0</v>
      </c>
      <c r="L39" s="162">
        <v>0</v>
      </c>
      <c r="M39" s="162">
        <v>0</v>
      </c>
      <c r="N39" s="162">
        <v>0</v>
      </c>
      <c r="O39" s="162">
        <v>0</v>
      </c>
      <c r="P39" s="162">
        <v>0</v>
      </c>
      <c r="Q39" s="162">
        <v>0</v>
      </c>
      <c r="R39" s="162">
        <v>0</v>
      </c>
    </row>
    <row r="40" spans="2:18" ht="15" thickBot="1" x14ac:dyDescent="0.35">
      <c r="B40" s="228" t="str">
        <f>Historical!B123</f>
        <v>Net Cash from Financing (C)</v>
      </c>
      <c r="C40" s="229"/>
      <c r="D40" s="230">
        <f>SUM(D34:D39)</f>
        <v>-59804.799999999996</v>
      </c>
      <c r="E40" s="230">
        <f t="shared" ref="E40:R40" si="5">SUM(E34:E39)</f>
        <v>-51934.600000000006</v>
      </c>
      <c r="F40" s="230">
        <f t="shared" si="5"/>
        <v>23760.7</v>
      </c>
      <c r="G40" s="230">
        <f t="shared" si="5"/>
        <v>-67101.600000000006</v>
      </c>
      <c r="H40" s="230">
        <f t="shared" si="5"/>
        <v>-79058.2</v>
      </c>
      <c r="I40" s="230">
        <f t="shared" si="5"/>
        <v>-35499.778555869649</v>
      </c>
      <c r="J40" s="230">
        <f t="shared" si="5"/>
        <v>-39666.361250993446</v>
      </c>
      <c r="K40" s="230">
        <f t="shared" si="5"/>
        <v>-44035.706328909881</v>
      </c>
      <c r="L40" s="230">
        <f t="shared" si="5"/>
        <v>-49001.782561419153</v>
      </c>
      <c r="M40" s="230">
        <f t="shared" si="5"/>
        <v>-54237.699026632159</v>
      </c>
      <c r="N40" s="230">
        <f t="shared" si="5"/>
        <v>-59203.126797736819</v>
      </c>
      <c r="O40" s="230">
        <f t="shared" si="5"/>
        <v>-63443.471134308784</v>
      </c>
      <c r="P40" s="230">
        <f t="shared" si="5"/>
        <v>-67412.699745247402</v>
      </c>
      <c r="Q40" s="230">
        <f t="shared" si="5"/>
        <v>-70620.789538067882</v>
      </c>
      <c r="R40" s="230">
        <f t="shared" si="5"/>
        <v>-73667.750769616759</v>
      </c>
    </row>
    <row r="41" spans="2:18" x14ac:dyDescent="0.3">
      <c r="B41" s="221" t="str">
        <f>Historical!B124</f>
        <v>Net Cash Movement</v>
      </c>
      <c r="C41" s="239"/>
      <c r="D41" s="240"/>
      <c r="E41" s="240"/>
      <c r="F41" s="240"/>
      <c r="G41" s="240"/>
      <c r="H41" s="240"/>
      <c r="I41" s="240"/>
      <c r="J41" s="240"/>
      <c r="K41" s="240"/>
      <c r="L41" s="240"/>
      <c r="M41" s="240"/>
      <c r="N41" s="240"/>
      <c r="O41" s="240"/>
      <c r="P41" s="240"/>
      <c r="Q41" s="240"/>
      <c r="R41" s="241"/>
    </row>
    <row r="42" spans="2:18" x14ac:dyDescent="0.3">
      <c r="B42" s="217" t="str">
        <f>Historical!B125</f>
        <v>Net increase / (decrease)</v>
      </c>
      <c r="C42" s="219"/>
      <c r="D42" s="216">
        <f>+D40+D32+D24</f>
        <v>7261.0999999999985</v>
      </c>
      <c r="E42" s="216">
        <f t="shared" ref="E42:R42" si="6">+E40+E32+E24</f>
        <v>-19336.599999999991</v>
      </c>
      <c r="F42" s="216">
        <f t="shared" si="6"/>
        <v>-6082.7999999999884</v>
      </c>
      <c r="G42" s="216">
        <f t="shared" si="6"/>
        <v>47346.300000000017</v>
      </c>
      <c r="H42" s="216">
        <f t="shared" si="6"/>
        <v>8601.0999999999767</v>
      </c>
      <c r="I42" s="216">
        <f t="shared" si="6"/>
        <v>37963.428186769233</v>
      </c>
      <c r="J42" s="216">
        <f t="shared" si="6"/>
        <v>65217.900360006315</v>
      </c>
      <c r="K42" s="216">
        <f t="shared" si="6"/>
        <v>72727.554054831737</v>
      </c>
      <c r="L42" s="216">
        <f t="shared" si="6"/>
        <v>81144.068239206987</v>
      </c>
      <c r="M42" s="216">
        <f t="shared" si="6"/>
        <v>90271.765222340706</v>
      </c>
      <c r="N42" s="216">
        <f t="shared" si="6"/>
        <v>103459.85436001208</v>
      </c>
      <c r="O42" s="216">
        <f t="shared" si="6"/>
        <v>115503.8581671088</v>
      </c>
      <c r="P42" s="216">
        <f t="shared" si="6"/>
        <v>126700.17472045086</v>
      </c>
      <c r="Q42" s="216">
        <f t="shared" si="6"/>
        <v>136545.72401809721</v>
      </c>
      <c r="R42" s="216">
        <f t="shared" si="6"/>
        <v>145449.58843175604</v>
      </c>
    </row>
    <row r="43" spans="2:18" x14ac:dyDescent="0.3">
      <c r="B43" s="199" t="str">
        <f>Historical!B126</f>
        <v>Opening cash</v>
      </c>
      <c r="C43" s="144"/>
      <c r="D43" s="162">
        <f>Historical!D126</f>
        <v>56766.1</v>
      </c>
      <c r="E43" s="162">
        <f>D45</f>
        <v>62730.299999999996</v>
      </c>
      <c r="F43" s="162">
        <f t="shared" ref="F43:R43" si="7">E45</f>
        <v>45082.500000000007</v>
      </c>
      <c r="G43" s="162">
        <f t="shared" si="7"/>
        <v>46237.300000000017</v>
      </c>
      <c r="H43" s="162">
        <f t="shared" si="7"/>
        <v>92856.600000000035</v>
      </c>
      <c r="I43" s="162">
        <f t="shared" si="7"/>
        <v>102687.80000000002</v>
      </c>
      <c r="J43" s="162">
        <f t="shared" si="7"/>
        <v>140651.22818676924</v>
      </c>
      <c r="K43" s="162">
        <f t="shared" si="7"/>
        <v>205869.12854677555</v>
      </c>
      <c r="L43" s="162">
        <f t="shared" si="7"/>
        <v>278596.68260160729</v>
      </c>
      <c r="M43" s="162">
        <f t="shared" si="7"/>
        <v>359740.75084081426</v>
      </c>
      <c r="N43" s="162">
        <f t="shared" si="7"/>
        <v>450012.51606315497</v>
      </c>
      <c r="O43" s="162">
        <f t="shared" si="7"/>
        <v>553472.37042316701</v>
      </c>
      <c r="P43" s="162">
        <f t="shared" si="7"/>
        <v>668976.22859027586</v>
      </c>
      <c r="Q43" s="162">
        <f t="shared" si="7"/>
        <v>795676.40331072675</v>
      </c>
      <c r="R43" s="162">
        <f t="shared" si="7"/>
        <v>932222.12732882402</v>
      </c>
    </row>
    <row r="44" spans="2:18" ht="15" thickBot="1" x14ac:dyDescent="0.35">
      <c r="B44" s="220" t="str">
        <f>Historical!B127</f>
        <v>Other adjustments</v>
      </c>
      <c r="C44" s="171"/>
      <c r="D44" s="210">
        <f>Historical!D127</f>
        <v>-1296.9000000000001</v>
      </c>
      <c r="E44" s="210">
        <f>Historical!E127</f>
        <v>1688.8</v>
      </c>
      <c r="F44" s="210">
        <f>Historical!F127</f>
        <v>7237.6</v>
      </c>
      <c r="G44" s="210">
        <f>Historical!G127</f>
        <v>-727</v>
      </c>
      <c r="H44" s="210">
        <f>Historical!H127</f>
        <v>1230.0999999999999</v>
      </c>
      <c r="I44" s="162">
        <v>0</v>
      </c>
      <c r="J44" s="162">
        <v>0</v>
      </c>
      <c r="K44" s="162">
        <v>0</v>
      </c>
      <c r="L44" s="162">
        <v>0</v>
      </c>
      <c r="M44" s="162">
        <v>0</v>
      </c>
      <c r="N44" s="162">
        <v>0</v>
      </c>
      <c r="O44" s="162">
        <v>0</v>
      </c>
      <c r="P44" s="162">
        <v>0</v>
      </c>
      <c r="Q44" s="162">
        <v>0</v>
      </c>
      <c r="R44" s="162">
        <v>0</v>
      </c>
    </row>
    <row r="45" spans="2:18" ht="15" thickBot="1" x14ac:dyDescent="0.35">
      <c r="B45" s="225" t="str">
        <f>Historical!B128</f>
        <v>Closing cash</v>
      </c>
      <c r="C45" s="226"/>
      <c r="D45" s="227">
        <f>SUM(D42:D44)</f>
        <v>62730.299999999996</v>
      </c>
      <c r="E45" s="227">
        <f t="shared" ref="E45:R45" si="8">SUM(E42:E44)</f>
        <v>45082.500000000007</v>
      </c>
      <c r="F45" s="227">
        <f t="shared" si="8"/>
        <v>46237.300000000017</v>
      </c>
      <c r="G45" s="227">
        <f t="shared" si="8"/>
        <v>92856.600000000035</v>
      </c>
      <c r="H45" s="227">
        <f t="shared" si="8"/>
        <v>102687.80000000002</v>
      </c>
      <c r="I45" s="227">
        <f t="shared" si="8"/>
        <v>140651.22818676924</v>
      </c>
      <c r="J45" s="227">
        <f t="shared" si="8"/>
        <v>205869.12854677555</v>
      </c>
      <c r="K45" s="227">
        <f t="shared" si="8"/>
        <v>278596.68260160729</v>
      </c>
      <c r="L45" s="227">
        <f t="shared" si="8"/>
        <v>359740.75084081426</v>
      </c>
      <c r="M45" s="227">
        <f t="shared" si="8"/>
        <v>450012.51606315497</v>
      </c>
      <c r="N45" s="227">
        <f t="shared" si="8"/>
        <v>553472.37042316701</v>
      </c>
      <c r="O45" s="227">
        <f t="shared" si="8"/>
        <v>668976.22859027586</v>
      </c>
      <c r="P45" s="227">
        <f t="shared" si="8"/>
        <v>795676.40331072675</v>
      </c>
      <c r="Q45" s="227">
        <f t="shared" si="8"/>
        <v>932222.12732882402</v>
      </c>
      <c r="R45" s="227">
        <f t="shared" si="8"/>
        <v>1077671.71576058</v>
      </c>
    </row>
    <row r="46" spans="2:18" ht="15" thickTop="1" x14ac:dyDescent="0.3">
      <c r="B46" s="23"/>
      <c r="C46" s="23"/>
      <c r="D46" s="23"/>
      <c r="E46" s="23"/>
      <c r="F46" s="23"/>
      <c r="G46" s="23"/>
      <c r="H46" s="23"/>
    </row>
    <row r="47" spans="2:18" x14ac:dyDescent="0.3">
      <c r="B47" s="23"/>
      <c r="C47" s="23"/>
      <c r="D47" s="23"/>
      <c r="E47" s="23"/>
      <c r="F47" s="23"/>
      <c r="G47" s="23"/>
      <c r="H47" s="23"/>
    </row>
    <row r="48" spans="2:18" x14ac:dyDescent="0.3">
      <c r="B48" s="23"/>
      <c r="C48" s="23"/>
      <c r="D48" s="23"/>
      <c r="E48" s="23"/>
      <c r="F48" s="23"/>
      <c r="G48" s="23"/>
      <c r="H48" s="23"/>
    </row>
    <row r="49" spans="2:8" x14ac:dyDescent="0.3">
      <c r="B49" s="23"/>
      <c r="C49" s="23"/>
      <c r="D49" s="23"/>
      <c r="E49" s="23"/>
      <c r="F49" s="23"/>
      <c r="G49" s="23"/>
      <c r="H49" s="23"/>
    </row>
    <row r="50" spans="2:8" x14ac:dyDescent="0.3">
      <c r="B50" s="23"/>
      <c r="C50" s="23"/>
      <c r="D50" s="23"/>
      <c r="E50" s="23"/>
      <c r="F50" s="23"/>
      <c r="G50" s="23"/>
      <c r="H50" s="23"/>
    </row>
    <row r="51" spans="2:8" x14ac:dyDescent="0.3">
      <c r="B51" s="23"/>
      <c r="C51" s="23"/>
      <c r="D51" s="23"/>
      <c r="E51" s="23"/>
      <c r="F51" s="23"/>
      <c r="G51" s="23"/>
      <c r="H51" s="23"/>
    </row>
    <row r="52" spans="2:8" x14ac:dyDescent="0.3">
      <c r="B52" s="23"/>
      <c r="C52" s="23"/>
      <c r="D52" s="23"/>
      <c r="E52" s="23"/>
      <c r="F52" s="23"/>
      <c r="G52" s="23"/>
      <c r="H52" s="23"/>
    </row>
    <row r="53" spans="2:8" x14ac:dyDescent="0.3">
      <c r="B53" s="23"/>
      <c r="C53" s="23"/>
      <c r="D53" s="23"/>
      <c r="E53" s="23"/>
      <c r="F53" s="23"/>
      <c r="G53" s="23"/>
      <c r="H53" s="23"/>
    </row>
    <row r="54" spans="2:8" x14ac:dyDescent="0.3">
      <c r="B54" s="23"/>
      <c r="C54" s="23"/>
      <c r="D54" s="23"/>
      <c r="E54" s="23"/>
      <c r="F54" s="23"/>
      <c r="G54" s="23"/>
      <c r="H54" s="23"/>
    </row>
    <row r="55" spans="2:8" x14ac:dyDescent="0.3">
      <c r="B55" s="23"/>
      <c r="C55" s="23"/>
      <c r="D55" s="23"/>
      <c r="E55" s="23"/>
      <c r="F55" s="23"/>
      <c r="G55" s="23"/>
      <c r="H55" s="23"/>
    </row>
    <row r="56" spans="2:8" x14ac:dyDescent="0.3">
      <c r="B56" s="23"/>
      <c r="C56" s="23"/>
      <c r="D56" s="23"/>
      <c r="E56" s="23"/>
      <c r="F56" s="23"/>
      <c r="G56" s="23"/>
      <c r="H56" s="23"/>
    </row>
    <row r="57" spans="2:8" x14ac:dyDescent="0.3">
      <c r="B57" s="23"/>
      <c r="C57" s="23"/>
      <c r="D57" s="23"/>
      <c r="E57" s="23"/>
      <c r="F57" s="23"/>
      <c r="G57" s="23"/>
      <c r="H57" s="23"/>
    </row>
    <row r="58" spans="2:8" x14ac:dyDescent="0.3">
      <c r="B58" s="23"/>
      <c r="C58" s="23"/>
      <c r="D58" s="23"/>
      <c r="E58" s="23"/>
      <c r="F58" s="23"/>
      <c r="G58" s="23"/>
      <c r="H58" s="23"/>
    </row>
    <row r="59" spans="2:8" x14ac:dyDescent="0.3">
      <c r="B59" s="23"/>
      <c r="C59" s="23"/>
      <c r="D59" s="23"/>
      <c r="E59" s="23"/>
      <c r="F59" s="23"/>
      <c r="G59" s="23"/>
      <c r="H59" s="23"/>
    </row>
    <row r="60" spans="2:8" x14ac:dyDescent="0.3">
      <c r="B60" s="23"/>
      <c r="C60" s="23"/>
      <c r="D60" s="23"/>
      <c r="E60" s="23"/>
      <c r="F60" s="23"/>
      <c r="G60" s="23"/>
      <c r="H60" s="23"/>
    </row>
    <row r="61" spans="2:8" x14ac:dyDescent="0.3">
      <c r="B61" s="23"/>
      <c r="C61" s="23"/>
      <c r="D61" s="23"/>
      <c r="E61" s="23"/>
      <c r="F61" s="23"/>
      <c r="G61" s="23"/>
      <c r="H61" s="23"/>
    </row>
    <row r="62" spans="2:8" x14ac:dyDescent="0.3">
      <c r="B62" s="23"/>
      <c r="C62" s="23"/>
      <c r="D62" s="23"/>
      <c r="E62" s="23"/>
      <c r="F62" s="23"/>
      <c r="G62" s="23"/>
      <c r="H62" s="23"/>
    </row>
    <row r="63" spans="2:8" x14ac:dyDescent="0.3">
      <c r="B63" s="23"/>
      <c r="C63" s="23"/>
      <c r="D63" s="23"/>
      <c r="E63" s="23"/>
      <c r="F63" s="23"/>
      <c r="G63" s="23"/>
      <c r="H63" s="23"/>
    </row>
    <row r="64" spans="2:8" x14ac:dyDescent="0.3">
      <c r="B64" s="23"/>
      <c r="C64" s="23"/>
      <c r="D64" s="23"/>
      <c r="E64" s="23"/>
      <c r="F64" s="23"/>
      <c r="G64" s="23"/>
      <c r="H64" s="23"/>
    </row>
    <row r="65" spans="2:8" x14ac:dyDescent="0.3">
      <c r="B65" s="23"/>
      <c r="C65" s="23"/>
      <c r="D65" s="23"/>
      <c r="E65" s="23"/>
      <c r="F65" s="23"/>
      <c r="G65" s="23"/>
      <c r="H65" s="23"/>
    </row>
    <row r="66" spans="2:8" x14ac:dyDescent="0.3">
      <c r="B66" s="23"/>
      <c r="C66" s="23"/>
      <c r="D66" s="23"/>
      <c r="E66" s="23"/>
      <c r="F66" s="23"/>
      <c r="G66" s="23"/>
      <c r="H66" s="23"/>
    </row>
    <row r="67" spans="2:8" x14ac:dyDescent="0.3">
      <c r="B67" s="23"/>
      <c r="C67" s="23"/>
      <c r="D67" s="23"/>
      <c r="E67" s="23"/>
      <c r="F67" s="23"/>
      <c r="G67" s="23"/>
      <c r="H67" s="23"/>
    </row>
    <row r="68" spans="2:8" x14ac:dyDescent="0.3">
      <c r="B68" s="23"/>
      <c r="C68" s="23"/>
      <c r="D68" s="23"/>
      <c r="E68" s="23"/>
      <c r="F68" s="23"/>
      <c r="G68" s="23"/>
      <c r="H68" s="23"/>
    </row>
    <row r="69" spans="2:8" x14ac:dyDescent="0.3">
      <c r="B69" s="23"/>
      <c r="C69" s="23"/>
      <c r="D69" s="23"/>
      <c r="E69" s="23"/>
      <c r="F69" s="23"/>
      <c r="G69" s="23"/>
      <c r="H69" s="23"/>
    </row>
    <row r="70" spans="2:8" x14ac:dyDescent="0.3">
      <c r="B70" s="23"/>
      <c r="C70" s="23"/>
      <c r="D70" s="23"/>
      <c r="E70" s="23"/>
      <c r="F70" s="23"/>
      <c r="G70" s="23"/>
      <c r="H70" s="23"/>
    </row>
    <row r="71" spans="2:8" x14ac:dyDescent="0.3">
      <c r="B71" s="23"/>
      <c r="C71" s="23"/>
      <c r="D71" s="23"/>
      <c r="E71" s="23"/>
      <c r="F71" s="23"/>
      <c r="G71" s="23"/>
      <c r="H71" s="23"/>
    </row>
    <row r="72" spans="2:8" x14ac:dyDescent="0.3">
      <c r="B72" s="23"/>
      <c r="C72" s="23"/>
      <c r="D72" s="23"/>
      <c r="E72" s="23"/>
      <c r="F72" s="23"/>
      <c r="G72" s="23"/>
      <c r="H72" s="23"/>
    </row>
    <row r="73" spans="2:8" x14ac:dyDescent="0.3">
      <c r="B73" s="23"/>
      <c r="C73" s="23"/>
      <c r="D73" s="23"/>
      <c r="E73" s="23"/>
      <c r="F73" s="23"/>
      <c r="G73" s="23"/>
      <c r="H73" s="23"/>
    </row>
    <row r="74" spans="2:8" x14ac:dyDescent="0.3">
      <c r="B74" s="23"/>
      <c r="C74" s="23"/>
      <c r="D74" s="23"/>
      <c r="E74" s="23"/>
      <c r="F74" s="23"/>
      <c r="G74" s="23"/>
      <c r="H74" s="23"/>
    </row>
    <row r="75" spans="2:8" x14ac:dyDescent="0.3">
      <c r="B75" s="23"/>
      <c r="C75" s="23"/>
      <c r="D75" s="23"/>
      <c r="E75" s="23"/>
      <c r="F75" s="23"/>
      <c r="G75" s="23"/>
      <c r="H75" s="23"/>
    </row>
    <row r="76" spans="2:8" x14ac:dyDescent="0.3">
      <c r="B76" s="23"/>
      <c r="C76" s="23"/>
      <c r="D76" s="23"/>
      <c r="E76" s="23"/>
      <c r="F76" s="23"/>
      <c r="G76" s="23"/>
      <c r="H76" s="23"/>
    </row>
    <row r="77" spans="2:8" x14ac:dyDescent="0.3">
      <c r="B77" s="23"/>
      <c r="C77" s="23"/>
      <c r="D77" s="23"/>
      <c r="E77" s="23"/>
      <c r="F77" s="23"/>
      <c r="G77" s="23"/>
      <c r="H77" s="23"/>
    </row>
    <row r="78" spans="2:8" x14ac:dyDescent="0.3">
      <c r="B78" s="23"/>
      <c r="C78" s="23"/>
      <c r="D78" s="23"/>
      <c r="E78" s="23"/>
      <c r="F78" s="23"/>
      <c r="G78" s="23"/>
      <c r="H78" s="23"/>
    </row>
    <row r="79" spans="2:8" x14ac:dyDescent="0.3">
      <c r="B79" s="23"/>
      <c r="C79" s="23"/>
      <c r="D79" s="23"/>
      <c r="E79" s="23"/>
      <c r="F79" s="23"/>
      <c r="G79" s="23"/>
      <c r="H79" s="23"/>
    </row>
    <row r="80" spans="2:8" x14ac:dyDescent="0.3">
      <c r="B80" s="23"/>
      <c r="C80" s="23"/>
      <c r="D80" s="23"/>
      <c r="E80" s="23"/>
      <c r="F80" s="23"/>
      <c r="G80" s="23"/>
      <c r="H80" s="23"/>
    </row>
    <row r="81" spans="2:8" x14ac:dyDescent="0.3">
      <c r="B81" s="23"/>
      <c r="C81" s="23"/>
      <c r="D81" s="23"/>
      <c r="E81" s="23"/>
      <c r="F81" s="23"/>
      <c r="G81" s="23"/>
      <c r="H81" s="23"/>
    </row>
    <row r="82" spans="2:8" x14ac:dyDescent="0.3">
      <c r="B82" s="23"/>
      <c r="C82" s="23"/>
      <c r="D82" s="23"/>
      <c r="E82" s="23"/>
      <c r="F82" s="23"/>
      <c r="G82" s="23"/>
      <c r="H82" s="23"/>
    </row>
    <row r="83" spans="2:8" x14ac:dyDescent="0.3">
      <c r="B83" s="23"/>
      <c r="C83" s="23"/>
      <c r="D83" s="23"/>
      <c r="E83" s="23"/>
      <c r="F83" s="23"/>
      <c r="G83" s="23"/>
      <c r="H83" s="23"/>
    </row>
    <row r="84" spans="2:8" x14ac:dyDescent="0.3">
      <c r="B84" s="23"/>
      <c r="C84" s="23"/>
      <c r="D84" s="23"/>
      <c r="E84" s="23"/>
      <c r="F84" s="23"/>
      <c r="G84" s="23"/>
      <c r="H84" s="23"/>
    </row>
    <row r="85" spans="2:8" x14ac:dyDescent="0.3">
      <c r="B85" s="23"/>
      <c r="C85" s="23"/>
      <c r="D85" s="23"/>
      <c r="E85" s="23"/>
      <c r="F85" s="23"/>
      <c r="G85" s="23"/>
      <c r="H85" s="23"/>
    </row>
    <row r="86" spans="2:8" x14ac:dyDescent="0.3">
      <c r="B86" s="23"/>
      <c r="C86" s="23"/>
      <c r="D86" s="23"/>
      <c r="E86" s="23"/>
      <c r="F86" s="23"/>
      <c r="G86" s="23"/>
      <c r="H86" s="23"/>
    </row>
    <row r="87" spans="2:8" x14ac:dyDescent="0.3">
      <c r="B87" s="23"/>
      <c r="C87" s="23"/>
      <c r="D87" s="23"/>
      <c r="E87" s="23"/>
      <c r="F87" s="23"/>
      <c r="G87" s="23"/>
      <c r="H87" s="23"/>
    </row>
    <row r="88" spans="2:8" x14ac:dyDescent="0.3">
      <c r="B88" s="23"/>
      <c r="C88" s="23"/>
      <c r="D88" s="23"/>
      <c r="E88" s="23"/>
      <c r="F88" s="23"/>
      <c r="G88" s="23"/>
      <c r="H88" s="23"/>
    </row>
    <row r="89" spans="2:8" x14ac:dyDescent="0.3">
      <c r="B89" s="23"/>
      <c r="C89" s="23"/>
      <c r="D89" s="23"/>
      <c r="E89" s="23"/>
      <c r="F89" s="23"/>
      <c r="G89" s="23"/>
      <c r="H89" s="23"/>
    </row>
    <row r="90" spans="2:8" x14ac:dyDescent="0.3">
      <c r="B90" s="23"/>
      <c r="C90" s="23"/>
      <c r="D90" s="23"/>
      <c r="E90" s="23"/>
      <c r="F90" s="23"/>
      <c r="G90" s="23"/>
      <c r="H90" s="23"/>
    </row>
    <row r="91" spans="2:8" x14ac:dyDescent="0.3">
      <c r="B91" s="23"/>
      <c r="C91" s="23"/>
      <c r="D91" s="23"/>
      <c r="E91" s="23"/>
      <c r="F91" s="23"/>
      <c r="G91" s="23"/>
      <c r="H91" s="23"/>
    </row>
    <row r="92" spans="2:8" x14ac:dyDescent="0.3">
      <c r="B92" s="23"/>
      <c r="C92" s="23"/>
      <c r="D92" s="23"/>
      <c r="E92" s="23"/>
      <c r="F92" s="23"/>
      <c r="G92" s="23"/>
      <c r="H92" s="23"/>
    </row>
    <row r="93" spans="2:8" x14ac:dyDescent="0.3">
      <c r="B93" s="23"/>
      <c r="C93" s="23"/>
      <c r="D93" s="23"/>
      <c r="E93" s="23"/>
      <c r="F93" s="23"/>
      <c r="G93" s="23"/>
      <c r="H93" s="23"/>
    </row>
    <row r="94" spans="2:8" x14ac:dyDescent="0.3">
      <c r="B94" s="23"/>
      <c r="C94" s="23"/>
      <c r="D94" s="23"/>
      <c r="E94" s="23"/>
      <c r="F94" s="23"/>
      <c r="G94" s="23"/>
      <c r="H94" s="23"/>
    </row>
    <row r="95" spans="2:8" x14ac:dyDescent="0.3">
      <c r="B95" s="23"/>
      <c r="C95" s="23"/>
      <c r="D95" s="23"/>
      <c r="E95" s="23"/>
      <c r="F95" s="23"/>
      <c r="G95" s="23"/>
      <c r="H95" s="23"/>
    </row>
    <row r="96" spans="2:8" x14ac:dyDescent="0.3">
      <c r="B96" s="23"/>
      <c r="C96" s="23"/>
      <c r="D96" s="23"/>
      <c r="E96" s="23"/>
      <c r="F96" s="23"/>
      <c r="G96" s="23"/>
      <c r="H96" s="23"/>
    </row>
    <row r="97" spans="2:8" x14ac:dyDescent="0.3">
      <c r="B97" s="23"/>
      <c r="C97" s="23"/>
      <c r="D97" s="23"/>
      <c r="E97" s="23"/>
      <c r="F97" s="23"/>
      <c r="G97" s="23"/>
      <c r="H97" s="23"/>
    </row>
    <row r="98" spans="2:8" x14ac:dyDescent="0.3">
      <c r="B98" s="23"/>
      <c r="C98" s="23"/>
      <c r="D98" s="23"/>
      <c r="E98" s="23"/>
      <c r="F98" s="23"/>
      <c r="G98" s="23"/>
      <c r="H98" s="23"/>
    </row>
    <row r="99" spans="2:8" x14ac:dyDescent="0.3">
      <c r="B99" s="23"/>
      <c r="C99" s="23"/>
      <c r="D99" s="23"/>
      <c r="E99" s="23"/>
      <c r="F99" s="23"/>
      <c r="G99" s="23"/>
      <c r="H99" s="23"/>
    </row>
    <row r="100" spans="2:8" x14ac:dyDescent="0.3">
      <c r="B100" s="23"/>
      <c r="C100" s="23"/>
      <c r="D100" s="23"/>
      <c r="E100" s="23"/>
      <c r="F100" s="23"/>
      <c r="G100" s="23"/>
      <c r="H100" s="23"/>
    </row>
    <row r="101" spans="2:8" x14ac:dyDescent="0.3">
      <c r="B101" s="23"/>
      <c r="C101" s="23"/>
      <c r="D101" s="23"/>
      <c r="E101" s="23"/>
      <c r="F101" s="23"/>
      <c r="G101" s="23"/>
      <c r="H101" s="23"/>
    </row>
    <row r="102" spans="2:8" x14ac:dyDescent="0.3">
      <c r="B102" s="23"/>
      <c r="C102" s="23"/>
      <c r="D102" s="23"/>
      <c r="E102" s="23"/>
      <c r="F102" s="23"/>
      <c r="G102" s="23"/>
      <c r="H102" s="23"/>
    </row>
    <row r="103" spans="2:8" x14ac:dyDescent="0.3">
      <c r="B103" s="23"/>
      <c r="C103" s="23"/>
      <c r="D103" s="23"/>
      <c r="E103" s="23"/>
      <c r="F103" s="23"/>
      <c r="G103" s="23"/>
      <c r="H103" s="23"/>
    </row>
    <row r="104" spans="2:8" x14ac:dyDescent="0.3">
      <c r="B104" s="23"/>
      <c r="C104" s="23"/>
      <c r="D104" s="23"/>
      <c r="E104" s="23"/>
      <c r="F104" s="23"/>
      <c r="G104" s="23"/>
      <c r="H104" s="23"/>
    </row>
    <row r="105" spans="2:8" x14ac:dyDescent="0.3">
      <c r="B105" s="23"/>
      <c r="C105" s="23"/>
      <c r="D105" s="23"/>
      <c r="E105" s="23"/>
      <c r="F105" s="23"/>
      <c r="G105" s="23"/>
      <c r="H105" s="23"/>
    </row>
    <row r="106" spans="2:8" x14ac:dyDescent="0.3">
      <c r="B106" s="23"/>
      <c r="C106" s="23"/>
      <c r="D106" s="23"/>
      <c r="E106" s="23"/>
      <c r="F106" s="23"/>
      <c r="G106" s="23"/>
      <c r="H106" s="23"/>
    </row>
    <row r="107" spans="2:8" x14ac:dyDescent="0.3">
      <c r="B107" s="23"/>
      <c r="C107" s="23"/>
      <c r="D107" s="23"/>
      <c r="E107" s="23"/>
      <c r="F107" s="23"/>
      <c r="G107" s="23"/>
      <c r="H107" s="23"/>
    </row>
    <row r="108" spans="2:8" x14ac:dyDescent="0.3">
      <c r="B108" s="23"/>
      <c r="C108" s="23"/>
      <c r="D108" s="23"/>
      <c r="E108" s="23"/>
      <c r="F108" s="23"/>
      <c r="G108" s="23"/>
      <c r="H108" s="23"/>
    </row>
    <row r="109" spans="2:8" x14ac:dyDescent="0.3">
      <c r="B109" s="23"/>
      <c r="C109" s="23"/>
      <c r="D109" s="23"/>
      <c r="E109" s="23"/>
      <c r="F109" s="23"/>
      <c r="G109" s="23"/>
      <c r="H109" s="23"/>
    </row>
  </sheetData>
  <mergeCells count="4">
    <mergeCell ref="D7:H7"/>
    <mergeCell ref="B9:C9"/>
    <mergeCell ref="O6:R6"/>
    <mergeCell ref="I7:R7"/>
  </mergeCells>
  <pageMargins left="0.7" right="0.7" top="0.75" bottom="0.75" header="0.3" footer="0.3"/>
  <ignoredErrors>
    <ignoredError sqref="J18:K18 P18:R18 L18:O18" formulaRange="1"/>
  </ignoredErrors>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BEED9"/>
  </sheetPr>
  <dimension ref="A1:R58"/>
  <sheetViews>
    <sheetView showGridLines="0" topLeftCell="A19" workbookViewId="0">
      <selection activeCell="H37" sqref="H37"/>
    </sheetView>
  </sheetViews>
  <sheetFormatPr defaultRowHeight="14.4" x14ac:dyDescent="0.3"/>
  <cols>
    <col min="1" max="1" width="1.88671875" customWidth="1"/>
    <col min="2" max="2" width="31.44140625" customWidth="1"/>
    <col min="3" max="3" width="12" bestFit="1" customWidth="1"/>
    <col min="4" max="6" width="11.44140625" customWidth="1"/>
    <col min="7" max="7" width="10.6640625" bestFit="1" customWidth="1"/>
    <col min="8" max="8" width="10.77734375" customWidth="1"/>
    <col min="9" max="9" width="10.77734375" bestFit="1" customWidth="1"/>
    <col min="10" max="10" width="12.33203125" style="323" customWidth="1"/>
    <col min="11" max="11" width="12.77734375" style="323" customWidth="1"/>
    <col min="12" max="12" width="10.77734375" style="323" customWidth="1"/>
    <col min="13" max="17" width="11.6640625" style="323" bestFit="1" customWidth="1"/>
    <col min="18" max="18" width="3.109375" style="323" customWidth="1"/>
    <col min="19" max="16384" width="8.88671875" style="255"/>
  </cols>
  <sheetData>
    <row r="1" spans="2:17" x14ac:dyDescent="0.3">
      <c r="B1" s="40"/>
      <c r="C1" s="40"/>
      <c r="D1" s="40"/>
      <c r="E1" s="40"/>
      <c r="F1" s="40"/>
      <c r="G1" s="40"/>
      <c r="H1" s="40"/>
      <c r="I1" s="40"/>
      <c r="J1" s="40"/>
      <c r="K1" s="40"/>
      <c r="L1" s="40"/>
      <c r="M1" s="40"/>
      <c r="N1" s="40"/>
      <c r="O1" s="40"/>
      <c r="P1" s="40"/>
      <c r="Q1" s="40"/>
    </row>
    <row r="2" spans="2:17" x14ac:dyDescent="0.3">
      <c r="B2" s="40"/>
      <c r="C2" s="40"/>
      <c r="D2" s="40"/>
      <c r="E2" s="40"/>
      <c r="F2" s="40"/>
      <c r="G2" s="40"/>
      <c r="H2" s="40"/>
      <c r="I2" s="40"/>
      <c r="J2" s="40"/>
      <c r="K2" s="40"/>
      <c r="L2" s="40"/>
      <c r="M2" s="40"/>
      <c r="N2" s="40"/>
      <c r="O2" s="40"/>
      <c r="P2" s="40"/>
      <c r="Q2" s="40"/>
    </row>
    <row r="3" spans="2:17" x14ac:dyDescent="0.3">
      <c r="B3" s="40"/>
      <c r="C3" s="40"/>
      <c r="D3" s="40"/>
      <c r="E3" s="40"/>
      <c r="F3" s="40"/>
      <c r="G3" s="40"/>
      <c r="H3" s="40"/>
      <c r="I3" s="40"/>
      <c r="J3" s="40"/>
      <c r="K3" s="40"/>
      <c r="L3" s="40"/>
      <c r="M3" s="40"/>
      <c r="N3" s="40"/>
      <c r="O3" s="40"/>
      <c r="P3" s="40"/>
      <c r="Q3" s="40"/>
    </row>
    <row r="4" spans="2:17" x14ac:dyDescent="0.3">
      <c r="B4" s="40"/>
      <c r="C4" s="40"/>
      <c r="D4" s="40"/>
      <c r="E4" s="40"/>
      <c r="F4" s="40"/>
      <c r="G4" s="40"/>
      <c r="H4" s="40"/>
      <c r="I4" s="40"/>
      <c r="J4" s="40"/>
      <c r="K4" s="40"/>
      <c r="L4" s="40"/>
      <c r="M4" s="40"/>
      <c r="N4" s="40"/>
      <c r="O4" s="40"/>
      <c r="P4" s="40"/>
      <c r="Q4" s="40"/>
    </row>
    <row r="5" spans="2:17" x14ac:dyDescent="0.3">
      <c r="B5" s="40"/>
      <c r="C5" s="40"/>
      <c r="D5" s="40"/>
      <c r="E5" s="40"/>
      <c r="F5" s="40"/>
      <c r="G5" s="40"/>
      <c r="H5" s="40"/>
      <c r="I5" s="40"/>
      <c r="J5" s="40"/>
      <c r="K5" s="40"/>
      <c r="L5" s="40"/>
      <c r="M5" s="40"/>
      <c r="N5" s="40"/>
      <c r="O5" s="40"/>
      <c r="P5" s="40"/>
      <c r="Q5" s="40"/>
    </row>
    <row r="6" spans="2:17" x14ac:dyDescent="0.3">
      <c r="B6" s="23"/>
      <c r="C6" s="23"/>
      <c r="D6" s="23"/>
      <c r="I6" s="23"/>
      <c r="N6" s="494" t="s">
        <v>276</v>
      </c>
      <c r="O6" s="494"/>
      <c r="P6" s="494"/>
      <c r="Q6" s="494"/>
    </row>
    <row r="7" spans="2:17" x14ac:dyDescent="0.3">
      <c r="B7" s="528" t="s">
        <v>14</v>
      </c>
      <c r="C7" s="522" t="s">
        <v>13</v>
      </c>
      <c r="D7" s="523"/>
      <c r="E7" s="523"/>
      <c r="F7" s="523"/>
      <c r="G7" s="524"/>
      <c r="H7" s="522" t="s">
        <v>12</v>
      </c>
      <c r="I7" s="523"/>
      <c r="J7" s="523"/>
      <c r="K7" s="523"/>
      <c r="L7" s="523"/>
      <c r="M7" s="523"/>
      <c r="N7" s="523"/>
      <c r="O7" s="523"/>
      <c r="P7" s="523"/>
      <c r="Q7" s="524"/>
    </row>
    <row r="8" spans="2:17" x14ac:dyDescent="0.3">
      <c r="B8" s="529"/>
      <c r="C8" s="299">
        <f>'Income Statement'!C8</f>
        <v>44286</v>
      </c>
      <c r="D8" s="299">
        <f>'Income Statement'!D8</f>
        <v>44651</v>
      </c>
      <c r="E8" s="299">
        <f>'Income Statement'!E8</f>
        <v>45016</v>
      </c>
      <c r="F8" s="299">
        <f>'Income Statement'!F8</f>
        <v>45382</v>
      </c>
      <c r="G8" s="99">
        <v>45747</v>
      </c>
      <c r="H8" s="99">
        <v>46112</v>
      </c>
      <c r="I8" s="99">
        <v>46477</v>
      </c>
      <c r="J8" s="99">
        <v>46843</v>
      </c>
      <c r="K8" s="99">
        <v>47208</v>
      </c>
      <c r="L8" s="99">
        <v>47573</v>
      </c>
      <c r="M8" s="299">
        <f>L8+365</f>
        <v>47938</v>
      </c>
      <c r="N8" s="299">
        <f t="shared" ref="N8:Q8" si="0">M8+365</f>
        <v>48303</v>
      </c>
      <c r="O8" s="299">
        <f t="shared" si="0"/>
        <v>48668</v>
      </c>
      <c r="P8" s="299">
        <f t="shared" si="0"/>
        <v>49033</v>
      </c>
      <c r="Q8" s="299">
        <f t="shared" si="0"/>
        <v>49398</v>
      </c>
    </row>
    <row r="9" spans="2:17" x14ac:dyDescent="0.3">
      <c r="B9" s="101" t="s">
        <v>0</v>
      </c>
      <c r="C9" s="355">
        <f>'Income Statement'!C9</f>
        <v>334981.40000000002</v>
      </c>
      <c r="D9" s="355">
        <f>'Income Statement'!D9</f>
        <v>386544.9</v>
      </c>
      <c r="E9" s="355">
        <f>'Income Statement'!E9</f>
        <v>438856.8</v>
      </c>
      <c r="F9" s="355">
        <f>'Income Statement'!F9</f>
        <v>484968.5</v>
      </c>
      <c r="G9" s="266">
        <f>'Income Statement'!G9</f>
        <v>525784.4</v>
      </c>
      <c r="H9" s="267">
        <f>'Income Statement'!H9</f>
        <v>578362.84000000008</v>
      </c>
      <c r="I9" s="267">
        <f>'Income Statement'!I9</f>
        <v>636199.12400000019</v>
      </c>
      <c r="J9" s="267">
        <f>'Income Statement'!J9</f>
        <v>699819.03640000022</v>
      </c>
      <c r="K9" s="267">
        <f>'Income Statement'!K9</f>
        <v>769800.94004000025</v>
      </c>
      <c r="L9" s="267">
        <f>'Income Statement'!L9</f>
        <v>846781.03404400032</v>
      </c>
      <c r="M9" s="267">
        <f>'Income Statement'!M9</f>
        <v>917275.55512816343</v>
      </c>
      <c r="N9" s="267">
        <f>'Income Statement'!N9</f>
        <v>980847.91077354271</v>
      </c>
      <c r="O9" s="267">
        <f>'Income Statement'!O9</f>
        <v>1037439.8267807249</v>
      </c>
      <c r="P9" s="267">
        <f>'Income Statement'!P9</f>
        <v>1087270.8591863886</v>
      </c>
      <c r="Q9" s="267">
        <f>'Income Statement'!Q9</f>
        <v>1130747.798114331</v>
      </c>
    </row>
    <row r="10" spans="2:17" x14ac:dyDescent="0.3">
      <c r="B10" s="102" t="s">
        <v>287</v>
      </c>
      <c r="C10" s="356">
        <f>'Income Statement'!C10</f>
        <v>86900.800000000003</v>
      </c>
      <c r="D10" s="356">
        <f>'Income Statement'!D10</f>
        <v>103515.4</v>
      </c>
      <c r="E10" s="356">
        <f>'Income Statement'!E10</f>
        <v>106621.59999999999</v>
      </c>
      <c r="F10" s="356">
        <f>'Income Statement'!F10</f>
        <v>106626.1</v>
      </c>
      <c r="G10" s="268">
        <f>'Income Statement'!G10</f>
        <v>107473.60000000001</v>
      </c>
      <c r="H10" s="186">
        <f>'Income Statement'!H10</f>
        <v>138163.65647939756</v>
      </c>
      <c r="I10" s="186">
        <f>'Income Statement'!I10</f>
        <v>151980.02212733735</v>
      </c>
      <c r="J10" s="186">
        <f>'Income Statement'!J10</f>
        <v>167178.02434007108</v>
      </c>
      <c r="K10" s="186">
        <f>'Income Statement'!K10</f>
        <v>183895.82677407819</v>
      </c>
      <c r="L10" s="186">
        <f>'Income Statement'!L10</f>
        <v>202285.40945148602</v>
      </c>
      <c r="M10" s="186">
        <f>'Income Statement'!M10</f>
        <v>219125.66978832224</v>
      </c>
      <c r="N10" s="186">
        <f>'Income Statement'!N10</f>
        <v>234312.31128654553</v>
      </c>
      <c r="O10" s="186">
        <f>'Income Statement'!O10</f>
        <v>247831.41296798695</v>
      </c>
      <c r="P10" s="186">
        <f>'Income Statement'!P10</f>
        <v>259735.42402670201</v>
      </c>
      <c r="Q10" s="186">
        <f>'Income Statement'!Q10</f>
        <v>270121.52154087834</v>
      </c>
    </row>
    <row r="11" spans="2:17" x14ac:dyDescent="0.3">
      <c r="B11" s="103" t="s">
        <v>11</v>
      </c>
      <c r="C11" s="357">
        <f>C9-C10</f>
        <v>248080.60000000003</v>
      </c>
      <c r="D11" s="357">
        <f t="shared" ref="D11:F11" si="1">D9-D10</f>
        <v>283029.5</v>
      </c>
      <c r="E11" s="357">
        <f t="shared" si="1"/>
        <v>332235.2</v>
      </c>
      <c r="F11" s="357">
        <f t="shared" si="1"/>
        <v>378342.40000000002</v>
      </c>
      <c r="G11" s="266">
        <f>G9-G10</f>
        <v>418310.80000000005</v>
      </c>
      <c r="H11" s="267">
        <f t="shared" ref="H11:Q11" si="2">H9-H10</f>
        <v>440199.18352060253</v>
      </c>
      <c r="I11" s="267">
        <f t="shared" si="2"/>
        <v>484219.10187266284</v>
      </c>
      <c r="J11" s="267">
        <f t="shared" si="2"/>
        <v>532641.01205992908</v>
      </c>
      <c r="K11" s="267">
        <f t="shared" si="2"/>
        <v>585905.11326592206</v>
      </c>
      <c r="L11" s="267">
        <f t="shared" si="2"/>
        <v>644495.62459251424</v>
      </c>
      <c r="M11" s="267">
        <f t="shared" si="2"/>
        <v>698149.88533984125</v>
      </c>
      <c r="N11" s="267">
        <f t="shared" si="2"/>
        <v>746535.59948699712</v>
      </c>
      <c r="O11" s="267">
        <f t="shared" si="2"/>
        <v>789608.41381273791</v>
      </c>
      <c r="P11" s="267">
        <f t="shared" si="2"/>
        <v>827535.43515968649</v>
      </c>
      <c r="Q11" s="267">
        <f t="shared" si="2"/>
        <v>860626.27657345263</v>
      </c>
    </row>
    <row r="12" spans="2:17" x14ac:dyDescent="0.3">
      <c r="B12" s="104" t="s">
        <v>288</v>
      </c>
      <c r="C12" s="358">
        <f>'Income Statement'!C12</f>
        <v>68622.3</v>
      </c>
      <c r="D12" s="358">
        <f>'Income Statement'!D12</f>
        <v>73008.3</v>
      </c>
      <c r="E12" s="358">
        <f>'Income Statement'!E12</f>
        <v>82960.3</v>
      </c>
      <c r="F12" s="358">
        <f>'Income Statement'!F12</f>
        <v>94290.6</v>
      </c>
      <c r="G12" s="268">
        <f>'Income Statement'!G12</f>
        <v>99731.199999999997</v>
      </c>
      <c r="H12" s="186">
        <f>'Income Statement'!H12</f>
        <v>111840.61614509464</v>
      </c>
      <c r="I12" s="186">
        <f>'Income Statement'!I12</f>
        <v>123024.67775960412</v>
      </c>
      <c r="J12" s="186">
        <f>'Income Statement'!J12</f>
        <v>135327.14553556454</v>
      </c>
      <c r="K12" s="186">
        <f>'Income Statement'!K12</f>
        <v>148859.86008912101</v>
      </c>
      <c r="L12" s="186">
        <f>'Income Statement'!L12</f>
        <v>163745.8460980331</v>
      </c>
      <c r="M12" s="186">
        <f>'Income Statement'!M12</f>
        <v>177377.68778569438</v>
      </c>
      <c r="N12" s="186">
        <f>'Income Statement'!N12</f>
        <v>189670.95929873679</v>
      </c>
      <c r="O12" s="186">
        <f>'Income Statement'!O12</f>
        <v>200614.39189387843</v>
      </c>
      <c r="P12" s="186">
        <f>'Income Statement'!P12</f>
        <v>210250.44210657122</v>
      </c>
      <c r="Q12" s="186">
        <f>'Income Statement'!Q12</f>
        <v>218657.77276737877</v>
      </c>
    </row>
    <row r="13" spans="2:17" x14ac:dyDescent="0.3">
      <c r="B13" s="102" t="s">
        <v>289</v>
      </c>
      <c r="C13" s="358">
        <f>'Income Statement'!C13</f>
        <v>94781.1</v>
      </c>
      <c r="D13" s="358">
        <f>'Income Statement'!D13</f>
        <v>107583.6</v>
      </c>
      <c r="E13" s="358">
        <f>'Income Statement'!E13</f>
        <v>131546</v>
      </c>
      <c r="F13" s="358">
        <f>'Income Statement'!F13</f>
        <v>154181.79999999999</v>
      </c>
      <c r="G13" s="268">
        <f>'Income Statement'!G13</f>
        <v>167718</v>
      </c>
      <c r="H13" s="186">
        <f>'Income Statement'!H13</f>
        <v>173268.24949587529</v>
      </c>
      <c r="I13" s="186">
        <f>'Income Statement'!I13</f>
        <v>190595.07444546287</v>
      </c>
      <c r="J13" s="186">
        <f>'Income Statement'!J13</f>
        <v>209654.58189000917</v>
      </c>
      <c r="K13" s="186">
        <f>'Income Statement'!K13</f>
        <v>230620.04007901007</v>
      </c>
      <c r="L13" s="186">
        <f>'Income Statement'!L13</f>
        <v>253682.0440869111</v>
      </c>
      <c r="M13" s="186">
        <f>'Income Statement'!M13</f>
        <v>274801.07425714645</v>
      </c>
      <c r="N13" s="186">
        <f>'Income Statement'!N13</f>
        <v>293846.33445920941</v>
      </c>
      <c r="O13" s="186">
        <f>'Income Statement'!O13</f>
        <v>310800.36667570187</v>
      </c>
      <c r="P13" s="186">
        <f>'Income Statement'!P13</f>
        <v>325728.94638096367</v>
      </c>
      <c r="Q13" s="186">
        <f>'Income Statement'!Q13</f>
        <v>338753.94138493668</v>
      </c>
    </row>
    <row r="14" spans="2:17" x14ac:dyDescent="0.3">
      <c r="B14" s="102" t="s">
        <v>290</v>
      </c>
      <c r="C14" s="356">
        <f>'Income Statement'!C15</f>
        <v>20799.5</v>
      </c>
      <c r="D14" s="356">
        <f>'Income Statement'!D15</f>
        <v>21437.4</v>
      </c>
      <c r="E14" s="356">
        <f>'Income Statement'!E15</f>
        <v>25294.3</v>
      </c>
      <c r="F14" s="356">
        <f>'Income Statement'!F15</f>
        <v>25566.400000000001</v>
      </c>
      <c r="G14" s="268">
        <f>'Income Statement'!G15</f>
        <v>25753.9</v>
      </c>
      <c r="H14" s="186">
        <f>'Income Statement'!H15</f>
        <v>25612.347445690481</v>
      </c>
      <c r="I14" s="186">
        <f>'Income Statement'!I15</f>
        <v>25204.790075476842</v>
      </c>
      <c r="J14" s="186">
        <f>'Income Statement'!J15</f>
        <v>25181.207151985574</v>
      </c>
      <c r="K14" s="186">
        <f>'Income Statement'!K15</f>
        <v>24942.760590951661</v>
      </c>
      <c r="L14" s="186">
        <f>'Income Statement'!L15</f>
        <v>25045.007079579806</v>
      </c>
      <c r="M14" s="186">
        <f>'Income Statement'!M15</f>
        <v>24902.939105410849</v>
      </c>
      <c r="N14" s="186">
        <f>'Income Statement'!N15</f>
        <v>25078.044227595674</v>
      </c>
      <c r="O14" s="186">
        <f>'Income Statement'!O15</f>
        <v>24990.448127622425</v>
      </c>
      <c r="P14" s="186">
        <f>'Income Statement'!P15</f>
        <v>25332.792762261462</v>
      </c>
      <c r="Q14" s="186">
        <f>'Income Statement'!Q15</f>
        <v>25242.099702620228</v>
      </c>
    </row>
    <row r="15" spans="2:17" x14ac:dyDescent="0.3">
      <c r="B15" s="101" t="s">
        <v>10</v>
      </c>
      <c r="C15" s="266">
        <f>C11-C12-C13-C14</f>
        <v>63877.700000000041</v>
      </c>
      <c r="D15" s="266">
        <f t="shared" ref="D15:F15" si="3">D11-D12-D13-D14</f>
        <v>81000.200000000012</v>
      </c>
      <c r="E15" s="266">
        <f t="shared" si="3"/>
        <v>92434.60000000002</v>
      </c>
      <c r="F15" s="266">
        <f t="shared" si="3"/>
        <v>104303.60000000006</v>
      </c>
      <c r="G15" s="266">
        <f>G11-G12-G13-G14</f>
        <v>125107.70000000004</v>
      </c>
      <c r="H15" s="267">
        <f t="shared" ref="H15:Q15" si="4">H11-H12-H13-H14</f>
        <v>129477.97043394213</v>
      </c>
      <c r="I15" s="267">
        <f t="shared" si="4"/>
        <v>145394.55959211901</v>
      </c>
      <c r="J15" s="267">
        <f t="shared" si="4"/>
        <v>162478.07748236982</v>
      </c>
      <c r="K15" s="267">
        <f t="shared" si="4"/>
        <v>181482.4525068393</v>
      </c>
      <c r="L15" s="267">
        <f t="shared" si="4"/>
        <v>202022.7273279902</v>
      </c>
      <c r="M15" s="267">
        <f t="shared" si="4"/>
        <v>221068.18419158956</v>
      </c>
      <c r="N15" s="267">
        <f t="shared" si="4"/>
        <v>237940.26150145527</v>
      </c>
      <c r="O15" s="267">
        <f t="shared" si="4"/>
        <v>253203.20711553516</v>
      </c>
      <c r="P15" s="267">
        <f t="shared" si="4"/>
        <v>266223.25390989007</v>
      </c>
      <c r="Q15" s="267">
        <f t="shared" si="4"/>
        <v>277972.462718517</v>
      </c>
    </row>
    <row r="16" spans="2:17" ht="15" thickBot="1" x14ac:dyDescent="0.35">
      <c r="B16" s="105" t="s">
        <v>291</v>
      </c>
      <c r="C16" s="359">
        <f>C15*Assumptions!C18</f>
        <v>11744.504446714785</v>
      </c>
      <c r="D16" s="359">
        <f>D15*Assumptions!D18</f>
        <v>19439.744338721626</v>
      </c>
      <c r="E16" s="359">
        <f>E15*Assumptions!E18</f>
        <v>8327.2812375709891</v>
      </c>
      <c r="F16" s="359">
        <f>F15*Assumptions!F18</f>
        <v>13540.882622392539</v>
      </c>
      <c r="G16" s="269">
        <f>G15*Assumptions!G18</f>
        <v>25218.078772597408</v>
      </c>
      <c r="H16" s="331">
        <f>H15*Assumptions!H18</f>
        <v>26359.988348410061</v>
      </c>
      <c r="I16" s="331">
        <f>I15*Assumptions!I18</f>
        <v>29600.393672573115</v>
      </c>
      <c r="J16" s="331">
        <f>J15*Assumptions!J18</f>
        <v>33409.153828274953</v>
      </c>
      <c r="K16" s="331">
        <f>K15*Assumptions!K18</f>
        <v>37316.881556476452</v>
      </c>
      <c r="L16" s="331">
        <f>L15*Assumptions!L18</f>
        <v>41955.829140021953</v>
      </c>
      <c r="M16" s="331">
        <f>M15*Assumptions!M18</f>
        <v>45911.1659708406</v>
      </c>
      <c r="N16" s="331">
        <f>N15*Assumptions!N18</f>
        <v>49909.289415187006</v>
      </c>
      <c r="O16" s="331">
        <f>O15*Assumptions!O18</f>
        <v>53110.77690273738</v>
      </c>
      <c r="P16" s="331">
        <f>P15*Assumptions!P18</f>
        <v>56400.221963460594</v>
      </c>
      <c r="Q16" s="331">
        <f>Q15*Assumptions!Q18</f>
        <v>58889.328286704236</v>
      </c>
    </row>
    <row r="17" spans="2:17" x14ac:dyDescent="0.3">
      <c r="B17" s="100" t="s">
        <v>15</v>
      </c>
      <c r="C17" s="271">
        <f>C15-C16</f>
        <v>52133.195553285259</v>
      </c>
      <c r="D17" s="271">
        <f t="shared" ref="D17:F17" si="5">D15-D16</f>
        <v>61560.455661278385</v>
      </c>
      <c r="E17" s="271">
        <f t="shared" si="5"/>
        <v>84107.318762429029</v>
      </c>
      <c r="F17" s="271">
        <f t="shared" si="5"/>
        <v>90762.717377607521</v>
      </c>
      <c r="G17" s="271">
        <f>G15-G16</f>
        <v>99889.621227402633</v>
      </c>
      <c r="H17" s="272">
        <f t="shared" ref="H17:Q17" si="6">H15-H16</f>
        <v>103117.98208553207</v>
      </c>
      <c r="I17" s="272">
        <f t="shared" si="6"/>
        <v>115794.16591954589</v>
      </c>
      <c r="J17" s="272">
        <f t="shared" si="6"/>
        <v>129068.92365409486</v>
      </c>
      <c r="K17" s="272">
        <f t="shared" si="6"/>
        <v>144165.57095036283</v>
      </c>
      <c r="L17" s="272">
        <f t="shared" si="6"/>
        <v>160066.89818796824</v>
      </c>
      <c r="M17" s="272">
        <f t="shared" si="6"/>
        <v>175157.01822074896</v>
      </c>
      <c r="N17" s="272">
        <f t="shared" si="6"/>
        <v>188030.97208626827</v>
      </c>
      <c r="O17" s="272">
        <f t="shared" si="6"/>
        <v>200092.43021279777</v>
      </c>
      <c r="P17" s="272">
        <f t="shared" si="6"/>
        <v>209823.03194642949</v>
      </c>
      <c r="Q17" s="272">
        <f t="shared" si="6"/>
        <v>219083.13443181277</v>
      </c>
    </row>
    <row r="18" spans="2:17" x14ac:dyDescent="0.3">
      <c r="B18" s="107" t="s">
        <v>16</v>
      </c>
      <c r="C18" s="360">
        <f>C14</f>
        <v>20799.5</v>
      </c>
      <c r="D18" s="360">
        <f t="shared" ref="D18:G18" si="7">D14</f>
        <v>21437.4</v>
      </c>
      <c r="E18" s="360">
        <f t="shared" si="7"/>
        <v>25294.3</v>
      </c>
      <c r="F18" s="360">
        <f t="shared" si="7"/>
        <v>25566.400000000001</v>
      </c>
      <c r="G18" s="360">
        <f t="shared" si="7"/>
        <v>25753.9</v>
      </c>
      <c r="H18" s="186">
        <f t="shared" ref="H18:Q18" si="8">H14</f>
        <v>25612.347445690481</v>
      </c>
      <c r="I18" s="186">
        <f t="shared" si="8"/>
        <v>25204.790075476842</v>
      </c>
      <c r="J18" s="186">
        <f t="shared" si="8"/>
        <v>25181.207151985574</v>
      </c>
      <c r="K18" s="186">
        <f t="shared" si="8"/>
        <v>24942.760590951661</v>
      </c>
      <c r="L18" s="186">
        <f t="shared" si="8"/>
        <v>25045.007079579806</v>
      </c>
      <c r="M18" s="186">
        <f t="shared" si="8"/>
        <v>24902.939105410849</v>
      </c>
      <c r="N18" s="186">
        <f t="shared" si="8"/>
        <v>25078.044227595674</v>
      </c>
      <c r="O18" s="186">
        <f t="shared" si="8"/>
        <v>24990.448127622425</v>
      </c>
      <c r="P18" s="186">
        <f t="shared" si="8"/>
        <v>25332.792762261462</v>
      </c>
      <c r="Q18" s="186">
        <f t="shared" si="8"/>
        <v>25242.099702620228</v>
      </c>
    </row>
    <row r="19" spans="2:17" x14ac:dyDescent="0.3">
      <c r="B19" s="107" t="s">
        <v>17</v>
      </c>
      <c r="C19" s="360">
        <f>-Schedules!C19</f>
        <v>0</v>
      </c>
      <c r="D19" s="360">
        <f>-Schedules!D19</f>
        <v>-22801.30000000001</v>
      </c>
      <c r="E19" s="360">
        <f>-Schedules!E19</f>
        <v>-25484.3</v>
      </c>
      <c r="F19" s="360">
        <f>-Schedules!F19</f>
        <v>-23585.799999999996</v>
      </c>
      <c r="G19" s="360">
        <f>-Schedules!G19</f>
        <v>-24190.1</v>
      </c>
      <c r="H19" s="186">
        <f>-Schedules!H19</f>
        <v>-24015.375</v>
      </c>
      <c r="I19" s="186">
        <f>-Schedules!I19</f>
        <v>-24135.451874999999</v>
      </c>
      <c r="J19" s="186">
        <f>-Schedules!J19</f>
        <v>-24256.129134374994</v>
      </c>
      <c r="K19" s="186">
        <f>-Schedules!K19</f>
        <v>-24377.409780046866</v>
      </c>
      <c r="L19" s="186">
        <f>-Schedules!L19</f>
        <v>-24499.296828947099</v>
      </c>
      <c r="M19" s="186">
        <f>-Schedules!M19</f>
        <v>-24621.793313091832</v>
      </c>
      <c r="N19" s="186">
        <f>-Schedules!N19</f>
        <v>-24744.90227965729</v>
      </c>
      <c r="O19" s="186">
        <f>-Schedules!O19</f>
        <v>-24868.626791055573</v>
      </c>
      <c r="P19" s="186">
        <f>-Schedules!P19</f>
        <v>-24992.969925010846</v>
      </c>
      <c r="Q19" s="186">
        <f>-Schedules!Q19</f>
        <v>-25117.934774635898</v>
      </c>
    </row>
    <row r="20" spans="2:17" ht="15" thickBot="1" x14ac:dyDescent="0.35">
      <c r="B20" s="108" t="s">
        <v>74</v>
      </c>
      <c r="C20" s="359">
        <f>Schedules!C15</f>
        <v>25640.9</v>
      </c>
      <c r="D20" s="359">
        <f>Schedules!D15</f>
        <v>15590.5</v>
      </c>
      <c r="E20" s="359">
        <f>Schedules!E15</f>
        <v>-56618.2</v>
      </c>
      <c r="F20" s="359">
        <f>Schedules!F15</f>
        <v>10621.300000000001</v>
      </c>
      <c r="G20" s="359">
        <f>Schedules!G15</f>
        <v>-3235.6000000000004</v>
      </c>
      <c r="H20" s="270">
        <f>Schedules!H15</f>
        <v>-39533.726141469881</v>
      </c>
      <c r="I20" s="270">
        <f>Schedules!I15</f>
        <v>-21058.472614147031</v>
      </c>
      <c r="J20" s="270">
        <f>Schedules!J15</f>
        <v>-23164.319875561705</v>
      </c>
      <c r="K20" s="270">
        <f>Schedules!K15</f>
        <v>-25480.751863117868</v>
      </c>
      <c r="L20" s="270">
        <f>Schedules!L15</f>
        <v>-28028.827049429645</v>
      </c>
      <c r="M20" s="270">
        <f>Schedules!M15</f>
        <v>-25667.39837051522</v>
      </c>
      <c r="N20" s="270">
        <f>Schedules!N15</f>
        <v>-23147.004229646423</v>
      </c>
      <c r="O20" s="270">
        <f>Schedules!O15</f>
        <v>-20605.39216902935</v>
      </c>
      <c r="P20" s="270">
        <f>Schedules!P15</f>
        <v>-18143.721530403505</v>
      </c>
      <c r="Q20" s="270">
        <f>Schedules!Q15</f>
        <v>-15830.165156548115</v>
      </c>
    </row>
    <row r="21" spans="2:17" x14ac:dyDescent="0.3">
      <c r="B21" s="100" t="s">
        <v>59</v>
      </c>
      <c r="C21" s="361">
        <f t="shared" ref="C21:G21" si="9">C17+C18-C19+C20</f>
        <v>98573.595553285268</v>
      </c>
      <c r="D21" s="361">
        <f t="shared" si="9"/>
        <v>121389.6556612784</v>
      </c>
      <c r="E21" s="361">
        <f t="shared" si="9"/>
        <v>78267.718762429038</v>
      </c>
      <c r="F21" s="361">
        <f t="shared" si="9"/>
        <v>150536.21737760751</v>
      </c>
      <c r="G21" s="361">
        <f t="shared" si="9"/>
        <v>146598.02122740264</v>
      </c>
      <c r="H21" s="106">
        <f>H17+H18-H19+H20</f>
        <v>113211.97838975268</v>
      </c>
      <c r="I21" s="106">
        <f t="shared" ref="I21:Q21" si="10">I17+I18-I19+I20</f>
        <v>144075.93525587569</v>
      </c>
      <c r="J21" s="106">
        <f t="shared" si="10"/>
        <v>155341.94006489374</v>
      </c>
      <c r="K21" s="106">
        <f t="shared" si="10"/>
        <v>168004.98945824348</v>
      </c>
      <c r="L21" s="106">
        <f t="shared" si="10"/>
        <v>181582.37504706549</v>
      </c>
      <c r="M21" s="106">
        <f t="shared" si="10"/>
        <v>199014.3522687364</v>
      </c>
      <c r="N21" s="106">
        <f t="shared" si="10"/>
        <v>214706.91436387482</v>
      </c>
      <c r="O21" s="106">
        <f t="shared" si="10"/>
        <v>229346.11296244641</v>
      </c>
      <c r="P21" s="106">
        <f t="shared" si="10"/>
        <v>242005.07310329829</v>
      </c>
      <c r="Q21" s="106">
        <f t="shared" si="10"/>
        <v>253613.0037525208</v>
      </c>
    </row>
    <row r="22" spans="2:17" x14ac:dyDescent="0.3">
      <c r="B22" s="59" t="s">
        <v>299</v>
      </c>
      <c r="C22" s="65" t="s">
        <v>106</v>
      </c>
      <c r="D22" s="65" t="s">
        <v>106</v>
      </c>
      <c r="E22" s="65" t="s">
        <v>106</v>
      </c>
      <c r="F22" s="65" t="s">
        <v>106</v>
      </c>
      <c r="G22" s="65" t="s">
        <v>106</v>
      </c>
      <c r="H22" s="59">
        <v>1</v>
      </c>
      <c r="I22" s="59">
        <v>2</v>
      </c>
      <c r="J22" s="59">
        <f t="shared" ref="J22:L22" si="11">I22+1</f>
        <v>3</v>
      </c>
      <c r="K22" s="59">
        <f t="shared" si="11"/>
        <v>4</v>
      </c>
      <c r="L22" s="59">
        <f t="shared" si="11"/>
        <v>5</v>
      </c>
      <c r="M22" s="59">
        <f t="shared" ref="M22" si="12">L22+1</f>
        <v>6</v>
      </c>
      <c r="N22" s="59">
        <f t="shared" ref="N22" si="13">M22+1</f>
        <v>7</v>
      </c>
      <c r="O22" s="59">
        <f t="shared" ref="O22" si="14">N22+1</f>
        <v>8</v>
      </c>
      <c r="P22" s="59">
        <f t="shared" ref="P22" si="15">O22+1</f>
        <v>9</v>
      </c>
      <c r="Q22" s="59">
        <f t="shared" ref="Q22" si="16">P22+1</f>
        <v>10</v>
      </c>
    </row>
    <row r="23" spans="2:17" x14ac:dyDescent="0.3">
      <c r="B23" s="59" t="s">
        <v>73</v>
      </c>
      <c r="C23" s="65" t="s">
        <v>106</v>
      </c>
      <c r="D23" s="65" t="s">
        <v>106</v>
      </c>
      <c r="E23" s="65" t="s">
        <v>106</v>
      </c>
      <c r="F23" s="65" t="s">
        <v>106</v>
      </c>
      <c r="G23" s="65" t="s">
        <v>106</v>
      </c>
      <c r="H23" s="91">
        <f>1/(1+$C$27)^H22</f>
        <v>0.9241951657375751</v>
      </c>
      <c r="I23" s="91">
        <f t="shared" ref="I23:Q23" si="17">1/(1+$C$27)^I22</f>
        <v>0.85413670437270384</v>
      </c>
      <c r="J23" s="91">
        <f t="shared" si="17"/>
        <v>0.7893890130602772</v>
      </c>
      <c r="K23" s="91">
        <f t="shared" si="17"/>
        <v>0.72954950975666366</v>
      </c>
      <c r="L23" s="91">
        <f t="shared" si="17"/>
        <v>0.67424613008332634</v>
      </c>
      <c r="M23" s="91">
        <f t="shared" si="17"/>
        <v>0.62313501394027837</v>
      </c>
      <c r="N23" s="91">
        <f t="shared" si="17"/>
        <v>0.57589836748542178</v>
      </c>
      <c r="O23" s="91">
        <f t="shared" si="17"/>
        <v>0.53224248718618816</v>
      </c>
      <c r="P23" s="91">
        <f t="shared" si="17"/>
        <v>0.49189593365761836</v>
      </c>
      <c r="Q23" s="91">
        <f t="shared" si="17"/>
        <v>0.45460784393234183</v>
      </c>
    </row>
    <row r="24" spans="2:17" ht="15" thickBot="1" x14ac:dyDescent="0.35">
      <c r="B24" s="115" t="s">
        <v>66</v>
      </c>
      <c r="C24" s="352" t="s">
        <v>106</v>
      </c>
      <c r="D24" s="352" t="s">
        <v>106</v>
      </c>
      <c r="E24" s="352" t="s">
        <v>106</v>
      </c>
      <c r="F24" s="352" t="s">
        <v>106</v>
      </c>
      <c r="G24" s="352" t="s">
        <v>106</v>
      </c>
      <c r="H24" s="273">
        <f>I21*H23</f>
        <v>133154.28286260017</v>
      </c>
      <c r="I24" s="273">
        <f>J21*I23</f>
        <v>132683.25273789043</v>
      </c>
      <c r="J24" s="273">
        <f>K21*J23</f>
        <v>132621.2928176451</v>
      </c>
      <c r="K24" s="273">
        <f>L21*K23</f>
        <v>132473.33269603728</v>
      </c>
      <c r="L24" s="273">
        <f>L21*L23</f>
        <v>122431.21366682307</v>
      </c>
      <c r="M24" s="273">
        <f t="shared" ref="M24:Q24" si="18">M21*M23</f>
        <v>124012.81117529453</v>
      </c>
      <c r="N24" s="273">
        <f t="shared" si="18"/>
        <v>123649.36146998777</v>
      </c>
      <c r="O24" s="273">
        <f t="shared" si="18"/>
        <v>122067.74558961694</v>
      </c>
      <c r="P24" s="273">
        <f t="shared" si="18"/>
        <v>119041.3113840271</v>
      </c>
      <c r="Q24" s="273">
        <f t="shared" si="18"/>
        <v>115294.46082913839</v>
      </c>
    </row>
    <row r="26" spans="2:17" x14ac:dyDescent="0.3">
      <c r="B26" s="97" t="s">
        <v>60</v>
      </c>
      <c r="C26" s="118">
        <v>0.04</v>
      </c>
      <c r="F26" s="525" t="s">
        <v>382</v>
      </c>
      <c r="G26" s="525"/>
      <c r="H26" s="525"/>
      <c r="J26" s="525" t="s">
        <v>383</v>
      </c>
      <c r="K26" s="525"/>
      <c r="L26" s="525"/>
    </row>
    <row r="27" spans="2:17" x14ac:dyDescent="0.3">
      <c r="B27" s="97" t="s">
        <v>61</v>
      </c>
      <c r="C27" s="332">
        <f>WACC!K38</f>
        <v>8.2022539256551091E-2</v>
      </c>
      <c r="F27" s="520" t="s">
        <v>62</v>
      </c>
      <c r="G27" s="520"/>
      <c r="H27" s="90">
        <f>$Q$21*(1+C26)</f>
        <v>263757.52390262164</v>
      </c>
      <c r="J27" s="323" t="s">
        <v>89</v>
      </c>
      <c r="L27" s="418">
        <f>'Relative Valuation'!P22</f>
        <v>20.350000000000001</v>
      </c>
    </row>
    <row r="28" spans="2:17" x14ac:dyDescent="0.3">
      <c r="F28" s="520" t="str">
        <f>B27</f>
        <v>WACC</v>
      </c>
      <c r="G28" s="520"/>
      <c r="H28" s="116">
        <f>$C$27</f>
        <v>8.2022539256551091E-2</v>
      </c>
      <c r="J28" s="323" t="s">
        <v>86</v>
      </c>
      <c r="L28" s="417">
        <f>'Comps Data'!O8</f>
        <v>196161.71007371007</v>
      </c>
    </row>
    <row r="29" spans="2:17" ht="15" thickBot="1" x14ac:dyDescent="0.35">
      <c r="B29" s="109" t="s">
        <v>65</v>
      </c>
      <c r="C29" s="99"/>
      <c r="F29" s="518" t="s">
        <v>63</v>
      </c>
      <c r="G29" s="518"/>
      <c r="H29" s="117">
        <f>$C$26</f>
        <v>0.04</v>
      </c>
      <c r="J29" s="517" t="s">
        <v>84</v>
      </c>
      <c r="K29" s="517"/>
      <c r="L29" s="415">
        <f>L28*L27</f>
        <v>3991890.8000000003</v>
      </c>
    </row>
    <row r="30" spans="2:17" ht="15" thickBot="1" x14ac:dyDescent="0.35">
      <c r="B30" s="59" t="s">
        <v>66</v>
      </c>
      <c r="C30" s="90">
        <f>SUM(H24:Q24)</f>
        <v>1257429.0652290608</v>
      </c>
      <c r="F30" s="517" t="s">
        <v>64</v>
      </c>
      <c r="G30" s="517"/>
      <c r="H30" s="111">
        <f>H27/(H28-H29)</f>
        <v>6276572.7290385775</v>
      </c>
    </row>
    <row r="31" spans="2:17" ht="15" thickBot="1" x14ac:dyDescent="0.35">
      <c r="B31" s="94" t="s">
        <v>67</v>
      </c>
      <c r="C31" s="274">
        <f>L31*Q23</f>
        <v>2334062.032717057</v>
      </c>
      <c r="F31" s="21"/>
      <c r="G31" s="21"/>
      <c r="H31" s="21"/>
      <c r="I31" s="21"/>
      <c r="J31" s="517" t="s">
        <v>91</v>
      </c>
      <c r="K31" s="517"/>
      <c r="L31" s="415">
        <f>(L29+H30)/2</f>
        <v>5134231.7645192891</v>
      </c>
    </row>
    <row r="32" spans="2:17" x14ac:dyDescent="0.3">
      <c r="B32" s="275" t="s">
        <v>68</v>
      </c>
      <c r="C32" s="276">
        <f>C30+C31</f>
        <v>3591491.0979461176</v>
      </c>
      <c r="F32" s="21"/>
      <c r="G32" s="21"/>
      <c r="H32" s="21"/>
      <c r="I32" s="21"/>
    </row>
    <row r="33" spans="2:17" x14ac:dyDescent="0.3">
      <c r="B33" s="59" t="s">
        <v>336</v>
      </c>
      <c r="C33" s="59">
        <f>'Balance Sheet'!H21+'Balance Sheet'!H24+'Balance Sheet'!H22</f>
        <v>130722.79999999999</v>
      </c>
      <c r="F33" s="519" t="s">
        <v>293</v>
      </c>
      <c r="G33" s="519"/>
      <c r="H33" s="91">
        <v>1840</v>
      </c>
    </row>
    <row r="34" spans="2:17" ht="15" thickBot="1" x14ac:dyDescent="0.35">
      <c r="B34" s="94" t="s">
        <v>335</v>
      </c>
      <c r="C34" s="94">
        <f>'Balance Sheet'!H38+'Balance Sheet'!H46+'Balance Sheet'!H34</f>
        <v>21375.599999999999</v>
      </c>
      <c r="F34" s="520" t="s">
        <v>292</v>
      </c>
      <c r="G34" s="520"/>
      <c r="H34" s="91">
        <f>C37</f>
        <v>1542.4658433485254</v>
      </c>
    </row>
    <row r="35" spans="2:17" ht="15" thickBot="1" x14ac:dyDescent="0.35">
      <c r="B35" s="277" t="s">
        <v>69</v>
      </c>
      <c r="C35" s="278">
        <f>C32+C33-C34</f>
        <v>3700838.2979461174</v>
      </c>
      <c r="F35" s="521" t="s">
        <v>294</v>
      </c>
      <c r="G35" s="521"/>
      <c r="H35" s="110" t="str">
        <f>IF(H34&gt;H33,"Upside","Downside")</f>
        <v>Downside</v>
      </c>
    </row>
    <row r="36" spans="2:17" x14ac:dyDescent="0.3">
      <c r="B36" s="127" t="s">
        <v>70</v>
      </c>
      <c r="C36" s="127">
        <f>'Comps Data'!D8</f>
        <v>2399.3000000000002</v>
      </c>
    </row>
    <row r="37" spans="2:17" ht="15" thickBot="1" x14ac:dyDescent="0.35">
      <c r="B37" s="113" t="s">
        <v>71</v>
      </c>
      <c r="C37" s="114">
        <f>C35/C36</f>
        <v>1542.4658433485254</v>
      </c>
      <c r="F37" s="517" t="s">
        <v>295</v>
      </c>
      <c r="G37" s="517"/>
      <c r="H37" s="112" t="str">
        <f>IF(H35="Upside","BUY","IGNORE")</f>
        <v>IGNORE</v>
      </c>
    </row>
    <row r="40" spans="2:17" ht="15.6" x14ac:dyDescent="0.3">
      <c r="B40" s="530" t="s">
        <v>301</v>
      </c>
      <c r="C40" s="531"/>
      <c r="D40" s="531"/>
      <c r="E40" s="531"/>
      <c r="F40" s="531"/>
      <c r="G40" s="531"/>
      <c r="H40" s="531"/>
      <c r="I40" s="531"/>
      <c r="J40" s="531"/>
      <c r="K40" s="531"/>
      <c r="L40" s="531"/>
      <c r="M40" s="531"/>
      <c r="N40" s="531"/>
      <c r="O40" s="531"/>
      <c r="P40" s="531"/>
      <c r="Q40" s="531"/>
    </row>
    <row r="41" spans="2:17" x14ac:dyDescent="0.3">
      <c r="B41" s="354"/>
      <c r="C41" s="354"/>
      <c r="D41" s="354"/>
      <c r="E41" s="354"/>
      <c r="F41" s="354"/>
      <c r="G41" s="354"/>
      <c r="H41" s="354"/>
      <c r="I41" s="354"/>
    </row>
    <row r="42" spans="2:17" x14ac:dyDescent="0.3">
      <c r="B42" s="19"/>
      <c r="C42" s="353"/>
      <c r="D42" s="19"/>
      <c r="E42" s="19"/>
      <c r="F42" s="19"/>
      <c r="G42" s="19"/>
      <c r="H42" s="19"/>
      <c r="I42" s="354"/>
    </row>
    <row r="43" spans="2:17" x14ac:dyDescent="0.3">
      <c r="B43" s="19"/>
      <c r="C43" s="19"/>
      <c r="D43" s="526" t="s">
        <v>63</v>
      </c>
      <c r="E43" s="526"/>
      <c r="F43" s="526"/>
      <c r="G43" s="526"/>
      <c r="H43" s="526"/>
      <c r="I43" s="354"/>
      <c r="J43" s="19"/>
      <c r="K43" s="19"/>
      <c r="L43" s="526" t="s">
        <v>63</v>
      </c>
      <c r="M43" s="526"/>
      <c r="N43" s="526"/>
      <c r="O43" s="526"/>
      <c r="P43" s="526"/>
      <c r="Q43" s="354"/>
    </row>
    <row r="44" spans="2:17" x14ac:dyDescent="0.3">
      <c r="B44" s="19"/>
      <c r="C44" s="429">
        <f>C37</f>
        <v>1542.4658433485254</v>
      </c>
      <c r="D44" s="427">
        <v>0.03</v>
      </c>
      <c r="E44" s="427">
        <v>3.5000000000000003E-2</v>
      </c>
      <c r="F44" s="427">
        <v>0.04</v>
      </c>
      <c r="G44" s="427">
        <v>4.4999999999999998E-2</v>
      </c>
      <c r="H44" s="428">
        <v>0.05</v>
      </c>
      <c r="I44" s="354"/>
      <c r="J44" s="19"/>
      <c r="K44" s="429">
        <f>C37</f>
        <v>1542.4658433485254</v>
      </c>
      <c r="L44" s="427">
        <v>0.03</v>
      </c>
      <c r="M44" s="427">
        <v>3.5000000000000003E-2</v>
      </c>
      <c r="N44" s="427">
        <v>0.04</v>
      </c>
      <c r="O44" s="427">
        <v>4.4999999999999998E-2</v>
      </c>
      <c r="P44" s="428">
        <v>0.05</v>
      </c>
      <c r="Q44" s="354"/>
    </row>
    <row r="45" spans="2:17" x14ac:dyDescent="0.3">
      <c r="B45" s="527" t="s">
        <v>61</v>
      </c>
      <c r="C45" s="425">
        <v>7.4999999999999997E-2</v>
      </c>
      <c r="D45" s="419">
        <f t="dataTable" ref="D45:H49" dt2D="1" dtr="1" r1="C26" r2="C27" ca="1"/>
        <v>1578.9609219407173</v>
      </c>
      <c r="E45" s="419">
        <v>1655.5343850780823</v>
      </c>
      <c r="F45" s="419">
        <v>1753.9859805404099</v>
      </c>
      <c r="G45" s="419">
        <v>1885.2547744901788</v>
      </c>
      <c r="H45" s="422">
        <v>2069.031086019856</v>
      </c>
      <c r="I45" s="354"/>
      <c r="J45" s="527" t="s">
        <v>384</v>
      </c>
      <c r="K45" s="430">
        <v>10</v>
      </c>
      <c r="L45" s="419">
        <f t="dataTable" ref="L45:P49" dt2D="1" dtr="1" r1="C26" r2="L27"/>
        <v>1231.2021869041575</v>
      </c>
      <c r="M45" s="419">
        <v>1284.339865858979</v>
      </c>
      <c r="N45" s="419">
        <v>1350.1225871874688</v>
      </c>
      <c r="O45" s="419">
        <v>1433.6735984953793</v>
      </c>
      <c r="P45" s="422">
        <v>1543.3159233741897</v>
      </c>
      <c r="Q45" s="354"/>
    </row>
    <row r="46" spans="2:17" x14ac:dyDescent="0.3">
      <c r="B46" s="527"/>
      <c r="C46" s="425">
        <v>8.5000000000000006E-2</v>
      </c>
      <c r="D46" s="419">
        <v>1367.6886121135562</v>
      </c>
      <c r="E46" s="420">
        <v>1413.8019580123332</v>
      </c>
      <c r="F46" s="420">
        <v>1470.1627141108386</v>
      </c>
      <c r="G46" s="420">
        <v>1540.6136592339703</v>
      </c>
      <c r="H46" s="422">
        <v>1631.1934458208539</v>
      </c>
      <c r="I46" s="354"/>
      <c r="J46" s="527"/>
      <c r="K46" s="430">
        <v>15</v>
      </c>
      <c r="L46" s="419">
        <v>1324.1216343249578</v>
      </c>
      <c r="M46" s="420">
        <v>1377.2593132797795</v>
      </c>
      <c r="N46" s="420">
        <v>1443.042034608269</v>
      </c>
      <c r="O46" s="420">
        <v>1526.5930459161796</v>
      </c>
      <c r="P46" s="422">
        <v>1636.2353707949896</v>
      </c>
      <c r="Q46" s="354"/>
    </row>
    <row r="47" spans="2:17" x14ac:dyDescent="0.3">
      <c r="B47" s="527"/>
      <c r="C47" s="425">
        <v>9.5165878199999998E-2</v>
      </c>
      <c r="D47" s="419">
        <v>1208.8045175781465</v>
      </c>
      <c r="E47" s="420">
        <v>1238.5442682143162</v>
      </c>
      <c r="F47" s="421">
        <v>1273.6749872546052</v>
      </c>
      <c r="G47" s="420">
        <v>1315.808617496853</v>
      </c>
      <c r="H47" s="422">
        <v>1367.2708896080082</v>
      </c>
      <c r="I47" s="354"/>
      <c r="J47" s="527"/>
      <c r="K47" s="430">
        <v>20.350000000000001</v>
      </c>
      <c r="L47" s="419">
        <v>1423.5454430652142</v>
      </c>
      <c r="M47" s="420">
        <v>1476.6831220200359</v>
      </c>
      <c r="N47" s="421">
        <v>1542.4658433485254</v>
      </c>
      <c r="O47" s="420">
        <v>1626.016854656436</v>
      </c>
      <c r="P47" s="422">
        <v>1735.659179535246</v>
      </c>
      <c r="Q47" s="354"/>
    </row>
    <row r="48" spans="2:17" x14ac:dyDescent="0.3">
      <c r="B48" s="527"/>
      <c r="C48" s="425">
        <v>0.105</v>
      </c>
      <c r="D48" s="419">
        <v>1088.5455506242067</v>
      </c>
      <c r="E48" s="420">
        <v>1109.0386273881825</v>
      </c>
      <c r="F48" s="420">
        <v>1132.6844851927699</v>
      </c>
      <c r="G48" s="420">
        <v>1160.2713192981221</v>
      </c>
      <c r="H48" s="422">
        <v>1192.8739414226291</v>
      </c>
      <c r="I48" s="354"/>
      <c r="J48" s="527"/>
      <c r="K48" s="430">
        <v>25</v>
      </c>
      <c r="L48" s="419">
        <v>1509.9605291665587</v>
      </c>
      <c r="M48" s="420">
        <v>1563.0982081213801</v>
      </c>
      <c r="N48" s="420">
        <v>1628.8809294498699</v>
      </c>
      <c r="O48" s="420">
        <v>1712.4319407577805</v>
      </c>
      <c r="P48" s="422">
        <v>1822.0742656365908</v>
      </c>
      <c r="Q48" s="354"/>
    </row>
    <row r="49" spans="2:17" x14ac:dyDescent="0.3">
      <c r="B49" s="527"/>
      <c r="C49" s="426">
        <v>0.115</v>
      </c>
      <c r="D49" s="423">
        <v>989.04950564532226</v>
      </c>
      <c r="E49" s="423">
        <v>1003.6391348113295</v>
      </c>
      <c r="F49" s="423">
        <v>1020.1740478661383</v>
      </c>
      <c r="G49" s="423">
        <v>1039.0710913573478</v>
      </c>
      <c r="H49" s="424">
        <v>1060.8753723087436</v>
      </c>
      <c r="I49" s="354"/>
      <c r="J49" s="527"/>
      <c r="K49" s="431">
        <v>30</v>
      </c>
      <c r="L49" s="423">
        <v>1602.8799765873587</v>
      </c>
      <c r="M49" s="423">
        <v>1656.0176555421804</v>
      </c>
      <c r="N49" s="423">
        <v>1721.8003768706701</v>
      </c>
      <c r="O49" s="423">
        <v>1805.3513881785807</v>
      </c>
      <c r="P49" s="424">
        <v>1914.993713057391</v>
      </c>
      <c r="Q49" s="354"/>
    </row>
    <row r="50" spans="2:17" x14ac:dyDescent="0.3">
      <c r="B50" s="354"/>
      <c r="C50" s="354"/>
      <c r="D50" s="354"/>
      <c r="E50" s="354"/>
      <c r="F50" s="354"/>
      <c r="G50" s="354"/>
      <c r="H50" s="354"/>
      <c r="I50" s="354"/>
    </row>
    <row r="51" spans="2:17" x14ac:dyDescent="0.3">
      <c r="B51" s="354"/>
      <c r="C51" s="354"/>
      <c r="D51" s="354"/>
      <c r="E51" s="354"/>
      <c r="F51" s="354"/>
      <c r="G51" s="354"/>
      <c r="H51" s="354"/>
      <c r="I51" s="354"/>
    </row>
    <row r="52" spans="2:17" x14ac:dyDescent="0.3">
      <c r="B52" s="19"/>
      <c r="C52" s="19"/>
      <c r="D52" s="526" t="s">
        <v>384</v>
      </c>
      <c r="E52" s="526"/>
      <c r="F52" s="526"/>
      <c r="G52" s="526"/>
      <c r="H52" s="526"/>
    </row>
    <row r="53" spans="2:17" x14ac:dyDescent="0.3">
      <c r="B53" s="19"/>
      <c r="C53" s="429">
        <f>C37</f>
        <v>1542.4658433485254</v>
      </c>
      <c r="D53" s="432">
        <v>10</v>
      </c>
      <c r="E53" s="432">
        <v>15</v>
      </c>
      <c r="F53" s="432">
        <v>20.350000000000001</v>
      </c>
      <c r="G53" s="432">
        <v>25</v>
      </c>
      <c r="H53" s="433">
        <v>30</v>
      </c>
    </row>
    <row r="54" spans="2:17" x14ac:dyDescent="0.3">
      <c r="B54" s="527" t="s">
        <v>61</v>
      </c>
      <c r="C54" s="425">
        <v>7.4999999999999997E-2</v>
      </c>
      <c r="D54" s="419">
        <f t="dataTable" ref="D54:H58" dt2D="1" dtr="1" r1="L27" r2="C27" ca="1"/>
        <v>1548.7018410679568</v>
      </c>
      <c r="E54" s="419">
        <v>1647.8729229387068</v>
      </c>
      <c r="F54" s="419">
        <v>1753.9859805404099</v>
      </c>
      <c r="G54" s="419">
        <v>1846.2150866802074</v>
      </c>
      <c r="H54" s="422">
        <v>1945.3861685509576</v>
      </c>
    </row>
    <row r="55" spans="2:17" x14ac:dyDescent="0.3">
      <c r="B55" s="527"/>
      <c r="C55" s="425">
        <v>8.5000000000000006E-2</v>
      </c>
      <c r="D55" s="419">
        <v>1283.0330417653661</v>
      </c>
      <c r="E55" s="420">
        <v>1373.4338496617297</v>
      </c>
      <c r="F55" s="420">
        <v>1470.1627141108386</v>
      </c>
      <c r="G55" s="420">
        <v>1554.2354654544567</v>
      </c>
      <c r="H55" s="422">
        <v>1644.6362733508201</v>
      </c>
    </row>
    <row r="56" spans="2:17" x14ac:dyDescent="0.3">
      <c r="B56" s="527"/>
      <c r="C56" s="425">
        <v>9.5165878199999998E-2</v>
      </c>
      <c r="D56" s="419">
        <v>1103.2077205584928</v>
      </c>
      <c r="E56" s="420">
        <v>1185.5590571266632</v>
      </c>
      <c r="F56" s="421">
        <v>1273.6749872546052</v>
      </c>
      <c r="G56" s="420">
        <v>1350.2617302630035</v>
      </c>
      <c r="H56" s="422">
        <v>1432.6130668311735</v>
      </c>
    </row>
    <row r="57" spans="2:17" x14ac:dyDescent="0.3">
      <c r="B57" s="527"/>
      <c r="C57" s="425">
        <v>0.105</v>
      </c>
      <c r="D57" s="419">
        <v>976.7948435141551</v>
      </c>
      <c r="E57" s="420">
        <v>1052.1038491559982</v>
      </c>
      <c r="F57" s="420">
        <v>1132.6844851927699</v>
      </c>
      <c r="G57" s="420">
        <v>1202.7218604396837</v>
      </c>
      <c r="H57" s="422">
        <v>1278.0308660815267</v>
      </c>
    </row>
    <row r="58" spans="2:17" x14ac:dyDescent="0.3">
      <c r="B58" s="527"/>
      <c r="C58" s="426">
        <v>0.115</v>
      </c>
      <c r="D58" s="423">
        <v>877.71456445431602</v>
      </c>
      <c r="E58" s="423">
        <v>946.53557093345705</v>
      </c>
      <c r="F58" s="423">
        <v>1020.1740478661383</v>
      </c>
      <c r="G58" s="423">
        <v>1084.1775838917397</v>
      </c>
      <c r="H58" s="424">
        <v>1152.9985903708807</v>
      </c>
    </row>
  </sheetData>
  <mergeCells count="23">
    <mergeCell ref="D52:H52"/>
    <mergeCell ref="B54:B58"/>
    <mergeCell ref="B7:B8"/>
    <mergeCell ref="D43:H43"/>
    <mergeCell ref="B45:B49"/>
    <mergeCell ref="H7:Q7"/>
    <mergeCell ref="J26:L26"/>
    <mergeCell ref="J29:K29"/>
    <mergeCell ref="J31:K31"/>
    <mergeCell ref="B40:Q40"/>
    <mergeCell ref="L43:P43"/>
    <mergeCell ref="J45:J49"/>
    <mergeCell ref="N6:Q6"/>
    <mergeCell ref="F37:G37"/>
    <mergeCell ref="F29:G29"/>
    <mergeCell ref="F30:G30"/>
    <mergeCell ref="F33:G33"/>
    <mergeCell ref="F34:G34"/>
    <mergeCell ref="F35:G35"/>
    <mergeCell ref="C7:G7"/>
    <mergeCell ref="F26:H26"/>
    <mergeCell ref="F27:G27"/>
    <mergeCell ref="F28:G28"/>
  </mergeCells>
  <conditionalFormatting sqref="H35">
    <cfRule type="expression" dxfId="3" priority="3">
      <formula>$H$35="Downside"</formula>
    </cfRule>
    <cfRule type="expression" dxfId="2" priority="4">
      <formula>$H$35="Upside"</formula>
    </cfRule>
  </conditionalFormatting>
  <conditionalFormatting sqref="H37">
    <cfRule type="expression" dxfId="1" priority="1">
      <formula>$H$37="IGNORE"</formula>
    </cfRule>
    <cfRule type="expression" dxfId="0" priority="2">
      <formula>$H$37="BUY"</formula>
    </cfRule>
  </conditionalFormatting>
  <pageMargins left="0.7" right="0.7" top="0.75" bottom="0.75" header="0.3" footer="0.3"/>
  <pageSetup paperSize="8"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BEED9"/>
  </sheetPr>
  <dimension ref="A1:L42"/>
  <sheetViews>
    <sheetView showGridLines="0" topLeftCell="A18" workbookViewId="0">
      <selection activeCell="K28" sqref="K28"/>
    </sheetView>
  </sheetViews>
  <sheetFormatPr defaultRowHeight="14.4" x14ac:dyDescent="0.3"/>
  <cols>
    <col min="1" max="1" width="1.88671875" customWidth="1"/>
    <col min="2" max="2" width="35" bestFit="1" customWidth="1"/>
    <col min="3" max="3" width="3.5546875" bestFit="1" customWidth="1"/>
    <col min="4" max="4" width="7.44140625" bestFit="1" customWidth="1"/>
    <col min="5" max="5" width="10.109375" bestFit="1" customWidth="1"/>
    <col min="6" max="6" width="13.6640625" bestFit="1" customWidth="1"/>
    <col min="8" max="8" width="8.109375" bestFit="1" customWidth="1"/>
    <col min="10" max="10" width="10.33203125" customWidth="1"/>
    <col min="11" max="11" width="11.6640625" bestFit="1" customWidth="1"/>
    <col min="12" max="12" width="2.77734375" customWidth="1"/>
    <col min="13" max="16384" width="8.88671875" style="255"/>
  </cols>
  <sheetData>
    <row r="1" spans="2:12" x14ac:dyDescent="0.3">
      <c r="B1" s="40"/>
      <c r="C1" s="40"/>
      <c r="D1" s="40"/>
      <c r="E1" s="40"/>
      <c r="F1" s="40"/>
      <c r="G1" s="40"/>
      <c r="H1" s="40"/>
      <c r="I1" s="40"/>
      <c r="J1" s="40"/>
      <c r="K1" s="40"/>
      <c r="L1" s="23"/>
    </row>
    <row r="2" spans="2:12" x14ac:dyDescent="0.3">
      <c r="B2" s="40"/>
      <c r="C2" s="40"/>
      <c r="D2" s="40"/>
      <c r="E2" s="40"/>
      <c r="F2" s="40"/>
      <c r="G2" s="40"/>
      <c r="H2" s="40"/>
      <c r="I2" s="40"/>
      <c r="J2" s="40"/>
      <c r="K2" s="40"/>
      <c r="L2" s="23"/>
    </row>
    <row r="3" spans="2:12" x14ac:dyDescent="0.3">
      <c r="B3" s="40"/>
      <c r="C3" s="40"/>
      <c r="D3" s="40"/>
      <c r="E3" s="40"/>
      <c r="F3" s="40"/>
      <c r="G3" s="40"/>
      <c r="H3" s="40"/>
      <c r="I3" s="40"/>
      <c r="J3" s="40"/>
      <c r="K3" s="40"/>
      <c r="L3" s="23"/>
    </row>
    <row r="4" spans="2:12" x14ac:dyDescent="0.3">
      <c r="B4" s="40"/>
      <c r="C4" s="40"/>
      <c r="D4" s="40"/>
      <c r="E4" s="40"/>
      <c r="F4" s="40"/>
      <c r="G4" s="40"/>
      <c r="H4" s="40"/>
      <c r="I4" s="40"/>
      <c r="J4" s="40"/>
      <c r="K4" s="40"/>
      <c r="L4" s="23"/>
    </row>
    <row r="5" spans="2:12" x14ac:dyDescent="0.3">
      <c r="B5" s="40"/>
      <c r="C5" s="40"/>
      <c r="D5" s="40"/>
      <c r="E5" s="40"/>
      <c r="F5" s="40"/>
      <c r="G5" s="40"/>
      <c r="H5" s="40"/>
      <c r="I5" s="40"/>
      <c r="J5" s="40"/>
      <c r="K5" s="40"/>
      <c r="L5" s="23"/>
    </row>
    <row r="6" spans="2:12" x14ac:dyDescent="0.3">
      <c r="B6" s="23"/>
      <c r="C6" s="23"/>
      <c r="D6" s="23"/>
      <c r="E6" s="23"/>
      <c r="F6" s="23"/>
      <c r="G6" s="23"/>
      <c r="H6" s="23"/>
      <c r="I6" s="23"/>
      <c r="J6" s="23"/>
      <c r="K6" s="23"/>
      <c r="L6" s="23"/>
    </row>
    <row r="7" spans="2:12" ht="18" x14ac:dyDescent="0.35">
      <c r="B7" s="532" t="s">
        <v>243</v>
      </c>
      <c r="C7" s="532"/>
      <c r="D7" s="532"/>
      <c r="E7" s="532"/>
      <c r="F7" s="532"/>
      <c r="G7" s="532"/>
      <c r="H7" s="532"/>
      <c r="I7" s="532"/>
      <c r="J7" s="532"/>
      <c r="K7" s="532"/>
      <c r="L7" s="23"/>
    </row>
    <row r="8" spans="2:12" x14ac:dyDescent="0.3">
      <c r="B8" s="60" t="s">
        <v>278</v>
      </c>
      <c r="C8" s="23"/>
      <c r="D8" s="23"/>
      <c r="E8" s="23"/>
      <c r="F8" s="23"/>
      <c r="H8" s="533" t="s">
        <v>276</v>
      </c>
      <c r="I8" s="533"/>
      <c r="J8" s="533"/>
      <c r="K8" s="533"/>
    </row>
    <row r="9" spans="2:12" x14ac:dyDescent="0.3">
      <c r="B9" s="95" t="s">
        <v>244</v>
      </c>
      <c r="C9" s="96"/>
      <c r="D9" s="96"/>
      <c r="E9" s="96"/>
      <c r="F9" s="96"/>
      <c r="G9" s="96"/>
      <c r="H9" s="96"/>
      <c r="I9" s="96"/>
      <c r="J9" s="96"/>
      <c r="K9" s="96"/>
    </row>
    <row r="10" spans="2:12" x14ac:dyDescent="0.3">
      <c r="B10" s="92"/>
      <c r="C10" s="92"/>
      <c r="D10" s="93"/>
      <c r="E10" s="93"/>
      <c r="F10" s="93"/>
      <c r="G10" s="93"/>
      <c r="H10" s="93" t="s">
        <v>245</v>
      </c>
      <c r="I10" s="93" t="s">
        <v>245</v>
      </c>
      <c r="J10" s="93" t="s">
        <v>246</v>
      </c>
      <c r="K10" s="93" t="s">
        <v>247</v>
      </c>
    </row>
    <row r="11" spans="2:12" x14ac:dyDescent="0.3">
      <c r="B11" s="78" t="s">
        <v>248</v>
      </c>
      <c r="C11" s="78"/>
      <c r="D11" s="79"/>
      <c r="E11" s="79" t="s">
        <v>49</v>
      </c>
      <c r="F11" s="79" t="s">
        <v>162</v>
      </c>
      <c r="G11" s="79" t="s">
        <v>46</v>
      </c>
      <c r="H11" s="79" t="s">
        <v>52</v>
      </c>
      <c r="I11" s="79" t="s">
        <v>249</v>
      </c>
      <c r="J11" s="79" t="s">
        <v>269</v>
      </c>
      <c r="K11" s="79" t="s">
        <v>269</v>
      </c>
    </row>
    <row r="12" spans="2:12" x14ac:dyDescent="0.3">
      <c r="B12" s="23"/>
      <c r="C12" s="23"/>
      <c r="D12" s="18"/>
      <c r="E12" s="18"/>
      <c r="F12" s="18"/>
      <c r="G12" s="18"/>
      <c r="H12" s="18"/>
      <c r="I12" s="18"/>
      <c r="J12" s="18"/>
      <c r="K12" s="18"/>
    </row>
    <row r="13" spans="2:12" x14ac:dyDescent="0.3">
      <c r="B13" s="59" t="str">
        <f>'Comps Data'!B9</f>
        <v>Divi's Laboratories</v>
      </c>
      <c r="C13" s="59"/>
      <c r="D13" s="65"/>
      <c r="E13" s="59">
        <f>('Comps Data'!E9)*10</f>
        <v>9000</v>
      </c>
      <c r="F13" s="59">
        <f>('Comps Data'!G9)*10</f>
        <v>1031400</v>
      </c>
      <c r="G13" s="338">
        <f>'Comps Data'!N8</f>
        <v>0.19486818980667839</v>
      </c>
      <c r="H13" s="69">
        <f>E13/F13</f>
        <v>8.7260034904013961E-3</v>
      </c>
      <c r="I13" s="69">
        <f>E13/(E13+F13)</f>
        <v>8.6505190311418692E-3</v>
      </c>
      <c r="J13" s="88">
        <v>0.19</v>
      </c>
      <c r="K13" s="66">
        <f>J13/(1+(1-G13)*H13)</f>
        <v>0.18867445198027821</v>
      </c>
      <c r="L13" s="23"/>
    </row>
    <row r="14" spans="2:12" x14ac:dyDescent="0.3">
      <c r="B14" s="59" t="str">
        <f>'Comps Data'!B10</f>
        <v>Torrent Pharmaceuticals</v>
      </c>
      <c r="C14" s="59"/>
      <c r="D14" s="65"/>
      <c r="E14" s="59">
        <f>('Comps Data'!E10)*10</f>
        <v>282200</v>
      </c>
      <c r="F14" s="59">
        <f>('Comps Data'!G10)*10</f>
        <v>1274200</v>
      </c>
      <c r="G14" s="338">
        <f>'Comps Data'!N9</f>
        <v>0.24871355060034306</v>
      </c>
      <c r="H14" s="69">
        <f t="shared" ref="H14:H18" si="0">E14/F14</f>
        <v>0.22147229634280333</v>
      </c>
      <c r="I14" s="69">
        <f t="shared" ref="I14:I18" si="1">E14/(E14+F14)</f>
        <v>0.18131585710614237</v>
      </c>
      <c r="J14" s="88">
        <v>0.13</v>
      </c>
      <c r="K14" s="66">
        <f t="shared" ref="K14:K18" si="2">J14/(1+(1-G14)*H14)</f>
        <v>0.11145508482655102</v>
      </c>
      <c r="L14" s="23"/>
    </row>
    <row r="15" spans="2:12" x14ac:dyDescent="0.3">
      <c r="B15" s="59" t="str">
        <f>'Comps Data'!B11</f>
        <v>Lupin</v>
      </c>
      <c r="C15" s="67"/>
      <c r="D15" s="68"/>
      <c r="E15" s="59">
        <f>('Comps Data'!E11)*10</f>
        <v>621700</v>
      </c>
      <c r="F15" s="59">
        <f>('Comps Data'!G11)*10</f>
        <v>2615050</v>
      </c>
      <c r="G15" s="338">
        <f>'Comps Data'!N10</f>
        <v>0.28437967115097162</v>
      </c>
      <c r="H15" s="69">
        <f t="shared" si="0"/>
        <v>0.23773924016749201</v>
      </c>
      <c r="I15" s="69">
        <f t="shared" si="1"/>
        <v>0.19207538425890167</v>
      </c>
      <c r="J15" s="89">
        <v>0.28000000000000003</v>
      </c>
      <c r="K15" s="66">
        <f t="shared" si="2"/>
        <v>0.23928944028374285</v>
      </c>
    </row>
    <row r="16" spans="2:12" x14ac:dyDescent="0.3">
      <c r="B16" s="59" t="str">
        <f>'Comps Data'!B12</f>
        <v>Dr Reddy's Laboratories</v>
      </c>
      <c r="C16" s="67"/>
      <c r="D16" s="68"/>
      <c r="E16" s="59">
        <f>('Comps Data'!E12)*10</f>
        <v>585400</v>
      </c>
      <c r="F16" s="59">
        <f>('Comps Data'!G12)*10</f>
        <v>3468220</v>
      </c>
      <c r="G16" s="338">
        <f>'Comps Data'!N11</f>
        <v>0.17901390644753476</v>
      </c>
      <c r="H16" s="69">
        <f t="shared" si="0"/>
        <v>0.16878975382184522</v>
      </c>
      <c r="I16" s="69">
        <f t="shared" si="1"/>
        <v>0.14441412860603609</v>
      </c>
      <c r="J16" s="89">
        <v>0.3</v>
      </c>
      <c r="K16" s="66">
        <f t="shared" si="2"/>
        <v>0.26348747582207538</v>
      </c>
    </row>
    <row r="17" spans="2:11" x14ac:dyDescent="0.3">
      <c r="B17" s="59" t="str">
        <f>'Comps Data'!B13</f>
        <v>Cipla</v>
      </c>
      <c r="C17" s="67"/>
      <c r="D17" s="68"/>
      <c r="E17" s="59">
        <f>('Comps Data'!E13)*10</f>
        <v>46737</v>
      </c>
      <c r="F17" s="59">
        <f>('Comps Data'!G13)*10</f>
        <v>2835108.0000000005</v>
      </c>
      <c r="G17" s="338">
        <f>'Comps Data'!N12</f>
        <v>0.26042916166866587</v>
      </c>
      <c r="H17" s="69">
        <f t="shared" si="0"/>
        <v>1.6485086282427334E-2</v>
      </c>
      <c r="I17" s="69">
        <f t="shared" si="1"/>
        <v>1.6217735513186862E-2</v>
      </c>
      <c r="J17" s="89">
        <v>0.06</v>
      </c>
      <c r="K17" s="66">
        <f t="shared" si="2"/>
        <v>5.9277297760630066E-2</v>
      </c>
    </row>
    <row r="18" spans="2:11" x14ac:dyDescent="0.3">
      <c r="B18" s="59" t="str">
        <f>'Comps Data'!B14</f>
        <v>Zydus Lifesciences</v>
      </c>
      <c r="C18" s="67"/>
      <c r="D18" s="68"/>
      <c r="E18" s="59">
        <f>('Comps Data'!E14)*10</f>
        <v>963610</v>
      </c>
      <c r="F18" s="59">
        <f>('Comps Data'!G14)*10</f>
        <v>2608930</v>
      </c>
      <c r="G18" s="338">
        <f>'Comps Data'!N13</f>
        <v>0.22918576847706881</v>
      </c>
      <c r="H18" s="69">
        <f t="shared" si="0"/>
        <v>0.36935065333297556</v>
      </c>
      <c r="I18" s="69">
        <f t="shared" si="1"/>
        <v>0.26972686100085652</v>
      </c>
      <c r="J18" s="89">
        <v>0.39</v>
      </c>
      <c r="K18" s="66">
        <f t="shared" si="2"/>
        <v>0.30357264369331211</v>
      </c>
    </row>
    <row r="19" spans="2:11" x14ac:dyDescent="0.3">
      <c r="B19" s="23"/>
      <c r="C19" s="29"/>
      <c r="D19" s="30"/>
      <c r="E19" s="23"/>
      <c r="F19" s="23"/>
      <c r="G19" s="18"/>
      <c r="H19" s="37"/>
      <c r="I19" s="37"/>
      <c r="J19" s="31"/>
      <c r="K19" s="32"/>
    </row>
    <row r="20" spans="2:11" x14ac:dyDescent="0.3">
      <c r="B20" s="70" t="s">
        <v>91</v>
      </c>
      <c r="C20" s="72"/>
      <c r="D20" s="72"/>
      <c r="E20" s="72"/>
      <c r="F20" s="72"/>
      <c r="G20" s="73">
        <f>AVERAGE(G15:G18)</f>
        <v>0.23825212693606029</v>
      </c>
      <c r="H20" s="73">
        <f>AVERAGE(H15:H18)</f>
        <v>0.19809118340118503</v>
      </c>
      <c r="I20" s="73">
        <f>AVERAGE(I15:I18)</f>
        <v>0.15560852734474528</v>
      </c>
      <c r="J20" s="74">
        <f>AVERAGE(J15:J18)</f>
        <v>0.25750000000000006</v>
      </c>
      <c r="K20" s="74">
        <f>AVERAGE(K15:K18)</f>
        <v>0.21640671438994008</v>
      </c>
    </row>
    <row r="21" spans="2:11" x14ac:dyDescent="0.3">
      <c r="B21" s="71" t="s">
        <v>92</v>
      </c>
      <c r="C21" s="75"/>
      <c r="D21" s="75"/>
      <c r="E21" s="75"/>
      <c r="F21" s="75"/>
      <c r="G21" s="76">
        <f>MEDIAN(G15:G18)</f>
        <v>0.24480746507286733</v>
      </c>
      <c r="H21" s="76">
        <f>MEDIAN(H15:H18)</f>
        <v>0.20326449699466861</v>
      </c>
      <c r="I21" s="76">
        <f>MEDIAN(I15:I18)</f>
        <v>0.16824475643246889</v>
      </c>
      <c r="J21" s="77">
        <f>MEDIAN(J15:J18)</f>
        <v>0.29000000000000004</v>
      </c>
      <c r="K21" s="77">
        <f>MEDIAN(K15:K18)</f>
        <v>0.2513884580529091</v>
      </c>
    </row>
    <row r="22" spans="2:11" x14ac:dyDescent="0.3">
      <c r="B22" s="23"/>
      <c r="C22" s="23"/>
      <c r="D22" s="23"/>
      <c r="E22" s="23"/>
      <c r="F22" s="23"/>
      <c r="G22" s="23"/>
      <c r="H22" s="23"/>
      <c r="I22" s="23"/>
      <c r="J22" s="23"/>
      <c r="K22" s="23"/>
    </row>
    <row r="23" spans="2:11" x14ac:dyDescent="0.3">
      <c r="B23" s="333" t="str">
        <f>'Comps Data'!B8</f>
        <v>Sun Pharma.Inds.</v>
      </c>
      <c r="C23" s="334"/>
      <c r="D23" s="334"/>
      <c r="E23" s="333">
        <f>('Comps Data'!E8)*10</f>
        <v>521510</v>
      </c>
      <c r="F23" s="333">
        <f>('Comps Data'!H8)*10</f>
        <v>44147120</v>
      </c>
      <c r="G23" s="335">
        <f>'Comps Data'!N8</f>
        <v>0.19486818980667839</v>
      </c>
      <c r="H23" s="335">
        <f>E23/F23</f>
        <v>1.1813001618225606E-2</v>
      </c>
      <c r="I23" s="335">
        <f>E23/(E23+F23)</f>
        <v>1.1675083834001624E-2</v>
      </c>
      <c r="J23" s="336">
        <f>Beta!K25</f>
        <v>0.37075559342427306</v>
      </c>
      <c r="K23" s="337">
        <f>J23/(1+(1-G23)*H23)</f>
        <v>0.36726255071899871</v>
      </c>
    </row>
    <row r="24" spans="2:11" x14ac:dyDescent="0.3">
      <c r="B24" s="23"/>
      <c r="C24" s="23"/>
      <c r="D24" s="23"/>
      <c r="E24" s="23"/>
      <c r="F24" s="23"/>
      <c r="G24" s="23"/>
      <c r="H24" s="23"/>
      <c r="I24" s="23"/>
      <c r="J24" s="23"/>
      <c r="K24" s="23"/>
    </row>
    <row r="25" spans="2:11" x14ac:dyDescent="0.3">
      <c r="B25" s="80" t="s">
        <v>50</v>
      </c>
      <c r="C25" s="80"/>
      <c r="D25" s="81"/>
      <c r="E25" s="81"/>
      <c r="F25" s="23"/>
      <c r="G25" s="80" t="s">
        <v>48</v>
      </c>
      <c r="H25" s="81"/>
      <c r="I25" s="81"/>
      <c r="J25" s="81"/>
      <c r="K25" s="81"/>
    </row>
    <row r="26" spans="2:11" x14ac:dyDescent="0.3">
      <c r="B26" s="23"/>
      <c r="C26" s="23"/>
      <c r="D26" s="23"/>
      <c r="E26" s="23"/>
      <c r="F26" s="23"/>
      <c r="G26" s="23"/>
      <c r="H26" s="23"/>
      <c r="I26" s="23"/>
      <c r="J26" s="23"/>
      <c r="K26" s="23"/>
    </row>
    <row r="27" spans="2:11" x14ac:dyDescent="0.3">
      <c r="B27" s="23" t="s">
        <v>250</v>
      </c>
      <c r="C27" s="23"/>
      <c r="D27" s="23"/>
      <c r="E27" s="39">
        <f>Assumptions!G15</f>
        <v>8.1301898660781746E-2</v>
      </c>
      <c r="F27" s="23"/>
      <c r="G27" s="23" t="s">
        <v>251</v>
      </c>
      <c r="H27" s="23"/>
      <c r="I27" s="23"/>
      <c r="J27" s="23"/>
      <c r="K27" s="86">
        <v>6.8900000000000003E-2</v>
      </c>
    </row>
    <row r="28" spans="2:11" x14ac:dyDescent="0.3">
      <c r="B28" s="23" t="s">
        <v>46</v>
      </c>
      <c r="C28" s="23"/>
      <c r="D28" s="23"/>
      <c r="E28" s="2">
        <f>G23</f>
        <v>0.19486818980667839</v>
      </c>
      <c r="F28" s="23"/>
      <c r="G28" s="23" t="s">
        <v>252</v>
      </c>
      <c r="H28" s="23"/>
      <c r="I28" s="23"/>
      <c r="J28" s="23"/>
      <c r="K28" s="38">
        <f>'Market Return'!F7-WACC!K27</f>
        <v>4.4430914136901437E-2</v>
      </c>
    </row>
    <row r="29" spans="2:11" x14ac:dyDescent="0.3">
      <c r="B29" s="82" t="s">
        <v>253</v>
      </c>
      <c r="C29" s="10"/>
      <c r="D29" s="10"/>
      <c r="E29" s="83">
        <f>E27*(1-E28)</f>
        <v>6.5458744840909189E-2</v>
      </c>
      <c r="F29" s="23"/>
      <c r="G29" s="23" t="s">
        <v>255</v>
      </c>
      <c r="H29" s="23"/>
      <c r="I29" s="23"/>
      <c r="J29" s="23"/>
      <c r="K29" s="3">
        <f>J23</f>
        <v>0.37075559342427306</v>
      </c>
    </row>
    <row r="30" spans="2:11" x14ac:dyDescent="0.3">
      <c r="B30" s="23"/>
      <c r="C30" s="23"/>
      <c r="D30" s="23"/>
      <c r="E30" s="23"/>
      <c r="F30" s="23"/>
      <c r="G30" s="82" t="s">
        <v>48</v>
      </c>
      <c r="H30" s="10"/>
      <c r="I30" s="10"/>
      <c r="J30" s="10"/>
      <c r="K30" s="84">
        <f>K27+(K28*K29)</f>
        <v>8.5373009937209809E-2</v>
      </c>
    </row>
    <row r="31" spans="2:11" x14ac:dyDescent="0.3">
      <c r="B31" s="23"/>
      <c r="C31" s="23"/>
      <c r="D31" s="23"/>
      <c r="E31" s="23"/>
      <c r="F31" s="23"/>
      <c r="G31" s="23"/>
      <c r="H31" s="23"/>
      <c r="I31" s="23"/>
      <c r="J31" s="23"/>
      <c r="K31" s="23"/>
    </row>
    <row r="32" spans="2:11" x14ac:dyDescent="0.3">
      <c r="B32" s="23"/>
      <c r="C32" s="23"/>
      <c r="D32" s="23"/>
      <c r="E32" s="23"/>
      <c r="F32" s="23"/>
      <c r="G32" s="23"/>
      <c r="H32" s="23"/>
      <c r="I32" s="23"/>
      <c r="J32" s="23"/>
      <c r="K32" s="23"/>
    </row>
    <row r="33" spans="2:11" x14ac:dyDescent="0.3">
      <c r="B33" s="80" t="s">
        <v>254</v>
      </c>
      <c r="C33" s="81"/>
      <c r="D33" s="81"/>
      <c r="E33" s="81"/>
      <c r="F33" s="23"/>
      <c r="G33" s="80" t="s">
        <v>53</v>
      </c>
      <c r="H33" s="81"/>
      <c r="I33" s="81"/>
      <c r="J33" s="81"/>
      <c r="K33" s="81"/>
    </row>
    <row r="34" spans="2:11" x14ac:dyDescent="0.3">
      <c r="B34" s="23"/>
      <c r="C34" s="23"/>
      <c r="D34" s="23"/>
      <c r="E34" s="23"/>
      <c r="F34" s="23"/>
      <c r="G34" s="23"/>
      <c r="H34" s="23"/>
      <c r="I34" s="23"/>
      <c r="J34" s="23"/>
      <c r="K34" s="23"/>
    </row>
    <row r="35" spans="2:11" x14ac:dyDescent="0.3">
      <c r="B35" s="23"/>
      <c r="C35" s="23"/>
      <c r="D35" s="23"/>
      <c r="E35" s="33" t="s">
        <v>256</v>
      </c>
      <c r="F35" s="23"/>
      <c r="G35" s="23"/>
      <c r="H35" s="23"/>
      <c r="I35" s="23"/>
      <c r="J35" s="85" t="s">
        <v>54</v>
      </c>
      <c r="K35" s="85" t="s">
        <v>55</v>
      </c>
    </row>
    <row r="36" spans="2:11" x14ac:dyDescent="0.3">
      <c r="B36" s="23" t="s">
        <v>49</v>
      </c>
      <c r="C36" s="34"/>
      <c r="D36" s="23"/>
      <c r="E36" s="39">
        <f>I21</f>
        <v>0.16824475643246889</v>
      </c>
      <c r="F36" s="23"/>
      <c r="G36" s="23" t="s">
        <v>51</v>
      </c>
      <c r="H36" s="23"/>
      <c r="I36" s="23"/>
      <c r="J36" s="2">
        <f>E29</f>
        <v>6.5458744840909189E-2</v>
      </c>
      <c r="K36" s="2">
        <f>E36</f>
        <v>0.16824475643246889</v>
      </c>
    </row>
    <row r="37" spans="2:11" x14ac:dyDescent="0.3">
      <c r="B37" s="23" t="s">
        <v>257</v>
      </c>
      <c r="C37" s="34"/>
      <c r="D37" s="23"/>
      <c r="E37" s="2">
        <f>E38-E36</f>
        <v>0.83175524356753106</v>
      </c>
      <c r="F37" s="23"/>
      <c r="G37" s="23" t="s">
        <v>52</v>
      </c>
      <c r="H37" s="23"/>
      <c r="I37" s="23"/>
      <c r="J37" s="2">
        <f>K30</f>
        <v>8.5373009937209809E-2</v>
      </c>
      <c r="K37" s="2">
        <f>E37</f>
        <v>0.83175524356753106</v>
      </c>
    </row>
    <row r="38" spans="2:11" x14ac:dyDescent="0.3">
      <c r="B38" s="82" t="s">
        <v>258</v>
      </c>
      <c r="C38" s="35"/>
      <c r="D38" s="35"/>
      <c r="E38" s="87">
        <v>1</v>
      </c>
      <c r="F38" s="23"/>
      <c r="G38" s="82" t="s">
        <v>53</v>
      </c>
      <c r="H38" s="10"/>
      <c r="I38" s="10"/>
      <c r="J38" s="10"/>
      <c r="K38" s="84">
        <f>SUMPRODUCT(J36:J37,K36:K37)</f>
        <v>8.2022539256551091E-2</v>
      </c>
    </row>
    <row r="39" spans="2:11" x14ac:dyDescent="0.3">
      <c r="B39" s="23"/>
      <c r="C39" s="23"/>
      <c r="D39" s="23"/>
      <c r="E39" s="23"/>
    </row>
    <row r="40" spans="2:11" x14ac:dyDescent="0.3">
      <c r="B40" s="17" t="s">
        <v>259</v>
      </c>
      <c r="C40" s="23"/>
      <c r="D40" s="23"/>
      <c r="E40" s="23"/>
    </row>
    <row r="41" spans="2:11" x14ac:dyDescent="0.3">
      <c r="B41" s="36" t="s">
        <v>283</v>
      </c>
      <c r="C41" s="23"/>
      <c r="D41" s="23"/>
      <c r="E41" s="23"/>
    </row>
    <row r="42" spans="2:11" x14ac:dyDescent="0.3">
      <c r="B42" s="36" t="s">
        <v>284</v>
      </c>
      <c r="C42" s="23"/>
      <c r="D42" s="23"/>
      <c r="E42" s="23"/>
    </row>
  </sheetData>
  <mergeCells count="2">
    <mergeCell ref="B7:K7"/>
    <mergeCell ref="H8:K8"/>
  </mergeCells>
  <pageMargins left="0.25" right="0.25" top="0.75" bottom="0.75" header="0.3" footer="0.3"/>
  <pageSetup orientation="landscape" r:id="rId1"/>
  <ignoredErrors>
    <ignoredError sqref="J20:J21" formulaRange="1"/>
  </ignoredError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BEED9"/>
  </sheetPr>
  <dimension ref="A1:S2485"/>
  <sheetViews>
    <sheetView showGridLines="0" workbookViewId="0">
      <selection activeCell="N13" sqref="N13"/>
    </sheetView>
  </sheetViews>
  <sheetFormatPr defaultRowHeight="14.4" x14ac:dyDescent="0.3"/>
  <cols>
    <col min="1" max="1" width="3.109375" customWidth="1"/>
    <col min="2" max="2" width="10.5546875" bestFit="1" customWidth="1"/>
    <col min="6" max="6" width="10.5546875" bestFit="1" customWidth="1"/>
    <col min="10" max="10" width="17.44140625" bestFit="1" customWidth="1"/>
    <col min="11" max="11" width="12" bestFit="1" customWidth="1"/>
    <col min="12" max="12" width="13.44140625" bestFit="1" customWidth="1"/>
    <col min="14" max="14" width="12" bestFit="1" customWidth="1"/>
    <col min="15" max="15" width="12.6640625" bestFit="1" customWidth="1"/>
    <col min="16" max="16" width="12" bestFit="1" customWidth="1"/>
    <col min="17" max="18" width="12.109375" bestFit="1" customWidth="1"/>
    <col min="19" max="19" width="2.44140625" customWidth="1"/>
    <col min="20" max="16384" width="8.88671875" style="255"/>
  </cols>
  <sheetData>
    <row r="1" spans="2:19" x14ac:dyDescent="0.3">
      <c r="B1" s="40"/>
      <c r="C1" s="40"/>
      <c r="D1" s="40"/>
      <c r="E1" s="40"/>
      <c r="F1" s="40"/>
      <c r="G1" s="40"/>
      <c r="H1" s="40"/>
      <c r="I1" s="40"/>
      <c r="J1" s="40"/>
      <c r="K1" s="40"/>
      <c r="L1" s="40"/>
      <c r="M1" s="40"/>
      <c r="N1" s="40"/>
      <c r="O1" s="40"/>
      <c r="P1" s="40"/>
      <c r="Q1" s="40"/>
      <c r="R1" s="40"/>
      <c r="S1" s="23"/>
    </row>
    <row r="2" spans="2:19" x14ac:dyDescent="0.3">
      <c r="B2" s="40"/>
      <c r="C2" s="40"/>
      <c r="D2" s="40"/>
      <c r="E2" s="40"/>
      <c r="F2" s="40"/>
      <c r="G2" s="40"/>
      <c r="H2" s="40"/>
      <c r="I2" s="40"/>
      <c r="J2" s="40"/>
      <c r="K2" s="40"/>
      <c r="L2" s="40"/>
      <c r="M2" s="40"/>
      <c r="N2" s="40"/>
      <c r="O2" s="40"/>
      <c r="P2" s="40"/>
      <c r="Q2" s="40"/>
      <c r="R2" s="40"/>
      <c r="S2" s="23"/>
    </row>
    <row r="3" spans="2:19" x14ac:dyDescent="0.3">
      <c r="B3" s="40"/>
      <c r="C3" s="40"/>
      <c r="D3" s="40"/>
      <c r="E3" s="40"/>
      <c r="F3" s="40"/>
      <c r="G3" s="40"/>
      <c r="H3" s="40"/>
      <c r="I3" s="40"/>
      <c r="J3" s="40"/>
      <c r="K3" s="40"/>
      <c r="L3" s="40"/>
      <c r="M3" s="40"/>
      <c r="N3" s="40"/>
      <c r="O3" s="40"/>
      <c r="P3" s="40"/>
      <c r="Q3" s="40"/>
      <c r="R3" s="40"/>
      <c r="S3" s="23"/>
    </row>
    <row r="4" spans="2:19" x14ac:dyDescent="0.3">
      <c r="B4" s="40"/>
      <c r="C4" s="40"/>
      <c r="D4" s="40"/>
      <c r="E4" s="40"/>
      <c r="F4" s="40"/>
      <c r="G4" s="40"/>
      <c r="H4" s="40"/>
      <c r="I4" s="40"/>
      <c r="J4" s="40"/>
      <c r="K4" s="40"/>
      <c r="L4" s="40"/>
      <c r="M4" s="40"/>
      <c r="N4" s="40"/>
      <c r="O4" s="40"/>
      <c r="P4" s="40"/>
      <c r="Q4" s="40"/>
      <c r="R4" s="40"/>
      <c r="S4" s="23"/>
    </row>
    <row r="5" spans="2:19" x14ac:dyDescent="0.3">
      <c r="B5" s="40"/>
      <c r="C5" s="40"/>
      <c r="D5" s="40"/>
      <c r="E5" s="40"/>
      <c r="F5" s="40"/>
      <c r="G5" s="40"/>
      <c r="H5" s="40"/>
      <c r="I5" s="40"/>
      <c r="J5" s="40"/>
      <c r="K5" s="40"/>
      <c r="L5" s="40"/>
      <c r="M5" s="40"/>
      <c r="N5" s="40"/>
      <c r="O5" s="40"/>
      <c r="P5" s="40"/>
      <c r="Q5" s="40"/>
      <c r="R5" s="40"/>
      <c r="S5" s="23"/>
    </row>
    <row r="6" spans="2:19" x14ac:dyDescent="0.3">
      <c r="B6" s="60" t="s">
        <v>286</v>
      </c>
    </row>
    <row r="7" spans="2:19" x14ac:dyDescent="0.3">
      <c r="B7" s="534" t="s">
        <v>386</v>
      </c>
      <c r="C7" s="535"/>
      <c r="D7" s="536"/>
      <c r="F7" s="537" t="s">
        <v>241</v>
      </c>
      <c r="G7" s="537"/>
      <c r="H7" s="537"/>
      <c r="J7" s="538" t="s">
        <v>285</v>
      </c>
      <c r="K7" s="539"/>
      <c r="L7" s="539"/>
      <c r="M7" s="539"/>
      <c r="N7" s="539"/>
      <c r="O7" s="539"/>
      <c r="P7" s="539"/>
      <c r="Q7" s="539"/>
      <c r="R7" s="540"/>
    </row>
    <row r="8" spans="2:19" x14ac:dyDescent="0.3">
      <c r="B8" s="98" t="s">
        <v>18</v>
      </c>
      <c r="C8" s="98" t="s">
        <v>19</v>
      </c>
      <c r="D8" s="98" t="s">
        <v>45</v>
      </c>
      <c r="F8" s="98" t="s">
        <v>18</v>
      </c>
      <c r="G8" s="98" t="s">
        <v>19</v>
      </c>
      <c r="H8" s="98" t="s">
        <v>45</v>
      </c>
      <c r="J8" t="s">
        <v>20</v>
      </c>
      <c r="S8" s="142"/>
    </row>
    <row r="9" spans="2:19" ht="15" thickBot="1" x14ac:dyDescent="0.35">
      <c r="B9" s="440">
        <v>42520</v>
      </c>
      <c r="C9" s="363">
        <v>8178.5</v>
      </c>
      <c r="D9" s="446" t="s">
        <v>106</v>
      </c>
      <c r="F9" s="440">
        <v>42520</v>
      </c>
      <c r="G9" s="170">
        <v>812.1</v>
      </c>
      <c r="H9" s="447" t="s">
        <v>106</v>
      </c>
      <c r="S9" s="142"/>
    </row>
    <row r="10" spans="2:19" x14ac:dyDescent="0.3">
      <c r="B10" s="440">
        <v>42521</v>
      </c>
      <c r="C10" s="363">
        <v>8160.1</v>
      </c>
      <c r="D10" s="252">
        <f>C10/C9-1</f>
        <v>-2.249801308308319E-3</v>
      </c>
      <c r="F10" s="440">
        <v>42521</v>
      </c>
      <c r="G10" s="170">
        <v>762.75</v>
      </c>
      <c r="H10" s="252">
        <f>G10/G9-1</f>
        <v>-6.0768378278537205E-2</v>
      </c>
      <c r="J10" s="8" t="s">
        <v>21</v>
      </c>
      <c r="K10" s="8"/>
      <c r="S10" s="142"/>
    </row>
    <row r="11" spans="2:19" x14ac:dyDescent="0.3">
      <c r="B11" s="440">
        <v>42522</v>
      </c>
      <c r="C11" s="363">
        <v>8179.95</v>
      </c>
      <c r="D11" s="252">
        <f t="shared" ref="D11:D74" si="0">C11/C10-1</f>
        <v>2.4325682283303784E-3</v>
      </c>
      <c r="F11" s="440">
        <v>42522</v>
      </c>
      <c r="G11" s="170">
        <v>754.55</v>
      </c>
      <c r="H11" s="252">
        <f t="shared" ref="H11:H74" si="1">G11/G10-1</f>
        <v>-1.0750573582432033E-2</v>
      </c>
      <c r="J11" s="5" t="s">
        <v>22</v>
      </c>
      <c r="K11" s="5">
        <v>0.21821598809607859</v>
      </c>
      <c r="S11" s="142"/>
    </row>
    <row r="12" spans="2:19" x14ac:dyDescent="0.3">
      <c r="B12" s="440">
        <v>42523</v>
      </c>
      <c r="C12" s="363">
        <v>8218.9500000000007</v>
      </c>
      <c r="D12" s="252">
        <f t="shared" si="0"/>
        <v>4.7677553041278742E-3</v>
      </c>
      <c r="F12" s="440">
        <v>42523</v>
      </c>
      <c r="G12" s="170">
        <v>746.75</v>
      </c>
      <c r="H12" s="252">
        <f t="shared" si="1"/>
        <v>-1.0337287124776329E-2</v>
      </c>
      <c r="J12" s="5" t="s">
        <v>23</v>
      </c>
      <c r="K12" s="5">
        <v>4.7618217460747909E-2</v>
      </c>
      <c r="S12" s="142"/>
    </row>
    <row r="13" spans="2:19" x14ac:dyDescent="0.3">
      <c r="B13" s="440">
        <v>42524</v>
      </c>
      <c r="C13" s="363">
        <v>8220.7999999999993</v>
      </c>
      <c r="D13" s="252">
        <f t="shared" si="0"/>
        <v>2.2508957956901554E-4</v>
      </c>
      <c r="F13" s="440">
        <v>42524</v>
      </c>
      <c r="G13" s="170">
        <v>737.35</v>
      </c>
      <c r="H13" s="252">
        <f t="shared" si="1"/>
        <v>-1.258788081687312E-2</v>
      </c>
      <c r="J13" s="5" t="s">
        <v>24</v>
      </c>
      <c r="K13" s="5">
        <v>4.7233261202647966E-2</v>
      </c>
      <c r="S13" s="142"/>
    </row>
    <row r="14" spans="2:19" x14ac:dyDescent="0.3">
      <c r="B14" s="440">
        <v>42527</v>
      </c>
      <c r="C14" s="363">
        <v>8201.0499999999993</v>
      </c>
      <c r="D14" s="252">
        <f t="shared" si="0"/>
        <v>-2.4024425846632669E-3</v>
      </c>
      <c r="F14" s="440">
        <v>42527</v>
      </c>
      <c r="G14" s="170">
        <v>724.4</v>
      </c>
      <c r="H14" s="252">
        <f t="shared" si="1"/>
        <v>-1.7562894147962305E-2</v>
      </c>
      <c r="J14" s="5" t="s">
        <v>25</v>
      </c>
      <c r="K14" s="5">
        <v>1.6915855861249378E-2</v>
      </c>
      <c r="S14" s="142"/>
    </row>
    <row r="15" spans="2:19" ht="15" thickBot="1" x14ac:dyDescent="0.35">
      <c r="B15" s="440">
        <v>42528</v>
      </c>
      <c r="C15" s="363">
        <v>8266.4500000000007</v>
      </c>
      <c r="D15" s="252">
        <f t="shared" si="0"/>
        <v>7.9745886197499782E-3</v>
      </c>
      <c r="F15" s="440">
        <v>42528</v>
      </c>
      <c r="G15" s="170">
        <v>738.8</v>
      </c>
      <c r="H15" s="252">
        <f t="shared" si="1"/>
        <v>1.9878520154610779E-2</v>
      </c>
      <c r="J15" s="6" t="s">
        <v>26</v>
      </c>
      <c r="K15" s="6">
        <v>2476</v>
      </c>
      <c r="S15" s="142"/>
    </row>
    <row r="16" spans="2:19" x14ac:dyDescent="0.3">
      <c r="B16" s="440">
        <v>42529</v>
      </c>
      <c r="C16" s="363">
        <v>8273.0499999999993</v>
      </c>
      <c r="D16" s="252">
        <f t="shared" si="0"/>
        <v>7.9840802279074197E-4</v>
      </c>
      <c r="F16" s="440">
        <v>42529</v>
      </c>
      <c r="G16" s="170">
        <v>738</v>
      </c>
      <c r="H16" s="252">
        <f t="shared" si="1"/>
        <v>-1.0828370330264736E-3</v>
      </c>
      <c r="S16" s="142"/>
    </row>
    <row r="17" spans="2:19" ht="15" thickBot="1" x14ac:dyDescent="0.35">
      <c r="B17" s="440">
        <v>42530</v>
      </c>
      <c r="C17" s="363">
        <v>8203.6</v>
      </c>
      <c r="D17" s="252">
        <f t="shared" si="0"/>
        <v>-8.3947274584341702E-3</v>
      </c>
      <c r="F17" s="440">
        <v>42530</v>
      </c>
      <c r="G17" s="170">
        <v>742.7</v>
      </c>
      <c r="H17" s="252">
        <f t="shared" si="1"/>
        <v>6.3685636856369854E-3</v>
      </c>
      <c r="J17" t="s">
        <v>27</v>
      </c>
      <c r="S17" s="142"/>
    </row>
    <row r="18" spans="2:19" x14ac:dyDescent="0.3">
      <c r="B18" s="440">
        <v>42531</v>
      </c>
      <c r="C18" s="363">
        <v>8170.05</v>
      </c>
      <c r="D18" s="252">
        <f t="shared" si="0"/>
        <v>-4.0896679506557954E-3</v>
      </c>
      <c r="F18" s="440">
        <v>42531</v>
      </c>
      <c r="G18" s="170">
        <v>741.4</v>
      </c>
      <c r="H18" s="252">
        <f t="shared" si="1"/>
        <v>-1.7503702706342938E-3</v>
      </c>
      <c r="J18" s="7"/>
      <c r="K18" s="7" t="s">
        <v>32</v>
      </c>
      <c r="L18" s="7" t="s">
        <v>33</v>
      </c>
      <c r="M18" s="7" t="s">
        <v>34</v>
      </c>
      <c r="N18" s="7" t="s">
        <v>35</v>
      </c>
      <c r="O18" s="7" t="s">
        <v>36</v>
      </c>
      <c r="S18" s="142"/>
    </row>
    <row r="19" spans="2:19" x14ac:dyDescent="0.3">
      <c r="B19" s="440">
        <v>42534</v>
      </c>
      <c r="C19" s="363">
        <v>8110.6</v>
      </c>
      <c r="D19" s="252">
        <f t="shared" si="0"/>
        <v>-7.2765772547291885E-3</v>
      </c>
      <c r="F19" s="440">
        <v>42534</v>
      </c>
      <c r="G19" s="170">
        <v>746.45</v>
      </c>
      <c r="H19" s="252">
        <f t="shared" si="1"/>
        <v>6.8114378203398829E-3</v>
      </c>
      <c r="J19" s="5" t="s">
        <v>28</v>
      </c>
      <c r="K19" s="5">
        <v>1</v>
      </c>
      <c r="L19" s="5">
        <v>3.5395634478397775E-2</v>
      </c>
      <c r="M19" s="5">
        <v>3.5395634478397775E-2</v>
      </c>
      <c r="N19" s="5">
        <v>123.69773567464782</v>
      </c>
      <c r="O19" s="5">
        <v>4.489263560259632E-28</v>
      </c>
      <c r="S19" s="142"/>
    </row>
    <row r="20" spans="2:19" x14ac:dyDescent="0.3">
      <c r="B20" s="440">
        <v>42535</v>
      </c>
      <c r="C20" s="363">
        <v>8108.85</v>
      </c>
      <c r="D20" s="252">
        <f t="shared" si="0"/>
        <v>-2.1576702093561995E-4</v>
      </c>
      <c r="F20" s="440">
        <v>42535</v>
      </c>
      <c r="G20" s="170">
        <v>753.7</v>
      </c>
      <c r="H20" s="252">
        <f t="shared" si="1"/>
        <v>9.7126398285216631E-3</v>
      </c>
      <c r="J20" s="5" t="s">
        <v>29</v>
      </c>
      <c r="K20" s="5">
        <v>2474</v>
      </c>
      <c r="L20" s="5">
        <v>0.70792564812892977</v>
      </c>
      <c r="M20" s="5">
        <v>2.8614617951856498E-4</v>
      </c>
      <c r="N20" s="5"/>
      <c r="O20" s="5"/>
      <c r="S20" s="142"/>
    </row>
    <row r="21" spans="2:19" ht="15" thickBot="1" x14ac:dyDescent="0.35">
      <c r="B21" s="440">
        <v>42536</v>
      </c>
      <c r="C21" s="363">
        <v>8206.6</v>
      </c>
      <c r="D21" s="252">
        <f t="shared" si="0"/>
        <v>1.2054730325508523E-2</v>
      </c>
      <c r="F21" s="440">
        <v>42536</v>
      </c>
      <c r="G21" s="170">
        <v>751.6</v>
      </c>
      <c r="H21" s="252">
        <f t="shared" si="1"/>
        <v>-2.7862544779090337E-3</v>
      </c>
      <c r="J21" s="6" t="s">
        <v>30</v>
      </c>
      <c r="K21" s="6">
        <v>2475</v>
      </c>
      <c r="L21" s="6">
        <v>0.74332128260732755</v>
      </c>
      <c r="M21" s="6"/>
      <c r="N21" s="6"/>
      <c r="O21" s="6"/>
      <c r="S21" s="142"/>
    </row>
    <row r="22" spans="2:19" ht="15" thickBot="1" x14ac:dyDescent="0.35">
      <c r="B22" s="440">
        <v>42537</v>
      </c>
      <c r="C22" s="363">
        <v>8140.75</v>
      </c>
      <c r="D22" s="252">
        <f t="shared" si="0"/>
        <v>-8.0240294397192491E-3</v>
      </c>
      <c r="F22" s="440">
        <v>42537</v>
      </c>
      <c r="G22" s="170">
        <v>754.6</v>
      </c>
      <c r="H22" s="252">
        <f t="shared" si="1"/>
        <v>3.9914848323576724E-3</v>
      </c>
      <c r="S22" s="142"/>
    </row>
    <row r="23" spans="2:19" x14ac:dyDescent="0.3">
      <c r="B23" s="440">
        <v>42538</v>
      </c>
      <c r="C23" s="363">
        <v>8170.2</v>
      </c>
      <c r="D23" s="252">
        <f t="shared" si="0"/>
        <v>3.6176028007246508E-3</v>
      </c>
      <c r="F23" s="440">
        <v>42538</v>
      </c>
      <c r="G23" s="170">
        <v>743.2</v>
      </c>
      <c r="H23" s="252">
        <f t="shared" si="1"/>
        <v>-1.5107341637953797E-2</v>
      </c>
      <c r="J23" s="7"/>
      <c r="K23" s="7" t="s">
        <v>37</v>
      </c>
      <c r="L23" s="7" t="s">
        <v>25</v>
      </c>
      <c r="M23" s="7" t="s">
        <v>38</v>
      </c>
      <c r="N23" s="7" t="s">
        <v>39</v>
      </c>
      <c r="O23" s="7" t="s">
        <v>40</v>
      </c>
      <c r="P23" s="7" t="s">
        <v>41</v>
      </c>
      <c r="Q23" s="7" t="s">
        <v>42</v>
      </c>
      <c r="R23" s="7" t="s">
        <v>43</v>
      </c>
      <c r="S23" s="142"/>
    </row>
    <row r="24" spans="2:19" x14ac:dyDescent="0.3">
      <c r="B24" s="440">
        <v>42541</v>
      </c>
      <c r="C24" s="363">
        <v>8238.5</v>
      </c>
      <c r="D24" s="252">
        <f t="shared" si="0"/>
        <v>8.3596484786174763E-3</v>
      </c>
      <c r="F24" s="440">
        <v>42541</v>
      </c>
      <c r="G24" s="170">
        <v>739.85</v>
      </c>
      <c r="H24" s="252">
        <f t="shared" si="1"/>
        <v>-4.5075349838535894E-3</v>
      </c>
      <c r="J24" s="5" t="s">
        <v>31</v>
      </c>
      <c r="K24" s="5">
        <v>3.0138214724108374E-4</v>
      </c>
      <c r="L24" s="5">
        <v>3.40338236664531E-4</v>
      </c>
      <c r="M24" s="5">
        <v>0.88553713562944147</v>
      </c>
      <c r="N24" s="5">
        <v>0.37595306031570064</v>
      </c>
      <c r="O24" s="5">
        <v>-3.6599504000352749E-4</v>
      </c>
      <c r="P24" s="5">
        <v>9.6875933448569503E-4</v>
      </c>
      <c r="Q24" s="5">
        <v>-3.6599504000352749E-4</v>
      </c>
      <c r="R24" s="5">
        <v>9.6875933448569503E-4</v>
      </c>
      <c r="S24" s="142"/>
    </row>
    <row r="25" spans="2:19" ht="15" thickBot="1" x14ac:dyDescent="0.35">
      <c r="B25" s="440">
        <v>42542</v>
      </c>
      <c r="C25" s="363">
        <v>8219.9</v>
      </c>
      <c r="D25" s="252">
        <f t="shared" si="0"/>
        <v>-2.2576925411179616E-3</v>
      </c>
      <c r="F25" s="440">
        <v>42542</v>
      </c>
      <c r="G25" s="170">
        <v>736.3</v>
      </c>
      <c r="H25" s="252">
        <f t="shared" si="1"/>
        <v>-4.7982699195784351E-3</v>
      </c>
      <c r="J25" s="6" t="s">
        <v>44</v>
      </c>
      <c r="K25" s="6">
        <v>0.37075559342427306</v>
      </c>
      <c r="L25" s="6">
        <v>3.3335489510991578E-2</v>
      </c>
      <c r="M25" s="6">
        <v>11.121948375830067</v>
      </c>
      <c r="N25" s="6">
        <v>4.4892635602994764E-28</v>
      </c>
      <c r="O25" s="6">
        <v>0.30538725443509018</v>
      </c>
      <c r="P25" s="6">
        <v>0.43612393241345593</v>
      </c>
      <c r="Q25" s="6">
        <v>0.30538725443509018</v>
      </c>
      <c r="R25" s="6">
        <v>0.43612393241345593</v>
      </c>
      <c r="S25" s="142"/>
    </row>
    <row r="26" spans="2:19" x14ac:dyDescent="0.3">
      <c r="B26" s="440">
        <v>42543</v>
      </c>
      <c r="C26" s="363">
        <v>8203.7000000000007</v>
      </c>
      <c r="D26" s="252">
        <f t="shared" si="0"/>
        <v>-1.9708268957041586E-3</v>
      </c>
      <c r="F26" s="440">
        <v>42543</v>
      </c>
      <c r="G26" s="170">
        <v>740.05</v>
      </c>
      <c r="H26" s="252">
        <f t="shared" si="1"/>
        <v>5.0930327312237456E-3</v>
      </c>
      <c r="S26" s="23"/>
    </row>
    <row r="27" spans="2:19" x14ac:dyDescent="0.3">
      <c r="B27" s="440">
        <v>42544</v>
      </c>
      <c r="C27" s="363">
        <v>8270.4500000000007</v>
      </c>
      <c r="D27" s="252">
        <f t="shared" si="0"/>
        <v>8.1365725221547169E-3</v>
      </c>
      <c r="F27" s="440">
        <v>42544</v>
      </c>
      <c r="G27" s="170">
        <v>752.6</v>
      </c>
      <c r="H27" s="252">
        <f t="shared" si="1"/>
        <v>1.6958313627457589E-2</v>
      </c>
      <c r="S27" s="23"/>
    </row>
    <row r="28" spans="2:19" x14ac:dyDescent="0.3">
      <c r="B28" s="440">
        <v>42545</v>
      </c>
      <c r="C28" s="363">
        <v>8088.6</v>
      </c>
      <c r="D28" s="252">
        <f t="shared" si="0"/>
        <v>-2.1987920850739751E-2</v>
      </c>
      <c r="F28" s="440">
        <v>42545</v>
      </c>
      <c r="G28" s="170">
        <v>754.75</v>
      </c>
      <c r="H28" s="252">
        <f t="shared" si="1"/>
        <v>2.8567632208345017E-3</v>
      </c>
      <c r="S28" s="23"/>
    </row>
    <row r="29" spans="2:19" x14ac:dyDescent="0.3">
      <c r="B29" s="440">
        <v>42548</v>
      </c>
      <c r="C29" s="363">
        <v>8094.7</v>
      </c>
      <c r="D29" s="252">
        <f t="shared" si="0"/>
        <v>7.541478129713397E-4</v>
      </c>
      <c r="F29" s="440">
        <v>42548</v>
      </c>
      <c r="G29" s="170">
        <v>773.75</v>
      </c>
      <c r="H29" s="252">
        <f t="shared" si="1"/>
        <v>2.5173898641934311E-2</v>
      </c>
      <c r="S29" s="23"/>
    </row>
    <row r="30" spans="2:19" x14ac:dyDescent="0.3">
      <c r="B30" s="440">
        <v>42549</v>
      </c>
      <c r="C30" s="363">
        <v>8127.85</v>
      </c>
      <c r="D30" s="252">
        <f t="shared" si="0"/>
        <v>4.0952722151532672E-3</v>
      </c>
      <c r="F30" s="440">
        <v>42549</v>
      </c>
      <c r="G30" s="170">
        <v>765.1</v>
      </c>
      <c r="H30" s="252">
        <f t="shared" si="1"/>
        <v>-1.1179321486268101E-2</v>
      </c>
      <c r="S30" s="23"/>
    </row>
    <row r="31" spans="2:19" x14ac:dyDescent="0.3">
      <c r="B31" s="440">
        <v>42550</v>
      </c>
      <c r="C31" s="363">
        <v>8204</v>
      </c>
      <c r="D31" s="252">
        <f t="shared" si="0"/>
        <v>9.369021327903404E-3</v>
      </c>
      <c r="F31" s="440">
        <v>42550</v>
      </c>
      <c r="G31" s="170">
        <v>770.3</v>
      </c>
      <c r="H31" s="252">
        <f t="shared" si="1"/>
        <v>6.7964971899097115E-3</v>
      </c>
      <c r="J31" s="23"/>
      <c r="K31" s="23"/>
      <c r="L31" s="23"/>
      <c r="M31" s="23"/>
      <c r="N31" s="23"/>
      <c r="O31" s="23"/>
      <c r="P31" s="23"/>
      <c r="Q31" s="23"/>
      <c r="R31" s="23"/>
    </row>
    <row r="32" spans="2:19" x14ac:dyDescent="0.3">
      <c r="B32" s="440">
        <v>42551</v>
      </c>
      <c r="C32" s="363">
        <v>8287.75</v>
      </c>
      <c r="D32" s="252">
        <f t="shared" si="0"/>
        <v>1.0208434909800168E-2</v>
      </c>
      <c r="F32" s="440">
        <v>42551</v>
      </c>
      <c r="G32" s="170">
        <v>763.1</v>
      </c>
      <c r="H32" s="252">
        <f t="shared" si="1"/>
        <v>-9.347007659353368E-3</v>
      </c>
    </row>
    <row r="33" spans="2:8" x14ac:dyDescent="0.3">
      <c r="B33" s="440">
        <v>42552</v>
      </c>
      <c r="C33" s="363">
        <v>8328.35</v>
      </c>
      <c r="D33" s="252">
        <f t="shared" si="0"/>
        <v>4.8987964163977882E-3</v>
      </c>
      <c r="F33" s="440">
        <v>42552</v>
      </c>
      <c r="G33" s="170">
        <v>763.35</v>
      </c>
      <c r="H33" s="252">
        <f t="shared" si="1"/>
        <v>3.2761106014933539E-4</v>
      </c>
    </row>
    <row r="34" spans="2:8" x14ac:dyDescent="0.3">
      <c r="B34" s="440">
        <v>42555</v>
      </c>
      <c r="C34" s="363">
        <v>8370.7000000000007</v>
      </c>
      <c r="D34" s="252">
        <f t="shared" si="0"/>
        <v>5.0850408544309555E-3</v>
      </c>
      <c r="F34" s="440">
        <v>42555</v>
      </c>
      <c r="G34" s="170">
        <v>770.8</v>
      </c>
      <c r="H34" s="252">
        <f t="shared" si="1"/>
        <v>9.7596122355405601E-3</v>
      </c>
    </row>
    <row r="35" spans="2:8" x14ac:dyDescent="0.3">
      <c r="B35" s="440">
        <v>42556</v>
      </c>
      <c r="C35" s="363">
        <v>8335.9500000000007</v>
      </c>
      <c r="D35" s="252">
        <f t="shared" si="0"/>
        <v>-4.1513851888133058E-3</v>
      </c>
      <c r="F35" s="440">
        <v>42556</v>
      </c>
      <c r="G35" s="170">
        <v>774.5</v>
      </c>
      <c r="H35" s="252">
        <f t="shared" si="1"/>
        <v>4.800207576543869E-3</v>
      </c>
    </row>
    <row r="36" spans="2:8" x14ac:dyDescent="0.3">
      <c r="B36" s="440">
        <v>42558</v>
      </c>
      <c r="C36" s="363">
        <v>8337.9</v>
      </c>
      <c r="D36" s="252">
        <f t="shared" si="0"/>
        <v>2.3392654706411165E-4</v>
      </c>
      <c r="F36" s="440">
        <v>42558</v>
      </c>
      <c r="G36" s="170">
        <v>778.2</v>
      </c>
      <c r="H36" s="252">
        <f t="shared" si="1"/>
        <v>4.7772756617172618E-3</v>
      </c>
    </row>
    <row r="37" spans="2:8" x14ac:dyDescent="0.3">
      <c r="B37" s="440">
        <v>42559</v>
      </c>
      <c r="C37" s="363">
        <v>8323.2000000000007</v>
      </c>
      <c r="D37" s="252">
        <f t="shared" si="0"/>
        <v>-1.763033857446028E-3</v>
      </c>
      <c r="F37" s="440">
        <v>42559</v>
      </c>
      <c r="G37" s="170">
        <v>777.5</v>
      </c>
      <c r="H37" s="252">
        <f t="shared" si="1"/>
        <v>-8.9951169365209971E-4</v>
      </c>
    </row>
    <row r="38" spans="2:8" x14ac:dyDescent="0.3">
      <c r="B38" s="440">
        <v>42562</v>
      </c>
      <c r="C38" s="363">
        <v>8467.9</v>
      </c>
      <c r="D38" s="252">
        <f t="shared" si="0"/>
        <v>1.7385140330641979E-2</v>
      </c>
      <c r="F38" s="440">
        <v>42562</v>
      </c>
      <c r="G38" s="170">
        <v>789</v>
      </c>
      <c r="H38" s="252">
        <f t="shared" si="1"/>
        <v>1.4790996784565857E-2</v>
      </c>
    </row>
    <row r="39" spans="2:8" x14ac:dyDescent="0.3">
      <c r="B39" s="440">
        <v>42563</v>
      </c>
      <c r="C39" s="363">
        <v>8521.0499999999993</v>
      </c>
      <c r="D39" s="252">
        <f t="shared" si="0"/>
        <v>6.2766447407267556E-3</v>
      </c>
      <c r="F39" s="440">
        <v>42563</v>
      </c>
      <c r="G39" s="170">
        <v>783.05</v>
      </c>
      <c r="H39" s="252">
        <f t="shared" si="1"/>
        <v>-7.541191381495671E-3</v>
      </c>
    </row>
    <row r="40" spans="2:8" x14ac:dyDescent="0.3">
      <c r="B40" s="440">
        <v>42564</v>
      </c>
      <c r="C40" s="363">
        <v>8519.5</v>
      </c>
      <c r="D40" s="252">
        <f t="shared" si="0"/>
        <v>-1.8190246507165941E-4</v>
      </c>
      <c r="F40" s="440">
        <v>42564</v>
      </c>
      <c r="G40" s="170">
        <v>778.55</v>
      </c>
      <c r="H40" s="252">
        <f t="shared" si="1"/>
        <v>-5.7467594661898547E-3</v>
      </c>
    </row>
    <row r="41" spans="2:8" x14ac:dyDescent="0.3">
      <c r="B41" s="440">
        <v>42565</v>
      </c>
      <c r="C41" s="363">
        <v>8565</v>
      </c>
      <c r="D41" s="252">
        <f t="shared" si="0"/>
        <v>5.3406890075708979E-3</v>
      </c>
      <c r="F41" s="440">
        <v>42565</v>
      </c>
      <c r="G41" s="170">
        <v>768.55</v>
      </c>
      <c r="H41" s="252">
        <f t="shared" si="1"/>
        <v>-1.2844390212574663E-2</v>
      </c>
    </row>
    <row r="42" spans="2:8" x14ac:dyDescent="0.3">
      <c r="B42" s="440">
        <v>42566</v>
      </c>
      <c r="C42" s="363">
        <v>8541.4</v>
      </c>
      <c r="D42" s="252">
        <f t="shared" si="0"/>
        <v>-2.7553998832458015E-3</v>
      </c>
      <c r="F42" s="440">
        <v>42566</v>
      </c>
      <c r="G42" s="170">
        <v>770.4</v>
      </c>
      <c r="H42" s="252">
        <f t="shared" si="1"/>
        <v>2.4071303103245789E-3</v>
      </c>
    </row>
    <row r="43" spans="2:8" x14ac:dyDescent="0.3">
      <c r="B43" s="440">
        <v>42569</v>
      </c>
      <c r="C43" s="363">
        <v>8508.7000000000007</v>
      </c>
      <c r="D43" s="252">
        <f t="shared" si="0"/>
        <v>-3.8284122040882496E-3</v>
      </c>
      <c r="F43" s="440">
        <v>42569</v>
      </c>
      <c r="G43" s="170">
        <v>776.7</v>
      </c>
      <c r="H43" s="252">
        <f t="shared" si="1"/>
        <v>8.1775700934580975E-3</v>
      </c>
    </row>
    <row r="44" spans="2:8" x14ac:dyDescent="0.3">
      <c r="B44" s="440">
        <v>42570</v>
      </c>
      <c r="C44" s="363">
        <v>8528.5499999999993</v>
      </c>
      <c r="D44" s="252">
        <f t="shared" si="0"/>
        <v>2.3329063194141852E-3</v>
      </c>
      <c r="F44" s="440">
        <v>42570</v>
      </c>
      <c r="G44" s="170">
        <v>782.4</v>
      </c>
      <c r="H44" s="252">
        <f t="shared" si="1"/>
        <v>7.3387408265739307E-3</v>
      </c>
    </row>
    <row r="45" spans="2:8" x14ac:dyDescent="0.3">
      <c r="B45" s="440">
        <v>42571</v>
      </c>
      <c r="C45" s="363">
        <v>8565.85</v>
      </c>
      <c r="D45" s="252">
        <f t="shared" si="0"/>
        <v>4.3735453271660507E-3</v>
      </c>
      <c r="F45" s="440">
        <v>42571</v>
      </c>
      <c r="G45" s="170">
        <v>797.25</v>
      </c>
      <c r="H45" s="252">
        <f t="shared" si="1"/>
        <v>1.8980061349693322E-2</v>
      </c>
    </row>
    <row r="46" spans="2:8" x14ac:dyDescent="0.3">
      <c r="B46" s="440">
        <v>42572</v>
      </c>
      <c r="C46" s="363">
        <v>8510.1</v>
      </c>
      <c r="D46" s="252">
        <f t="shared" si="0"/>
        <v>-6.5084025519942523E-3</v>
      </c>
      <c r="F46" s="440">
        <v>42572</v>
      </c>
      <c r="G46" s="170">
        <v>794.2</v>
      </c>
      <c r="H46" s="252">
        <f t="shared" si="1"/>
        <v>-3.8256506741924934E-3</v>
      </c>
    </row>
    <row r="47" spans="2:8" x14ac:dyDescent="0.3">
      <c r="B47" s="440">
        <v>42573</v>
      </c>
      <c r="C47" s="363">
        <v>8541.2000000000007</v>
      </c>
      <c r="D47" s="252">
        <f t="shared" si="0"/>
        <v>3.6544811459324755E-3</v>
      </c>
      <c r="F47" s="440">
        <v>42573</v>
      </c>
      <c r="G47" s="170">
        <v>786.6</v>
      </c>
      <c r="H47" s="252">
        <f t="shared" si="1"/>
        <v>-9.5693779904306719E-3</v>
      </c>
    </row>
    <row r="48" spans="2:8" x14ac:dyDescent="0.3">
      <c r="B48" s="440">
        <v>42576</v>
      </c>
      <c r="C48" s="363">
        <v>8635.65</v>
      </c>
      <c r="D48" s="252">
        <f t="shared" si="0"/>
        <v>1.105816512902158E-2</v>
      </c>
      <c r="F48" s="440">
        <v>42576</v>
      </c>
      <c r="G48" s="170">
        <v>804</v>
      </c>
      <c r="H48" s="252">
        <f t="shared" si="1"/>
        <v>2.2120518688024449E-2</v>
      </c>
    </row>
    <row r="49" spans="2:8" x14ac:dyDescent="0.3">
      <c r="B49" s="440">
        <v>42577</v>
      </c>
      <c r="C49" s="363">
        <v>8590.65</v>
      </c>
      <c r="D49" s="252">
        <f t="shared" si="0"/>
        <v>-5.2109569053864213E-3</v>
      </c>
      <c r="F49" s="440">
        <v>42577</v>
      </c>
      <c r="G49" s="170">
        <v>798.4</v>
      </c>
      <c r="H49" s="252">
        <f t="shared" si="1"/>
        <v>-6.9651741293532687E-3</v>
      </c>
    </row>
    <row r="50" spans="2:8" x14ac:dyDescent="0.3">
      <c r="B50" s="440">
        <v>42578</v>
      </c>
      <c r="C50" s="363">
        <v>8615.7999999999993</v>
      </c>
      <c r="D50" s="252">
        <f t="shared" si="0"/>
        <v>2.9276015202575056E-3</v>
      </c>
      <c r="F50" s="440">
        <v>42578</v>
      </c>
      <c r="G50" s="170">
        <v>807.9</v>
      </c>
      <c r="H50" s="252">
        <f t="shared" si="1"/>
        <v>1.1898797595190302E-2</v>
      </c>
    </row>
    <row r="51" spans="2:8" x14ac:dyDescent="0.3">
      <c r="B51" s="440">
        <v>42579</v>
      </c>
      <c r="C51" s="363">
        <v>8666.2999999999993</v>
      </c>
      <c r="D51" s="252">
        <f t="shared" si="0"/>
        <v>5.8613245432810324E-3</v>
      </c>
      <c r="F51" s="440">
        <v>42579</v>
      </c>
      <c r="G51" s="170">
        <v>825.45</v>
      </c>
      <c r="H51" s="252">
        <f t="shared" si="1"/>
        <v>2.1722985518009663E-2</v>
      </c>
    </row>
    <row r="52" spans="2:8" x14ac:dyDescent="0.3">
      <c r="B52" s="440">
        <v>42580</v>
      </c>
      <c r="C52" s="363">
        <v>8638.5</v>
      </c>
      <c r="D52" s="252">
        <f t="shared" si="0"/>
        <v>-3.2078280234931755E-3</v>
      </c>
      <c r="F52" s="440">
        <v>42580</v>
      </c>
      <c r="G52" s="170">
        <v>829.95</v>
      </c>
      <c r="H52" s="252">
        <f t="shared" si="1"/>
        <v>5.4515718698890936E-3</v>
      </c>
    </row>
    <row r="53" spans="2:8" x14ac:dyDescent="0.3">
      <c r="B53" s="440">
        <v>42583</v>
      </c>
      <c r="C53" s="363">
        <v>8636.5499999999993</v>
      </c>
      <c r="D53" s="252">
        <f t="shared" si="0"/>
        <v>-2.2573363431155347E-4</v>
      </c>
      <c r="F53" s="440">
        <v>42583</v>
      </c>
      <c r="G53" s="170">
        <v>835.65</v>
      </c>
      <c r="H53" s="252">
        <f t="shared" si="1"/>
        <v>6.867883607446057E-3</v>
      </c>
    </row>
    <row r="54" spans="2:8" x14ac:dyDescent="0.3">
      <c r="B54" s="440">
        <v>42584</v>
      </c>
      <c r="C54" s="363">
        <v>8622.9</v>
      </c>
      <c r="D54" s="252">
        <f t="shared" si="0"/>
        <v>-1.5804922104312169E-3</v>
      </c>
      <c r="F54" s="440">
        <v>42584</v>
      </c>
      <c r="G54" s="170">
        <v>828.9</v>
      </c>
      <c r="H54" s="252">
        <f t="shared" si="1"/>
        <v>-8.0775444264943319E-3</v>
      </c>
    </row>
    <row r="55" spans="2:8" x14ac:dyDescent="0.3">
      <c r="B55" s="440">
        <v>42585</v>
      </c>
      <c r="C55" s="363">
        <v>8544.85</v>
      </c>
      <c r="D55" s="252">
        <f t="shared" si="0"/>
        <v>-9.0514792007327927E-3</v>
      </c>
      <c r="F55" s="440">
        <v>42585</v>
      </c>
      <c r="G55" s="170">
        <v>839.6</v>
      </c>
      <c r="H55" s="252">
        <f t="shared" si="1"/>
        <v>1.2908674146459242E-2</v>
      </c>
    </row>
    <row r="56" spans="2:8" x14ac:dyDescent="0.3">
      <c r="B56" s="440">
        <v>42586</v>
      </c>
      <c r="C56" s="363">
        <v>8551.1</v>
      </c>
      <c r="D56" s="252">
        <f t="shared" si="0"/>
        <v>7.3143472383940811E-4</v>
      </c>
      <c r="F56" s="440">
        <v>42586</v>
      </c>
      <c r="G56" s="170">
        <v>848.55</v>
      </c>
      <c r="H56" s="252">
        <f t="shared" si="1"/>
        <v>1.0659838018103773E-2</v>
      </c>
    </row>
    <row r="57" spans="2:8" x14ac:dyDescent="0.3">
      <c r="B57" s="440">
        <v>42587</v>
      </c>
      <c r="C57" s="363">
        <v>8683.15</v>
      </c>
      <c r="D57" s="252">
        <f t="shared" si="0"/>
        <v>1.5442457695501011E-2</v>
      </c>
      <c r="F57" s="440">
        <v>42587</v>
      </c>
      <c r="G57" s="170">
        <v>841.9</v>
      </c>
      <c r="H57" s="252">
        <f t="shared" si="1"/>
        <v>-7.8368982381710195E-3</v>
      </c>
    </row>
    <row r="58" spans="2:8" x14ac:dyDescent="0.3">
      <c r="B58" s="440">
        <v>42590</v>
      </c>
      <c r="C58" s="363">
        <v>8711.35</v>
      </c>
      <c r="D58" s="252">
        <f t="shared" si="0"/>
        <v>3.247669336588821E-3</v>
      </c>
      <c r="F58" s="440">
        <v>42590</v>
      </c>
      <c r="G58" s="170">
        <v>832.8</v>
      </c>
      <c r="H58" s="252">
        <f t="shared" si="1"/>
        <v>-1.0808884665637231E-2</v>
      </c>
    </row>
    <row r="59" spans="2:8" x14ac:dyDescent="0.3">
      <c r="B59" s="440">
        <v>42591</v>
      </c>
      <c r="C59" s="363">
        <v>8678.25</v>
      </c>
      <c r="D59" s="252">
        <f t="shared" si="0"/>
        <v>-3.7996406986288145E-3</v>
      </c>
      <c r="F59" s="440">
        <v>42591</v>
      </c>
      <c r="G59" s="170">
        <v>829.35</v>
      </c>
      <c r="H59" s="252">
        <f t="shared" si="1"/>
        <v>-4.1426512968298912E-3</v>
      </c>
    </row>
    <row r="60" spans="2:8" x14ac:dyDescent="0.3">
      <c r="B60" s="440">
        <v>42592</v>
      </c>
      <c r="C60" s="363">
        <v>8575.2999999999993</v>
      </c>
      <c r="D60" s="252">
        <f t="shared" si="0"/>
        <v>-1.1862990810359353E-2</v>
      </c>
      <c r="F60" s="440">
        <v>42592</v>
      </c>
      <c r="G60" s="170">
        <v>817.65</v>
      </c>
      <c r="H60" s="252">
        <f t="shared" si="1"/>
        <v>-1.4107433532284386E-2</v>
      </c>
    </row>
    <row r="61" spans="2:8" x14ac:dyDescent="0.3">
      <c r="B61" s="440">
        <v>42593</v>
      </c>
      <c r="C61" s="363">
        <v>8592.15</v>
      </c>
      <c r="D61" s="252">
        <f t="shared" si="0"/>
        <v>1.9649458327988256E-3</v>
      </c>
      <c r="F61" s="440">
        <v>42593</v>
      </c>
      <c r="G61" s="170">
        <v>808.25</v>
      </c>
      <c r="H61" s="252">
        <f t="shared" si="1"/>
        <v>-1.1496361523879339E-2</v>
      </c>
    </row>
    <row r="62" spans="2:8" x14ac:dyDescent="0.3">
      <c r="B62" s="440">
        <v>42594</v>
      </c>
      <c r="C62" s="363">
        <v>8672.15</v>
      </c>
      <c r="D62" s="252">
        <f t="shared" si="0"/>
        <v>9.3108244153092823E-3</v>
      </c>
      <c r="F62" s="440">
        <v>42594</v>
      </c>
      <c r="G62" s="170">
        <v>800.55</v>
      </c>
      <c r="H62" s="252">
        <f t="shared" si="1"/>
        <v>-9.5267553356016554E-3</v>
      </c>
    </row>
    <row r="63" spans="2:8" x14ac:dyDescent="0.3">
      <c r="B63" s="440">
        <v>42598</v>
      </c>
      <c r="C63" s="363">
        <v>8642.5499999999993</v>
      </c>
      <c r="D63" s="252">
        <f t="shared" si="0"/>
        <v>-3.4132250941232289E-3</v>
      </c>
      <c r="F63" s="440">
        <v>42598</v>
      </c>
      <c r="G63" s="170">
        <v>782.7</v>
      </c>
      <c r="H63" s="252">
        <f t="shared" si="1"/>
        <v>-2.2297170695147028E-2</v>
      </c>
    </row>
    <row r="64" spans="2:8" x14ac:dyDescent="0.3">
      <c r="B64" s="440">
        <v>42599</v>
      </c>
      <c r="C64" s="363">
        <v>8624.0499999999993</v>
      </c>
      <c r="D64" s="252">
        <f t="shared" si="0"/>
        <v>-2.1405719376804688E-3</v>
      </c>
      <c r="F64" s="440">
        <v>42599</v>
      </c>
      <c r="G64" s="170">
        <v>785</v>
      </c>
      <c r="H64" s="252">
        <f t="shared" si="1"/>
        <v>2.9385460585154011E-3</v>
      </c>
    </row>
    <row r="65" spans="2:8" x14ac:dyDescent="0.3">
      <c r="B65" s="440">
        <v>42600</v>
      </c>
      <c r="C65" s="363">
        <v>8673.25</v>
      </c>
      <c r="D65" s="252">
        <f t="shared" si="0"/>
        <v>5.704976200277212E-3</v>
      </c>
      <c r="F65" s="440">
        <v>42600</v>
      </c>
      <c r="G65" s="170">
        <v>788.8</v>
      </c>
      <c r="H65" s="252">
        <f t="shared" si="1"/>
        <v>4.8407643312100568E-3</v>
      </c>
    </row>
    <row r="66" spans="2:8" x14ac:dyDescent="0.3">
      <c r="B66" s="440">
        <v>42601</v>
      </c>
      <c r="C66" s="363">
        <v>8666.9</v>
      </c>
      <c r="D66" s="252">
        <f t="shared" si="0"/>
        <v>-7.3213616579714813E-4</v>
      </c>
      <c r="F66" s="440">
        <v>42601</v>
      </c>
      <c r="G66" s="170">
        <v>783.8</v>
      </c>
      <c r="H66" s="252">
        <f t="shared" si="1"/>
        <v>-6.338742393509178E-3</v>
      </c>
    </row>
    <row r="67" spans="2:8" x14ac:dyDescent="0.3">
      <c r="B67" s="440">
        <v>42604</v>
      </c>
      <c r="C67" s="363">
        <v>8629.15</v>
      </c>
      <c r="D67" s="252">
        <f t="shared" si="0"/>
        <v>-4.3556519632164115E-3</v>
      </c>
      <c r="F67" s="440">
        <v>42604</v>
      </c>
      <c r="G67" s="170">
        <v>770.1</v>
      </c>
      <c r="H67" s="252">
        <f t="shared" si="1"/>
        <v>-1.7478948711405873E-2</v>
      </c>
    </row>
    <row r="68" spans="2:8" x14ac:dyDescent="0.3">
      <c r="B68" s="440">
        <v>42605</v>
      </c>
      <c r="C68" s="363">
        <v>8632.6</v>
      </c>
      <c r="D68" s="252">
        <f t="shared" si="0"/>
        <v>3.9980762879321396E-4</v>
      </c>
      <c r="F68" s="440">
        <v>42605</v>
      </c>
      <c r="G68" s="170">
        <v>762.35</v>
      </c>
      <c r="H68" s="252">
        <f t="shared" si="1"/>
        <v>-1.0063628100246746E-2</v>
      </c>
    </row>
    <row r="69" spans="2:8" x14ac:dyDescent="0.3">
      <c r="B69" s="440">
        <v>42606</v>
      </c>
      <c r="C69" s="363">
        <v>8650.2999999999993</v>
      </c>
      <c r="D69" s="252">
        <f t="shared" si="0"/>
        <v>2.0503672126588324E-3</v>
      </c>
      <c r="F69" s="440">
        <v>42606</v>
      </c>
      <c r="G69" s="170">
        <v>769.7</v>
      </c>
      <c r="H69" s="252">
        <f t="shared" si="1"/>
        <v>9.6412408998491905E-3</v>
      </c>
    </row>
    <row r="70" spans="2:8" x14ac:dyDescent="0.3">
      <c r="B70" s="440">
        <v>42607</v>
      </c>
      <c r="C70" s="363">
        <v>8592.2000000000007</v>
      </c>
      <c r="D70" s="252">
        <f t="shared" si="0"/>
        <v>-6.7165300625410262E-3</v>
      </c>
      <c r="F70" s="440">
        <v>42607</v>
      </c>
      <c r="G70" s="170">
        <v>764.95</v>
      </c>
      <c r="H70" s="252">
        <f t="shared" si="1"/>
        <v>-6.1712355463167112E-3</v>
      </c>
    </row>
    <row r="71" spans="2:8" x14ac:dyDescent="0.3">
      <c r="B71" s="440">
        <v>42608</v>
      </c>
      <c r="C71" s="363">
        <v>8572.5499999999993</v>
      </c>
      <c r="D71" s="252">
        <f t="shared" si="0"/>
        <v>-2.2869579385956795E-3</v>
      </c>
      <c r="F71" s="440">
        <v>42608</v>
      </c>
      <c r="G71" s="170">
        <v>755.25</v>
      </c>
      <c r="H71" s="252">
        <f t="shared" si="1"/>
        <v>-1.2680567357343686E-2</v>
      </c>
    </row>
    <row r="72" spans="2:8" x14ac:dyDescent="0.3">
      <c r="B72" s="440">
        <v>42611</v>
      </c>
      <c r="C72" s="363">
        <v>8607.4500000000007</v>
      </c>
      <c r="D72" s="252">
        <f t="shared" si="0"/>
        <v>4.0711340266317286E-3</v>
      </c>
      <c r="F72" s="440">
        <v>42611</v>
      </c>
      <c r="G72" s="170">
        <v>759.3</v>
      </c>
      <c r="H72" s="252">
        <f t="shared" si="1"/>
        <v>5.3624627606752018E-3</v>
      </c>
    </row>
    <row r="73" spans="2:8" x14ac:dyDescent="0.3">
      <c r="B73" s="440">
        <v>42612</v>
      </c>
      <c r="C73" s="363">
        <v>8744.35</v>
      </c>
      <c r="D73" s="252">
        <f t="shared" si="0"/>
        <v>1.5904826632742619E-2</v>
      </c>
      <c r="F73" s="440">
        <v>42612</v>
      </c>
      <c r="G73" s="170">
        <v>774.85</v>
      </c>
      <c r="H73" s="252">
        <f t="shared" si="1"/>
        <v>2.0479388910839003E-2</v>
      </c>
    </row>
    <row r="74" spans="2:8" x14ac:dyDescent="0.3">
      <c r="B74" s="440">
        <v>42613</v>
      </c>
      <c r="C74" s="363">
        <v>8786.2000000000007</v>
      </c>
      <c r="D74" s="252">
        <f t="shared" si="0"/>
        <v>4.7859474975269212E-3</v>
      </c>
      <c r="F74" s="440">
        <v>42613</v>
      </c>
      <c r="G74" s="170">
        <v>775.65</v>
      </c>
      <c r="H74" s="252">
        <f t="shared" si="1"/>
        <v>1.032457895076444E-3</v>
      </c>
    </row>
    <row r="75" spans="2:8" x14ac:dyDescent="0.3">
      <c r="B75" s="440">
        <v>42614</v>
      </c>
      <c r="C75" s="363">
        <v>8774.65</v>
      </c>
      <c r="D75" s="252">
        <f t="shared" ref="D75:D138" si="2">C75/C74-1</f>
        <v>-1.3145614713984122E-3</v>
      </c>
      <c r="F75" s="440">
        <v>42614</v>
      </c>
      <c r="G75" s="170">
        <v>770.05</v>
      </c>
      <c r="H75" s="252">
        <f t="shared" ref="H75:H138" si="3">G75/G74-1</f>
        <v>-7.2197511764326983E-3</v>
      </c>
    </row>
    <row r="76" spans="2:8" x14ac:dyDescent="0.3">
      <c r="B76" s="440">
        <v>42615</v>
      </c>
      <c r="C76" s="363">
        <v>8809.65</v>
      </c>
      <c r="D76" s="252">
        <f t="shared" si="2"/>
        <v>3.9887630845674149E-3</v>
      </c>
      <c r="F76" s="440">
        <v>42615</v>
      </c>
      <c r="G76" s="170">
        <v>782.35</v>
      </c>
      <c r="H76" s="252">
        <f t="shared" si="3"/>
        <v>1.5972988766963292E-2</v>
      </c>
    </row>
    <row r="77" spans="2:8" x14ac:dyDescent="0.3">
      <c r="B77" s="440">
        <v>42619</v>
      </c>
      <c r="C77" s="363">
        <v>8943</v>
      </c>
      <c r="D77" s="252">
        <f t="shared" si="2"/>
        <v>1.5136810202448503E-2</v>
      </c>
      <c r="F77" s="440">
        <v>42619</v>
      </c>
      <c r="G77" s="170">
        <v>782.65</v>
      </c>
      <c r="H77" s="252">
        <f t="shared" si="3"/>
        <v>3.8346008819578614E-4</v>
      </c>
    </row>
    <row r="78" spans="2:8" x14ac:dyDescent="0.3">
      <c r="B78" s="440">
        <v>42620</v>
      </c>
      <c r="C78" s="363">
        <v>8917.9500000000007</v>
      </c>
      <c r="D78" s="252">
        <f t="shared" si="2"/>
        <v>-2.801073465280024E-3</v>
      </c>
      <c r="F78" s="440">
        <v>42620</v>
      </c>
      <c r="G78" s="170">
        <v>779.25</v>
      </c>
      <c r="H78" s="252">
        <f t="shared" si="3"/>
        <v>-4.3442151664216944E-3</v>
      </c>
    </row>
    <row r="79" spans="2:8" x14ac:dyDescent="0.3">
      <c r="B79" s="440">
        <v>42621</v>
      </c>
      <c r="C79" s="363">
        <v>8952.5</v>
      </c>
      <c r="D79" s="252">
        <f t="shared" si="2"/>
        <v>3.8742087587393392E-3</v>
      </c>
      <c r="F79" s="440">
        <v>42621</v>
      </c>
      <c r="G79" s="170">
        <v>808.05</v>
      </c>
      <c r="H79" s="252">
        <f t="shared" si="3"/>
        <v>3.6958614051973093E-2</v>
      </c>
    </row>
    <row r="80" spans="2:8" x14ac:dyDescent="0.3">
      <c r="B80" s="440">
        <v>42622</v>
      </c>
      <c r="C80" s="363">
        <v>8866.7000000000007</v>
      </c>
      <c r="D80" s="252">
        <f t="shared" si="2"/>
        <v>-9.5839151075117757E-3</v>
      </c>
      <c r="F80" s="440">
        <v>42622</v>
      </c>
      <c r="G80" s="170">
        <v>797.45</v>
      </c>
      <c r="H80" s="252">
        <f t="shared" si="3"/>
        <v>-1.3118000123754636E-2</v>
      </c>
    </row>
    <row r="81" spans="2:8" x14ac:dyDescent="0.3">
      <c r="B81" s="440">
        <v>42625</v>
      </c>
      <c r="C81" s="363">
        <v>8715.6</v>
      </c>
      <c r="D81" s="252">
        <f t="shared" si="2"/>
        <v>-1.7041289318461272E-2</v>
      </c>
      <c r="F81" s="440">
        <v>42625</v>
      </c>
      <c r="G81" s="170">
        <v>787.05</v>
      </c>
      <c r="H81" s="252">
        <f t="shared" si="3"/>
        <v>-1.3041570004389103E-2</v>
      </c>
    </row>
    <row r="82" spans="2:8" x14ac:dyDescent="0.3">
      <c r="B82" s="440">
        <v>42627</v>
      </c>
      <c r="C82" s="363">
        <v>8726.6</v>
      </c>
      <c r="D82" s="252">
        <f t="shared" si="2"/>
        <v>1.2621047317453726E-3</v>
      </c>
      <c r="F82" s="440">
        <v>42627</v>
      </c>
      <c r="G82" s="170">
        <v>779.85</v>
      </c>
      <c r="H82" s="252">
        <f t="shared" si="3"/>
        <v>-9.1480846197826704E-3</v>
      </c>
    </row>
    <row r="83" spans="2:8" x14ac:dyDescent="0.3">
      <c r="B83" s="440">
        <v>42628</v>
      </c>
      <c r="C83" s="363">
        <v>8742.5499999999993</v>
      </c>
      <c r="D83" s="252">
        <f t="shared" si="2"/>
        <v>1.8277450553478847E-3</v>
      </c>
      <c r="F83" s="440">
        <v>42628</v>
      </c>
      <c r="G83" s="170">
        <v>786.35</v>
      </c>
      <c r="H83" s="252">
        <f t="shared" si="3"/>
        <v>8.3349362056805987E-3</v>
      </c>
    </row>
    <row r="84" spans="2:8" x14ac:dyDescent="0.3">
      <c r="B84" s="440">
        <v>42629</v>
      </c>
      <c r="C84" s="363">
        <v>8779.85</v>
      </c>
      <c r="D84" s="252">
        <f t="shared" si="2"/>
        <v>4.2664897541335733E-3</v>
      </c>
      <c r="F84" s="440">
        <v>42629</v>
      </c>
      <c r="G84" s="170">
        <v>783.8</v>
      </c>
      <c r="H84" s="252">
        <f t="shared" si="3"/>
        <v>-3.2428308005342243E-3</v>
      </c>
    </row>
    <row r="85" spans="2:8" x14ac:dyDescent="0.3">
      <c r="B85" s="440">
        <v>42632</v>
      </c>
      <c r="C85" s="363">
        <v>8808.4</v>
      </c>
      <c r="D85" s="252">
        <f t="shared" si="2"/>
        <v>3.2517639823002042E-3</v>
      </c>
      <c r="F85" s="440">
        <v>42632</v>
      </c>
      <c r="G85" s="170">
        <v>782.5</v>
      </c>
      <c r="H85" s="252">
        <f t="shared" si="3"/>
        <v>-1.6585863740750106E-3</v>
      </c>
    </row>
    <row r="86" spans="2:8" x14ac:dyDescent="0.3">
      <c r="B86" s="440">
        <v>42633</v>
      </c>
      <c r="C86" s="363">
        <v>8775.9</v>
      </c>
      <c r="D86" s="252">
        <f t="shared" si="2"/>
        <v>-3.6896598701239292E-3</v>
      </c>
      <c r="F86" s="440">
        <v>42633</v>
      </c>
      <c r="G86" s="170">
        <v>778.75</v>
      </c>
      <c r="H86" s="252">
        <f t="shared" si="3"/>
        <v>-4.7923322683706138E-3</v>
      </c>
    </row>
    <row r="87" spans="2:8" x14ac:dyDescent="0.3">
      <c r="B87" s="440">
        <v>42634</v>
      </c>
      <c r="C87" s="363">
        <v>8777.15</v>
      </c>
      <c r="D87" s="252">
        <f t="shared" si="2"/>
        <v>1.4243553367743189E-4</v>
      </c>
      <c r="F87" s="440">
        <v>42634</v>
      </c>
      <c r="G87" s="170">
        <v>778.85</v>
      </c>
      <c r="H87" s="252">
        <f t="shared" si="3"/>
        <v>1.2841091492776791E-4</v>
      </c>
    </row>
    <row r="88" spans="2:8" x14ac:dyDescent="0.3">
      <c r="B88" s="440">
        <v>42635</v>
      </c>
      <c r="C88" s="363">
        <v>8867.4500000000007</v>
      </c>
      <c r="D88" s="252">
        <f t="shared" si="2"/>
        <v>1.0288077565041132E-2</v>
      </c>
      <c r="F88" s="440">
        <v>42635</v>
      </c>
      <c r="G88" s="170">
        <v>786.75</v>
      </c>
      <c r="H88" s="252">
        <f t="shared" si="3"/>
        <v>1.0143159786865308E-2</v>
      </c>
    </row>
    <row r="89" spans="2:8" x14ac:dyDescent="0.3">
      <c r="B89" s="440">
        <v>42636</v>
      </c>
      <c r="C89" s="363">
        <v>8831.5499999999993</v>
      </c>
      <c r="D89" s="252">
        <f t="shared" si="2"/>
        <v>-4.0485145109362408E-3</v>
      </c>
      <c r="F89" s="440">
        <v>42636</v>
      </c>
      <c r="G89" s="170">
        <v>780.05</v>
      </c>
      <c r="H89" s="252">
        <f t="shared" si="3"/>
        <v>-8.5160470289165069E-3</v>
      </c>
    </row>
    <row r="90" spans="2:8" x14ac:dyDescent="0.3">
      <c r="B90" s="440">
        <v>42639</v>
      </c>
      <c r="C90" s="363">
        <v>8723.0499999999993</v>
      </c>
      <c r="D90" s="252">
        <f t="shared" si="2"/>
        <v>-1.2285499147941192E-2</v>
      </c>
      <c r="F90" s="440">
        <v>42639</v>
      </c>
      <c r="G90" s="170">
        <v>766.15</v>
      </c>
      <c r="H90" s="252">
        <f t="shared" si="3"/>
        <v>-1.7819370553169622E-2</v>
      </c>
    </row>
    <row r="91" spans="2:8" x14ac:dyDescent="0.3">
      <c r="B91" s="440">
        <v>42640</v>
      </c>
      <c r="C91" s="363">
        <v>8706.4</v>
      </c>
      <c r="D91" s="252">
        <f t="shared" si="2"/>
        <v>-1.9087360498907247E-3</v>
      </c>
      <c r="F91" s="440">
        <v>42640</v>
      </c>
      <c r="G91" s="170">
        <v>770.15</v>
      </c>
      <c r="H91" s="252">
        <f t="shared" si="3"/>
        <v>5.2209097435227392E-3</v>
      </c>
    </row>
    <row r="92" spans="2:8" x14ac:dyDescent="0.3">
      <c r="B92" s="440">
        <v>42641</v>
      </c>
      <c r="C92" s="363">
        <v>8745.15</v>
      </c>
      <c r="D92" s="252">
        <f t="shared" si="2"/>
        <v>4.4507488743912305E-3</v>
      </c>
      <c r="F92" s="440">
        <v>42641</v>
      </c>
      <c r="G92" s="170">
        <v>764.8</v>
      </c>
      <c r="H92" s="252">
        <f t="shared" si="3"/>
        <v>-6.9466986950594833E-3</v>
      </c>
    </row>
    <row r="93" spans="2:8" x14ac:dyDescent="0.3">
      <c r="B93" s="440">
        <v>42642</v>
      </c>
      <c r="C93" s="363">
        <v>8591.25</v>
      </c>
      <c r="D93" s="252">
        <f t="shared" si="2"/>
        <v>-1.7598325929229275E-2</v>
      </c>
      <c r="F93" s="440">
        <v>42642</v>
      </c>
      <c r="G93" s="170">
        <v>735.85</v>
      </c>
      <c r="H93" s="252">
        <f t="shared" si="3"/>
        <v>-3.7853033472803221E-2</v>
      </c>
    </row>
    <row r="94" spans="2:8" x14ac:dyDescent="0.3">
      <c r="B94" s="440">
        <v>42643</v>
      </c>
      <c r="C94" s="363">
        <v>8611.15</v>
      </c>
      <c r="D94" s="252">
        <f t="shared" si="2"/>
        <v>2.3163101993306512E-3</v>
      </c>
      <c r="F94" s="440">
        <v>42643</v>
      </c>
      <c r="G94" s="170">
        <v>742.7</v>
      </c>
      <c r="H94" s="252">
        <f t="shared" si="3"/>
        <v>9.3089624244071523E-3</v>
      </c>
    </row>
    <row r="95" spans="2:8" x14ac:dyDescent="0.3">
      <c r="B95" s="440">
        <v>42646</v>
      </c>
      <c r="C95" s="363">
        <v>8738.1</v>
      </c>
      <c r="D95" s="252">
        <f t="shared" si="2"/>
        <v>1.4742514066065526E-2</v>
      </c>
      <c r="F95" s="440">
        <v>42646</v>
      </c>
      <c r="G95" s="170">
        <v>757.05</v>
      </c>
      <c r="H95" s="252">
        <f t="shared" si="3"/>
        <v>1.9321394910461809E-2</v>
      </c>
    </row>
    <row r="96" spans="2:8" x14ac:dyDescent="0.3">
      <c r="B96" s="440">
        <v>42647</v>
      </c>
      <c r="C96" s="363">
        <v>8769.15</v>
      </c>
      <c r="D96" s="252">
        <f t="shared" si="2"/>
        <v>3.5534040580904591E-3</v>
      </c>
      <c r="F96" s="440">
        <v>42647</v>
      </c>
      <c r="G96" s="170">
        <v>764.3</v>
      </c>
      <c r="H96" s="252">
        <f t="shared" si="3"/>
        <v>9.5766461924575719E-3</v>
      </c>
    </row>
    <row r="97" spans="2:8" x14ac:dyDescent="0.3">
      <c r="B97" s="440">
        <v>42648</v>
      </c>
      <c r="C97" s="363">
        <v>8743.9500000000007</v>
      </c>
      <c r="D97" s="252">
        <f t="shared" si="2"/>
        <v>-2.8737106789140654E-3</v>
      </c>
      <c r="F97" s="440">
        <v>42648</v>
      </c>
      <c r="G97" s="170">
        <v>759.45</v>
      </c>
      <c r="H97" s="252">
        <f t="shared" si="3"/>
        <v>-6.3456757817609288E-3</v>
      </c>
    </row>
    <row r="98" spans="2:8" x14ac:dyDescent="0.3">
      <c r="B98" s="440">
        <v>42649</v>
      </c>
      <c r="C98" s="363">
        <v>8709.5499999999993</v>
      </c>
      <c r="D98" s="252">
        <f t="shared" si="2"/>
        <v>-3.9341487542816633E-3</v>
      </c>
      <c r="F98" s="440">
        <v>42649</v>
      </c>
      <c r="G98" s="170">
        <v>752.9</v>
      </c>
      <c r="H98" s="252">
        <f t="shared" si="3"/>
        <v>-8.6246625847653524E-3</v>
      </c>
    </row>
    <row r="99" spans="2:8" x14ac:dyDescent="0.3">
      <c r="B99" s="440">
        <v>42650</v>
      </c>
      <c r="C99" s="363">
        <v>8697.6</v>
      </c>
      <c r="D99" s="252">
        <f t="shared" si="2"/>
        <v>-1.3720571097242118E-3</v>
      </c>
      <c r="F99" s="440">
        <v>42650</v>
      </c>
      <c r="G99" s="170">
        <v>751.2</v>
      </c>
      <c r="H99" s="252">
        <f t="shared" si="3"/>
        <v>-2.2579359808738708E-3</v>
      </c>
    </row>
    <row r="100" spans="2:8" x14ac:dyDescent="0.3">
      <c r="B100" s="440">
        <v>42653</v>
      </c>
      <c r="C100" s="363">
        <v>8708.7999999999993</v>
      </c>
      <c r="D100" s="252">
        <f t="shared" si="2"/>
        <v>1.2877115526119809E-3</v>
      </c>
      <c r="F100" s="440">
        <v>42653</v>
      </c>
      <c r="G100" s="170">
        <v>755.45</v>
      </c>
      <c r="H100" s="252">
        <f t="shared" si="3"/>
        <v>5.6576144834930009E-3</v>
      </c>
    </row>
    <row r="101" spans="2:8" x14ac:dyDescent="0.3">
      <c r="B101" s="440">
        <v>42656</v>
      </c>
      <c r="C101" s="363">
        <v>8573.35</v>
      </c>
      <c r="D101" s="252">
        <f t="shared" si="2"/>
        <v>-1.5553233510931297E-2</v>
      </c>
      <c r="F101" s="440">
        <v>42656</v>
      </c>
      <c r="G101" s="170">
        <v>739.7</v>
      </c>
      <c r="H101" s="252">
        <f t="shared" si="3"/>
        <v>-2.0848500893507205E-2</v>
      </c>
    </row>
    <row r="102" spans="2:8" x14ac:dyDescent="0.3">
      <c r="B102" s="440">
        <v>42657</v>
      </c>
      <c r="C102" s="363">
        <v>8583.4</v>
      </c>
      <c r="D102" s="252">
        <f t="shared" si="2"/>
        <v>1.1722372234890255E-3</v>
      </c>
      <c r="F102" s="440">
        <v>42657</v>
      </c>
      <c r="G102" s="170">
        <v>745.5</v>
      </c>
      <c r="H102" s="252">
        <f t="shared" si="3"/>
        <v>7.8410166283628957E-3</v>
      </c>
    </row>
    <row r="103" spans="2:8" x14ac:dyDescent="0.3">
      <c r="B103" s="440">
        <v>42660</v>
      </c>
      <c r="C103" s="363">
        <v>8520.4</v>
      </c>
      <c r="D103" s="252">
        <f t="shared" si="2"/>
        <v>-7.3397488174848924E-3</v>
      </c>
      <c r="F103" s="440">
        <v>42660</v>
      </c>
      <c r="G103" s="170">
        <v>733.95</v>
      </c>
      <c r="H103" s="252">
        <f t="shared" si="3"/>
        <v>-1.5492957746478853E-2</v>
      </c>
    </row>
    <row r="104" spans="2:8" x14ac:dyDescent="0.3">
      <c r="B104" s="440">
        <v>42661</v>
      </c>
      <c r="C104" s="363">
        <v>8677.9</v>
      </c>
      <c r="D104" s="252">
        <f t="shared" si="2"/>
        <v>1.8485047650345088E-2</v>
      </c>
      <c r="F104" s="440">
        <v>42661</v>
      </c>
      <c r="G104" s="170">
        <v>743.5</v>
      </c>
      <c r="H104" s="252">
        <f t="shared" si="3"/>
        <v>1.3011785543974419E-2</v>
      </c>
    </row>
    <row r="105" spans="2:8" x14ac:dyDescent="0.3">
      <c r="B105" s="440">
        <v>42662</v>
      </c>
      <c r="C105" s="363">
        <v>8659.1</v>
      </c>
      <c r="D105" s="252">
        <f t="shared" si="2"/>
        <v>-2.1664227520482582E-3</v>
      </c>
      <c r="F105" s="440">
        <v>42662</v>
      </c>
      <c r="G105" s="170">
        <v>750.25</v>
      </c>
      <c r="H105" s="252">
        <f t="shared" si="3"/>
        <v>9.0786819098855887E-3</v>
      </c>
    </row>
    <row r="106" spans="2:8" x14ac:dyDescent="0.3">
      <c r="B106" s="440">
        <v>42663</v>
      </c>
      <c r="C106" s="363">
        <v>8699.4</v>
      </c>
      <c r="D106" s="252">
        <f t="shared" si="2"/>
        <v>4.654063355314042E-3</v>
      </c>
      <c r="F106" s="440">
        <v>42663</v>
      </c>
      <c r="G106" s="170">
        <v>745.5</v>
      </c>
      <c r="H106" s="252">
        <f t="shared" si="3"/>
        <v>-6.3312229256914376E-3</v>
      </c>
    </row>
    <row r="107" spans="2:8" x14ac:dyDescent="0.3">
      <c r="B107" s="440">
        <v>42664</v>
      </c>
      <c r="C107" s="363">
        <v>8693.0499999999993</v>
      </c>
      <c r="D107" s="252">
        <f t="shared" si="2"/>
        <v>-7.2993539784360628E-4</v>
      </c>
      <c r="F107" s="440">
        <v>42664</v>
      </c>
      <c r="G107" s="170">
        <v>747.75</v>
      </c>
      <c r="H107" s="252">
        <f t="shared" si="3"/>
        <v>3.0181086519114331E-3</v>
      </c>
    </row>
    <row r="108" spans="2:8" x14ac:dyDescent="0.3">
      <c r="B108" s="440">
        <v>42667</v>
      </c>
      <c r="C108" s="363">
        <v>8708.9500000000007</v>
      </c>
      <c r="D108" s="252">
        <f t="shared" si="2"/>
        <v>1.8290473424174003E-3</v>
      </c>
      <c r="F108" s="440">
        <v>42667</v>
      </c>
      <c r="G108" s="170">
        <v>747.15</v>
      </c>
      <c r="H108" s="252">
        <f t="shared" si="3"/>
        <v>-8.0240722166502465E-4</v>
      </c>
    </row>
    <row r="109" spans="2:8" x14ac:dyDescent="0.3">
      <c r="B109" s="440">
        <v>42668</v>
      </c>
      <c r="C109" s="363">
        <v>8691.2999999999993</v>
      </c>
      <c r="D109" s="252">
        <f t="shared" si="2"/>
        <v>-2.0266507443493786E-3</v>
      </c>
      <c r="F109" s="440">
        <v>42668</v>
      </c>
      <c r="G109" s="170">
        <v>747.4</v>
      </c>
      <c r="H109" s="252">
        <f t="shared" si="3"/>
        <v>3.346048316936745E-4</v>
      </c>
    </row>
    <row r="110" spans="2:8" x14ac:dyDescent="0.3">
      <c r="B110" s="440">
        <v>42669</v>
      </c>
      <c r="C110" s="363">
        <v>8615.25</v>
      </c>
      <c r="D110" s="252">
        <f t="shared" si="2"/>
        <v>-8.750129439784482E-3</v>
      </c>
      <c r="F110" s="440">
        <v>42669</v>
      </c>
      <c r="G110" s="170">
        <v>738.7</v>
      </c>
      <c r="H110" s="252">
        <f t="shared" si="3"/>
        <v>-1.1640353224511513E-2</v>
      </c>
    </row>
    <row r="111" spans="2:8" x14ac:dyDescent="0.3">
      <c r="B111" s="440">
        <v>42670</v>
      </c>
      <c r="C111" s="363">
        <v>8615.25</v>
      </c>
      <c r="D111" s="252">
        <f t="shared" si="2"/>
        <v>0</v>
      </c>
      <c r="F111" s="440">
        <v>42670</v>
      </c>
      <c r="G111" s="170">
        <v>746.9</v>
      </c>
      <c r="H111" s="252">
        <f t="shared" si="3"/>
        <v>1.1100582103695578E-2</v>
      </c>
    </row>
    <row r="112" spans="2:8" x14ac:dyDescent="0.3">
      <c r="B112" s="440">
        <v>42671</v>
      </c>
      <c r="C112" s="363">
        <v>8638</v>
      </c>
      <c r="D112" s="252">
        <f t="shared" si="2"/>
        <v>2.6406662604103737E-3</v>
      </c>
      <c r="F112" s="440">
        <v>42671</v>
      </c>
      <c r="G112" s="170">
        <v>743.4</v>
      </c>
      <c r="H112" s="252">
        <f t="shared" si="3"/>
        <v>-4.6860356138707093E-3</v>
      </c>
    </row>
    <row r="113" spans="2:8" x14ac:dyDescent="0.3">
      <c r="B113" s="440">
        <v>42673</v>
      </c>
      <c r="C113" s="363">
        <v>8625.7000000000007</v>
      </c>
      <c r="D113" s="252">
        <f t="shared" si="2"/>
        <v>-1.4239407270200122E-3</v>
      </c>
      <c r="F113" s="440">
        <v>42673</v>
      </c>
      <c r="G113" s="170">
        <v>748.1</v>
      </c>
      <c r="H113" s="252">
        <f t="shared" si="3"/>
        <v>6.322302932472379E-3</v>
      </c>
    </row>
    <row r="114" spans="2:8" x14ac:dyDescent="0.3">
      <c r="B114" s="440">
        <v>42675</v>
      </c>
      <c r="C114" s="363">
        <v>8626.25</v>
      </c>
      <c r="D114" s="252">
        <f t="shared" si="2"/>
        <v>6.3762940978540072E-5</v>
      </c>
      <c r="F114" s="440">
        <v>42675</v>
      </c>
      <c r="G114" s="170">
        <v>733.75</v>
      </c>
      <c r="H114" s="252">
        <f t="shared" si="3"/>
        <v>-1.9181927549792865E-2</v>
      </c>
    </row>
    <row r="115" spans="2:8" x14ac:dyDescent="0.3">
      <c r="B115" s="440">
        <v>42676</v>
      </c>
      <c r="C115" s="363">
        <v>8514</v>
      </c>
      <c r="D115" s="252">
        <f t="shared" si="2"/>
        <v>-1.3012606868569754E-2</v>
      </c>
      <c r="F115" s="440">
        <v>42676</v>
      </c>
      <c r="G115" s="170">
        <v>714.05</v>
      </c>
      <c r="H115" s="252">
        <f t="shared" si="3"/>
        <v>-2.6848381601362936E-2</v>
      </c>
    </row>
    <row r="116" spans="2:8" x14ac:dyDescent="0.3">
      <c r="B116" s="440">
        <v>42677</v>
      </c>
      <c r="C116" s="363">
        <v>8484.9500000000007</v>
      </c>
      <c r="D116" s="252">
        <f t="shared" si="2"/>
        <v>-3.4120272492365045E-3</v>
      </c>
      <c r="F116" s="440">
        <v>42677</v>
      </c>
      <c r="G116" s="170">
        <v>703.65</v>
      </c>
      <c r="H116" s="252">
        <f t="shared" si="3"/>
        <v>-1.4564806386107354E-2</v>
      </c>
    </row>
    <row r="117" spans="2:8" x14ac:dyDescent="0.3">
      <c r="B117" s="440">
        <v>42678</v>
      </c>
      <c r="C117" s="363">
        <v>8433.75</v>
      </c>
      <c r="D117" s="252">
        <f t="shared" si="2"/>
        <v>-6.0342135192311686E-3</v>
      </c>
      <c r="F117" s="440">
        <v>42678</v>
      </c>
      <c r="G117" s="170">
        <v>651.5</v>
      </c>
      <c r="H117" s="252">
        <f t="shared" si="3"/>
        <v>-7.4113550770979808E-2</v>
      </c>
    </row>
    <row r="118" spans="2:8" x14ac:dyDescent="0.3">
      <c r="B118" s="440">
        <v>42681</v>
      </c>
      <c r="C118" s="363">
        <v>8497.0499999999993</v>
      </c>
      <c r="D118" s="252">
        <f t="shared" si="2"/>
        <v>7.5055580257892274E-3</v>
      </c>
      <c r="F118" s="440">
        <v>42681</v>
      </c>
      <c r="G118" s="170">
        <v>654.9</v>
      </c>
      <c r="H118" s="252">
        <f t="shared" si="3"/>
        <v>5.2187260168841121E-3</v>
      </c>
    </row>
    <row r="119" spans="2:8" x14ac:dyDescent="0.3">
      <c r="B119" s="440">
        <v>42682</v>
      </c>
      <c r="C119" s="363">
        <v>8543.5499999999993</v>
      </c>
      <c r="D119" s="252">
        <f t="shared" si="2"/>
        <v>5.4724875103713266E-3</v>
      </c>
      <c r="F119" s="440">
        <v>42682</v>
      </c>
      <c r="G119" s="170">
        <v>635.4</v>
      </c>
      <c r="H119" s="252">
        <f t="shared" si="3"/>
        <v>-2.9775538250114475E-2</v>
      </c>
    </row>
    <row r="120" spans="2:8" x14ac:dyDescent="0.3">
      <c r="B120" s="440">
        <v>42683</v>
      </c>
      <c r="C120" s="363">
        <v>8432</v>
      </c>
      <c r="D120" s="252">
        <f t="shared" si="2"/>
        <v>-1.3056633366691717E-2</v>
      </c>
      <c r="F120" s="440">
        <v>42683</v>
      </c>
      <c r="G120" s="170">
        <v>660.75</v>
      </c>
      <c r="H120" s="252">
        <f t="shared" si="3"/>
        <v>3.9896128423040578E-2</v>
      </c>
    </row>
    <row r="121" spans="2:8" x14ac:dyDescent="0.3">
      <c r="B121" s="440">
        <v>42684</v>
      </c>
      <c r="C121" s="363">
        <v>8525.75</v>
      </c>
      <c r="D121" s="252">
        <f t="shared" si="2"/>
        <v>1.1118358633776193E-2</v>
      </c>
      <c r="F121" s="440">
        <v>42684</v>
      </c>
      <c r="G121" s="170">
        <v>666.2</v>
      </c>
      <c r="H121" s="252">
        <f t="shared" si="3"/>
        <v>8.2482027998487251E-3</v>
      </c>
    </row>
    <row r="122" spans="2:8" x14ac:dyDescent="0.3">
      <c r="B122" s="440">
        <v>42685</v>
      </c>
      <c r="C122" s="363">
        <v>8296.2999999999993</v>
      </c>
      <c r="D122" s="252">
        <f t="shared" si="2"/>
        <v>-2.6912588335337162E-2</v>
      </c>
      <c r="F122" s="440">
        <v>42685</v>
      </c>
      <c r="G122" s="170">
        <v>688</v>
      </c>
      <c r="H122" s="252">
        <f t="shared" si="3"/>
        <v>3.2722906034223787E-2</v>
      </c>
    </row>
    <row r="123" spans="2:8" x14ac:dyDescent="0.3">
      <c r="B123" s="440">
        <v>42689</v>
      </c>
      <c r="C123" s="363">
        <v>8108.45</v>
      </c>
      <c r="D123" s="252">
        <f t="shared" si="2"/>
        <v>-2.2642623820257168E-2</v>
      </c>
      <c r="F123" s="440">
        <v>42689</v>
      </c>
      <c r="G123" s="170">
        <v>682.45</v>
      </c>
      <c r="H123" s="252">
        <f t="shared" si="3"/>
        <v>-8.0668604651161768E-3</v>
      </c>
    </row>
    <row r="124" spans="2:8" x14ac:dyDescent="0.3">
      <c r="B124" s="440">
        <v>42690</v>
      </c>
      <c r="C124" s="363">
        <v>8111.6</v>
      </c>
      <c r="D124" s="252">
        <f t="shared" si="2"/>
        <v>3.8848361894072703E-4</v>
      </c>
      <c r="F124" s="440">
        <v>42690</v>
      </c>
      <c r="G124" s="170">
        <v>667.4</v>
      </c>
      <c r="H124" s="252">
        <f t="shared" si="3"/>
        <v>-2.2052897648179415E-2</v>
      </c>
    </row>
    <row r="125" spans="2:8" x14ac:dyDescent="0.3">
      <c r="B125" s="440">
        <v>42691</v>
      </c>
      <c r="C125" s="363">
        <v>8079.95</v>
      </c>
      <c r="D125" s="252">
        <f t="shared" si="2"/>
        <v>-3.9018196163519425E-3</v>
      </c>
      <c r="F125" s="440">
        <v>42691</v>
      </c>
      <c r="G125" s="170">
        <v>669.25</v>
      </c>
      <c r="H125" s="252">
        <f t="shared" si="3"/>
        <v>2.7719508540606785E-3</v>
      </c>
    </row>
    <row r="126" spans="2:8" x14ac:dyDescent="0.3">
      <c r="B126" s="440">
        <v>42692</v>
      </c>
      <c r="C126" s="363">
        <v>8074.1</v>
      </c>
      <c r="D126" s="252">
        <f t="shared" si="2"/>
        <v>-7.2401438127700501E-4</v>
      </c>
      <c r="F126" s="440">
        <v>42692</v>
      </c>
      <c r="G126" s="170">
        <v>688.85</v>
      </c>
      <c r="H126" s="252">
        <f t="shared" si="3"/>
        <v>2.9286514755323179E-2</v>
      </c>
    </row>
    <row r="127" spans="2:8" x14ac:dyDescent="0.3">
      <c r="B127" s="440">
        <v>42695</v>
      </c>
      <c r="C127" s="363">
        <v>7929.1</v>
      </c>
      <c r="D127" s="252">
        <f t="shared" si="2"/>
        <v>-1.795865793091489E-2</v>
      </c>
      <c r="F127" s="440">
        <v>42695</v>
      </c>
      <c r="G127" s="170">
        <v>690.35</v>
      </c>
      <c r="H127" s="252">
        <f t="shared" si="3"/>
        <v>2.17754228061251E-3</v>
      </c>
    </row>
    <row r="128" spans="2:8" x14ac:dyDescent="0.3">
      <c r="B128" s="440">
        <v>42696</v>
      </c>
      <c r="C128" s="363">
        <v>8002.3</v>
      </c>
      <c r="D128" s="252">
        <f t="shared" si="2"/>
        <v>9.2318169779672665E-3</v>
      </c>
      <c r="F128" s="440">
        <v>42696</v>
      </c>
      <c r="G128" s="170">
        <v>689.9</v>
      </c>
      <c r="H128" s="252">
        <f t="shared" si="3"/>
        <v>-6.5184326790768132E-4</v>
      </c>
    </row>
    <row r="129" spans="2:8" x14ac:dyDescent="0.3">
      <c r="B129" s="440">
        <v>42697</v>
      </c>
      <c r="C129" s="363">
        <v>8033.3</v>
      </c>
      <c r="D129" s="252">
        <f t="shared" si="2"/>
        <v>3.8738862577010202E-3</v>
      </c>
      <c r="F129" s="440">
        <v>42697</v>
      </c>
      <c r="G129" s="170">
        <v>701.3</v>
      </c>
      <c r="H129" s="252">
        <f t="shared" si="3"/>
        <v>1.6524133932453999E-2</v>
      </c>
    </row>
    <row r="130" spans="2:8" x14ac:dyDescent="0.3">
      <c r="B130" s="440">
        <v>42698</v>
      </c>
      <c r="C130" s="363">
        <v>7965.5</v>
      </c>
      <c r="D130" s="252">
        <f t="shared" si="2"/>
        <v>-8.439869045099746E-3</v>
      </c>
      <c r="F130" s="440">
        <v>42698</v>
      </c>
      <c r="G130" s="170">
        <v>682.5</v>
      </c>
      <c r="H130" s="252">
        <f t="shared" si="3"/>
        <v>-2.6807357764152218E-2</v>
      </c>
    </row>
    <row r="131" spans="2:8" x14ac:dyDescent="0.3">
      <c r="B131" s="440">
        <v>42699</v>
      </c>
      <c r="C131" s="363">
        <v>8114.3</v>
      </c>
      <c r="D131" s="252">
        <f t="shared" si="2"/>
        <v>1.86805599146318E-2</v>
      </c>
      <c r="F131" s="440">
        <v>42699</v>
      </c>
      <c r="G131" s="170">
        <v>714.15</v>
      </c>
      <c r="H131" s="252">
        <f t="shared" si="3"/>
        <v>4.6373626373626298E-2</v>
      </c>
    </row>
    <row r="132" spans="2:8" x14ac:dyDescent="0.3">
      <c r="B132" s="440">
        <v>42702</v>
      </c>
      <c r="C132" s="363">
        <v>8126.9</v>
      </c>
      <c r="D132" s="252">
        <f t="shared" si="2"/>
        <v>1.552814167580685E-3</v>
      </c>
      <c r="F132" s="440">
        <v>42702</v>
      </c>
      <c r="G132" s="170">
        <v>715.15</v>
      </c>
      <c r="H132" s="252">
        <f t="shared" si="3"/>
        <v>1.4002660505496589E-3</v>
      </c>
    </row>
    <row r="133" spans="2:8" x14ac:dyDescent="0.3">
      <c r="B133" s="440">
        <v>42703</v>
      </c>
      <c r="C133" s="363">
        <v>8142.15</v>
      </c>
      <c r="D133" s="252">
        <f t="shared" si="2"/>
        <v>1.8764842682941207E-3</v>
      </c>
      <c r="F133" s="440">
        <v>42703</v>
      </c>
      <c r="G133" s="170">
        <v>706.5</v>
      </c>
      <c r="H133" s="252">
        <f t="shared" si="3"/>
        <v>-1.2095364608823322E-2</v>
      </c>
    </row>
    <row r="134" spans="2:8" x14ac:dyDescent="0.3">
      <c r="B134" s="440">
        <v>42704</v>
      </c>
      <c r="C134" s="363">
        <v>8224.5</v>
      </c>
      <c r="D134" s="252">
        <f t="shared" si="2"/>
        <v>1.0114036218934919E-2</v>
      </c>
      <c r="F134" s="440">
        <v>42704</v>
      </c>
      <c r="G134" s="170">
        <v>709.8</v>
      </c>
      <c r="H134" s="252">
        <f t="shared" si="3"/>
        <v>4.6709129511677272E-3</v>
      </c>
    </row>
    <row r="135" spans="2:8" x14ac:dyDescent="0.3">
      <c r="B135" s="440">
        <v>42705</v>
      </c>
      <c r="C135" s="363">
        <v>8192.9</v>
      </c>
      <c r="D135" s="252">
        <f t="shared" si="2"/>
        <v>-3.8421788558575809E-3</v>
      </c>
      <c r="F135" s="440">
        <v>42705</v>
      </c>
      <c r="G135" s="170">
        <v>721.5</v>
      </c>
      <c r="H135" s="252">
        <f t="shared" si="3"/>
        <v>1.6483516483516647E-2</v>
      </c>
    </row>
    <row r="136" spans="2:8" x14ac:dyDescent="0.3">
      <c r="B136" s="440">
        <v>42706</v>
      </c>
      <c r="C136" s="363">
        <v>8086.8</v>
      </c>
      <c r="D136" s="252">
        <f t="shared" si="2"/>
        <v>-1.2950237400676134E-2</v>
      </c>
      <c r="F136" s="440">
        <v>42706</v>
      </c>
      <c r="G136" s="170">
        <v>720.35</v>
      </c>
      <c r="H136" s="252">
        <f t="shared" si="3"/>
        <v>-1.5939015939016032E-3</v>
      </c>
    </row>
    <row r="137" spans="2:8" x14ac:dyDescent="0.3">
      <c r="B137" s="440">
        <v>42709</v>
      </c>
      <c r="C137" s="363">
        <v>8128.75</v>
      </c>
      <c r="D137" s="252">
        <f t="shared" si="2"/>
        <v>5.1874659939654677E-3</v>
      </c>
      <c r="F137" s="440">
        <v>42709</v>
      </c>
      <c r="G137" s="170">
        <v>713.1</v>
      </c>
      <c r="H137" s="252">
        <f t="shared" si="3"/>
        <v>-1.0064551953911316E-2</v>
      </c>
    </row>
    <row r="138" spans="2:8" x14ac:dyDescent="0.3">
      <c r="B138" s="440">
        <v>42710</v>
      </c>
      <c r="C138" s="363">
        <v>8143.15</v>
      </c>
      <c r="D138" s="252">
        <f t="shared" si="2"/>
        <v>1.7714900815009038E-3</v>
      </c>
      <c r="F138" s="440">
        <v>42710</v>
      </c>
      <c r="G138" s="170">
        <v>706.15</v>
      </c>
      <c r="H138" s="252">
        <f t="shared" si="3"/>
        <v>-9.7461786565700148E-3</v>
      </c>
    </row>
    <row r="139" spans="2:8" x14ac:dyDescent="0.3">
      <c r="B139" s="440">
        <v>42711</v>
      </c>
      <c r="C139" s="363">
        <v>8102.05</v>
      </c>
      <c r="D139" s="252">
        <f t="shared" ref="D139:D202" si="4">C139/C138-1</f>
        <v>-5.0471868994184099E-3</v>
      </c>
      <c r="F139" s="440">
        <v>42711</v>
      </c>
      <c r="G139" s="170">
        <v>664</v>
      </c>
      <c r="H139" s="252">
        <f t="shared" ref="H139:H202" si="5">G139/G138-1</f>
        <v>-5.9689867591871337E-2</v>
      </c>
    </row>
    <row r="140" spans="2:8" x14ac:dyDescent="0.3">
      <c r="B140" s="440">
        <v>42712</v>
      </c>
      <c r="C140" s="363">
        <v>8246.85</v>
      </c>
      <c r="D140" s="252">
        <f t="shared" si="4"/>
        <v>1.7872020044309878E-2</v>
      </c>
      <c r="F140" s="440">
        <v>42712</v>
      </c>
      <c r="G140" s="170">
        <v>675.7</v>
      </c>
      <c r="H140" s="252">
        <f t="shared" si="5"/>
        <v>1.7620481927710818E-2</v>
      </c>
    </row>
    <row r="141" spans="2:8" x14ac:dyDescent="0.3">
      <c r="B141" s="440">
        <v>42713</v>
      </c>
      <c r="C141" s="363">
        <v>8261.75</v>
      </c>
      <c r="D141" s="252">
        <f t="shared" si="4"/>
        <v>1.8067504562346848E-3</v>
      </c>
      <c r="F141" s="440">
        <v>42713</v>
      </c>
      <c r="G141" s="170">
        <v>673</v>
      </c>
      <c r="H141" s="252">
        <f t="shared" si="5"/>
        <v>-3.9958561491787448E-3</v>
      </c>
    </row>
    <row r="142" spans="2:8" x14ac:dyDescent="0.3">
      <c r="B142" s="440">
        <v>42716</v>
      </c>
      <c r="C142" s="363">
        <v>8170.8</v>
      </c>
      <c r="D142" s="252">
        <f t="shared" si="4"/>
        <v>-1.1008563560988893E-2</v>
      </c>
      <c r="F142" s="440">
        <v>42716</v>
      </c>
      <c r="G142" s="170">
        <v>676.4</v>
      </c>
      <c r="H142" s="252">
        <f t="shared" si="5"/>
        <v>5.0520059435363862E-3</v>
      </c>
    </row>
    <row r="143" spans="2:8" x14ac:dyDescent="0.3">
      <c r="B143" s="440">
        <v>42717</v>
      </c>
      <c r="C143" s="363">
        <v>8221.7999999999993</v>
      </c>
      <c r="D143" s="252">
        <f t="shared" si="4"/>
        <v>6.2417388750182212E-3</v>
      </c>
      <c r="F143" s="440">
        <v>42717</v>
      </c>
      <c r="G143" s="170">
        <v>684.35</v>
      </c>
      <c r="H143" s="252">
        <f t="shared" si="5"/>
        <v>1.1753400354819643E-2</v>
      </c>
    </row>
    <row r="144" spans="2:8" x14ac:dyDescent="0.3">
      <c r="B144" s="440">
        <v>42718</v>
      </c>
      <c r="C144" s="363">
        <v>8182.45</v>
      </c>
      <c r="D144" s="252">
        <f t="shared" si="4"/>
        <v>-4.7860565812838374E-3</v>
      </c>
      <c r="F144" s="440">
        <v>42718</v>
      </c>
      <c r="G144" s="170">
        <v>678.4</v>
      </c>
      <c r="H144" s="252">
        <f t="shared" si="5"/>
        <v>-8.6943815299189708E-3</v>
      </c>
    </row>
    <row r="145" spans="2:8" x14ac:dyDescent="0.3">
      <c r="B145" s="440">
        <v>42719</v>
      </c>
      <c r="C145" s="363">
        <v>8153.6</v>
      </c>
      <c r="D145" s="252">
        <f t="shared" si="4"/>
        <v>-3.5258388380007277E-3</v>
      </c>
      <c r="F145" s="440">
        <v>42719</v>
      </c>
      <c r="G145" s="170">
        <v>649.95000000000005</v>
      </c>
      <c r="H145" s="252">
        <f t="shared" si="5"/>
        <v>-4.1936910377358361E-2</v>
      </c>
    </row>
    <row r="146" spans="2:8" x14ac:dyDescent="0.3">
      <c r="B146" s="440">
        <v>42720</v>
      </c>
      <c r="C146" s="363">
        <v>8139.45</v>
      </c>
      <c r="D146" s="252">
        <f t="shared" si="4"/>
        <v>-1.7354297488226811E-3</v>
      </c>
      <c r="F146" s="440">
        <v>42720</v>
      </c>
      <c r="G146" s="170">
        <v>647.35</v>
      </c>
      <c r="H146" s="252">
        <f t="shared" si="5"/>
        <v>-4.0003077159781464E-3</v>
      </c>
    </row>
    <row r="147" spans="2:8" x14ac:dyDescent="0.3">
      <c r="B147" s="440">
        <v>42723</v>
      </c>
      <c r="C147" s="363">
        <v>8104.35</v>
      </c>
      <c r="D147" s="252">
        <f t="shared" si="4"/>
        <v>-4.3123306857342225E-3</v>
      </c>
      <c r="F147" s="440">
        <v>42723</v>
      </c>
      <c r="G147" s="170">
        <v>632.25</v>
      </c>
      <c r="H147" s="252">
        <f t="shared" si="5"/>
        <v>-2.3325866996215416E-2</v>
      </c>
    </row>
    <row r="148" spans="2:8" x14ac:dyDescent="0.3">
      <c r="B148" s="440">
        <v>42724</v>
      </c>
      <c r="C148" s="363">
        <v>8082.4</v>
      </c>
      <c r="D148" s="252">
        <f t="shared" si="4"/>
        <v>-2.7084220202731046E-3</v>
      </c>
      <c r="F148" s="440">
        <v>42724</v>
      </c>
      <c r="G148" s="170">
        <v>627.9</v>
      </c>
      <c r="H148" s="252">
        <f t="shared" si="5"/>
        <v>-6.8801897983392646E-3</v>
      </c>
    </row>
    <row r="149" spans="2:8" x14ac:dyDescent="0.3">
      <c r="B149" s="440">
        <v>42725</v>
      </c>
      <c r="C149" s="363">
        <v>8061.3</v>
      </c>
      <c r="D149" s="252">
        <f t="shared" si="4"/>
        <v>-2.6106107096901532E-3</v>
      </c>
      <c r="F149" s="440">
        <v>42725</v>
      </c>
      <c r="G149" s="170">
        <v>614.45000000000005</v>
      </c>
      <c r="H149" s="252">
        <f t="shared" si="5"/>
        <v>-2.1420608377130002E-2</v>
      </c>
    </row>
    <row r="150" spans="2:8" x14ac:dyDescent="0.3">
      <c r="B150" s="440">
        <v>42726</v>
      </c>
      <c r="C150" s="363">
        <v>7979.1</v>
      </c>
      <c r="D150" s="252">
        <f t="shared" si="4"/>
        <v>-1.0196866510364333E-2</v>
      </c>
      <c r="F150" s="440">
        <v>42726</v>
      </c>
      <c r="G150" s="170">
        <v>609.15</v>
      </c>
      <c r="H150" s="252">
        <f t="shared" si="5"/>
        <v>-8.6256001301978635E-3</v>
      </c>
    </row>
    <row r="151" spans="2:8" x14ac:dyDescent="0.3">
      <c r="B151" s="440">
        <v>42727</v>
      </c>
      <c r="C151" s="363">
        <v>7985.75</v>
      </c>
      <c r="D151" s="252">
        <f t="shared" si="4"/>
        <v>8.3342732889679638E-4</v>
      </c>
      <c r="F151" s="440">
        <v>42727</v>
      </c>
      <c r="G151" s="170">
        <v>623.5</v>
      </c>
      <c r="H151" s="252">
        <f t="shared" si="5"/>
        <v>2.3557416071575243E-2</v>
      </c>
    </row>
    <row r="152" spans="2:8" x14ac:dyDescent="0.3">
      <c r="B152" s="440">
        <v>42730</v>
      </c>
      <c r="C152" s="363">
        <v>7908.25</v>
      </c>
      <c r="D152" s="252">
        <f t="shared" si="4"/>
        <v>-9.7047866512225411E-3</v>
      </c>
      <c r="F152" s="440">
        <v>42730</v>
      </c>
      <c r="G152" s="170">
        <v>611.25</v>
      </c>
      <c r="H152" s="252">
        <f t="shared" si="5"/>
        <v>-1.9647153167602238E-2</v>
      </c>
    </row>
    <row r="153" spans="2:8" x14ac:dyDescent="0.3">
      <c r="B153" s="440">
        <v>42731</v>
      </c>
      <c r="C153" s="363">
        <v>8032.85</v>
      </c>
      <c r="D153" s="252">
        <f t="shared" si="4"/>
        <v>1.5755698163310461E-2</v>
      </c>
      <c r="F153" s="440">
        <v>42731</v>
      </c>
      <c r="G153" s="170">
        <v>621.1</v>
      </c>
      <c r="H153" s="252">
        <f t="shared" si="5"/>
        <v>1.6114519427402829E-2</v>
      </c>
    </row>
    <row r="154" spans="2:8" x14ac:dyDescent="0.3">
      <c r="B154" s="440">
        <v>42732</v>
      </c>
      <c r="C154" s="363">
        <v>8034.85</v>
      </c>
      <c r="D154" s="252">
        <f t="shared" si="4"/>
        <v>2.4897763558384689E-4</v>
      </c>
      <c r="F154" s="440">
        <v>42732</v>
      </c>
      <c r="G154" s="170">
        <v>621.35</v>
      </c>
      <c r="H154" s="252">
        <f t="shared" si="5"/>
        <v>4.0251167283855693E-4</v>
      </c>
    </row>
    <row r="155" spans="2:8" x14ac:dyDescent="0.3">
      <c r="B155" s="440">
        <v>42733</v>
      </c>
      <c r="C155" s="363">
        <v>8103.6</v>
      </c>
      <c r="D155" s="252">
        <f t="shared" si="4"/>
        <v>8.5564758520693118E-3</v>
      </c>
      <c r="F155" s="440">
        <v>42733</v>
      </c>
      <c r="G155" s="170">
        <v>614.70000000000005</v>
      </c>
      <c r="H155" s="252">
        <f t="shared" si="5"/>
        <v>-1.0702502615273168E-2</v>
      </c>
    </row>
    <row r="156" spans="2:8" x14ac:dyDescent="0.3">
      <c r="B156" s="440">
        <v>42734</v>
      </c>
      <c r="C156" s="363">
        <v>8185.8</v>
      </c>
      <c r="D156" s="252">
        <f t="shared" si="4"/>
        <v>1.0143639863764209E-2</v>
      </c>
      <c r="F156" s="440">
        <v>42734</v>
      </c>
      <c r="G156" s="170">
        <v>630</v>
      </c>
      <c r="H156" s="252">
        <f t="shared" si="5"/>
        <v>2.4890190336749551E-2</v>
      </c>
    </row>
    <row r="157" spans="2:8" x14ac:dyDescent="0.3">
      <c r="B157" s="440">
        <v>42737</v>
      </c>
      <c r="C157" s="363">
        <v>8179.5</v>
      </c>
      <c r="D157" s="252">
        <f t="shared" si="4"/>
        <v>-7.6962544894820795E-4</v>
      </c>
      <c r="F157" s="440">
        <v>42737</v>
      </c>
      <c r="G157" s="170">
        <v>634.04999999999995</v>
      </c>
      <c r="H157" s="252">
        <f t="shared" si="5"/>
        <v>6.4285714285714501E-3</v>
      </c>
    </row>
    <row r="158" spans="2:8" x14ac:dyDescent="0.3">
      <c r="B158" s="440">
        <v>42738</v>
      </c>
      <c r="C158" s="363">
        <v>8192.25</v>
      </c>
      <c r="D158" s="252">
        <f t="shared" si="4"/>
        <v>1.5587749862460143E-3</v>
      </c>
      <c r="F158" s="440">
        <v>42738</v>
      </c>
      <c r="G158" s="170">
        <v>636.1</v>
      </c>
      <c r="H158" s="252">
        <f t="shared" si="5"/>
        <v>3.2331835028784894E-3</v>
      </c>
    </row>
    <row r="159" spans="2:8" x14ac:dyDescent="0.3">
      <c r="B159" s="440">
        <v>42739</v>
      </c>
      <c r="C159" s="363">
        <v>8190.5</v>
      </c>
      <c r="D159" s="252">
        <f t="shared" si="4"/>
        <v>-2.1361652781592966E-4</v>
      </c>
      <c r="F159" s="440">
        <v>42739</v>
      </c>
      <c r="G159" s="170">
        <v>637.35</v>
      </c>
      <c r="H159" s="252">
        <f t="shared" si="5"/>
        <v>1.9650998270712705E-3</v>
      </c>
    </row>
    <row r="160" spans="2:8" x14ac:dyDescent="0.3">
      <c r="B160" s="440">
        <v>42740</v>
      </c>
      <c r="C160" s="363">
        <v>8273.7999999999993</v>
      </c>
      <c r="D160" s="252">
        <f t="shared" si="4"/>
        <v>1.0170319272327699E-2</v>
      </c>
      <c r="F160" s="440">
        <v>42740</v>
      </c>
      <c r="G160" s="170">
        <v>643.45000000000005</v>
      </c>
      <c r="H160" s="252">
        <f t="shared" si="5"/>
        <v>9.5708794226092575E-3</v>
      </c>
    </row>
    <row r="161" spans="2:8" x14ac:dyDescent="0.3">
      <c r="B161" s="440">
        <v>42741</v>
      </c>
      <c r="C161" s="363">
        <v>8243.7999999999993</v>
      </c>
      <c r="D161" s="252">
        <f t="shared" si="4"/>
        <v>-3.6259034542773794E-3</v>
      </c>
      <c r="F161" s="440">
        <v>42741</v>
      </c>
      <c r="G161" s="170">
        <v>640.75</v>
      </c>
      <c r="H161" s="252">
        <f t="shared" si="5"/>
        <v>-4.1961302354496244E-3</v>
      </c>
    </row>
    <row r="162" spans="2:8" x14ac:dyDescent="0.3">
      <c r="B162" s="440">
        <v>42744</v>
      </c>
      <c r="C162" s="363">
        <v>8236.0499999999993</v>
      </c>
      <c r="D162" s="252">
        <f t="shared" si="4"/>
        <v>-9.4010043911785246E-4</v>
      </c>
      <c r="F162" s="440">
        <v>42744</v>
      </c>
      <c r="G162" s="170">
        <v>632.04999999999995</v>
      </c>
      <c r="H162" s="252">
        <f t="shared" si="5"/>
        <v>-1.3577838470542392E-2</v>
      </c>
    </row>
    <row r="163" spans="2:8" x14ac:dyDescent="0.3">
      <c r="B163" s="440">
        <v>42745</v>
      </c>
      <c r="C163" s="363">
        <v>8288.6</v>
      </c>
      <c r="D163" s="252">
        <f t="shared" si="4"/>
        <v>6.3804857911258228E-3</v>
      </c>
      <c r="F163" s="440">
        <v>42745</v>
      </c>
      <c r="G163" s="170">
        <v>638.54999999999995</v>
      </c>
      <c r="H163" s="252">
        <f t="shared" si="5"/>
        <v>1.0283996519262706E-2</v>
      </c>
    </row>
    <row r="164" spans="2:8" x14ac:dyDescent="0.3">
      <c r="B164" s="440">
        <v>42746</v>
      </c>
      <c r="C164" s="363">
        <v>8380.65</v>
      </c>
      <c r="D164" s="252">
        <f t="shared" si="4"/>
        <v>1.110561494100315E-2</v>
      </c>
      <c r="F164" s="440">
        <v>42746</v>
      </c>
      <c r="G164" s="170">
        <v>648.20000000000005</v>
      </c>
      <c r="H164" s="252">
        <f t="shared" si="5"/>
        <v>1.5112363949573382E-2</v>
      </c>
    </row>
    <row r="165" spans="2:8" x14ac:dyDescent="0.3">
      <c r="B165" s="440">
        <v>42747</v>
      </c>
      <c r="C165" s="363">
        <v>8407.2000000000007</v>
      </c>
      <c r="D165" s="252">
        <f t="shared" si="4"/>
        <v>3.1680120277068902E-3</v>
      </c>
      <c r="F165" s="440">
        <v>42747</v>
      </c>
      <c r="G165" s="170">
        <v>644.75</v>
      </c>
      <c r="H165" s="252">
        <f t="shared" si="5"/>
        <v>-5.3224313483493102E-3</v>
      </c>
    </row>
    <row r="166" spans="2:8" x14ac:dyDescent="0.3">
      <c r="B166" s="440">
        <v>42748</v>
      </c>
      <c r="C166" s="363">
        <v>8400.35</v>
      </c>
      <c r="D166" s="252">
        <f t="shared" si="4"/>
        <v>-8.1477780949668066E-4</v>
      </c>
      <c r="F166" s="440">
        <v>42748</v>
      </c>
      <c r="G166" s="170">
        <v>653</v>
      </c>
      <c r="H166" s="252">
        <f t="shared" si="5"/>
        <v>1.2795657231485125E-2</v>
      </c>
    </row>
    <row r="167" spans="2:8" x14ac:dyDescent="0.3">
      <c r="B167" s="440">
        <v>42751</v>
      </c>
      <c r="C167" s="363">
        <v>8412.7999999999993</v>
      </c>
      <c r="D167" s="252">
        <f t="shared" si="4"/>
        <v>1.4820811037634662E-3</v>
      </c>
      <c r="F167" s="440">
        <v>42751</v>
      </c>
      <c r="G167" s="170">
        <v>643.5</v>
      </c>
      <c r="H167" s="252">
        <f t="shared" si="5"/>
        <v>-1.4548238897396648E-2</v>
      </c>
    </row>
    <row r="168" spans="2:8" x14ac:dyDescent="0.3">
      <c r="B168" s="440">
        <v>42752</v>
      </c>
      <c r="C168" s="363">
        <v>8398</v>
      </c>
      <c r="D168" s="252">
        <f t="shared" si="4"/>
        <v>-1.7592240395586378E-3</v>
      </c>
      <c r="F168" s="440">
        <v>42752</v>
      </c>
      <c r="G168" s="170">
        <v>649.70000000000005</v>
      </c>
      <c r="H168" s="252">
        <f t="shared" si="5"/>
        <v>9.6348096348097823E-3</v>
      </c>
    </row>
    <row r="169" spans="2:8" x14ac:dyDescent="0.3">
      <c r="B169" s="440">
        <v>42753</v>
      </c>
      <c r="C169" s="363">
        <v>8417</v>
      </c>
      <c r="D169" s="252">
        <f t="shared" si="4"/>
        <v>2.2624434389140191E-3</v>
      </c>
      <c r="F169" s="440">
        <v>42753</v>
      </c>
      <c r="G169" s="170">
        <v>649.95000000000005</v>
      </c>
      <c r="H169" s="252">
        <f t="shared" si="5"/>
        <v>3.8479298137605866E-4</v>
      </c>
    </row>
    <row r="170" spans="2:8" x14ac:dyDescent="0.3">
      <c r="B170" s="440">
        <v>42754</v>
      </c>
      <c r="C170" s="363">
        <v>8435.1</v>
      </c>
      <c r="D170" s="252">
        <f t="shared" si="4"/>
        <v>2.1504098847571207E-3</v>
      </c>
      <c r="F170" s="440">
        <v>42754</v>
      </c>
      <c r="G170" s="170">
        <v>643.45000000000005</v>
      </c>
      <c r="H170" s="252">
        <f t="shared" si="5"/>
        <v>-1.0000769289945421E-2</v>
      </c>
    </row>
    <row r="171" spans="2:8" x14ac:dyDescent="0.3">
      <c r="B171" s="440">
        <v>42755</v>
      </c>
      <c r="C171" s="363">
        <v>8349.35</v>
      </c>
      <c r="D171" s="252">
        <f t="shared" si="4"/>
        <v>-1.0165854583822354E-2</v>
      </c>
      <c r="F171" s="440">
        <v>42755</v>
      </c>
      <c r="G171" s="170">
        <v>641.54999999999995</v>
      </c>
      <c r="H171" s="252">
        <f t="shared" si="5"/>
        <v>-2.9528323879091101E-3</v>
      </c>
    </row>
    <row r="172" spans="2:8" x14ac:dyDescent="0.3">
      <c r="B172" s="440">
        <v>42758</v>
      </c>
      <c r="C172" s="363">
        <v>8391.5</v>
      </c>
      <c r="D172" s="252">
        <f t="shared" si="4"/>
        <v>5.0482971728338377E-3</v>
      </c>
      <c r="F172" s="440">
        <v>42758</v>
      </c>
      <c r="G172" s="170">
        <v>633.65</v>
      </c>
      <c r="H172" s="252">
        <f t="shared" si="5"/>
        <v>-1.2313927207544206E-2</v>
      </c>
    </row>
    <row r="173" spans="2:8" x14ac:dyDescent="0.3">
      <c r="B173" s="440">
        <v>42759</v>
      </c>
      <c r="C173" s="363">
        <v>8475.7999999999993</v>
      </c>
      <c r="D173" s="252">
        <f t="shared" si="4"/>
        <v>1.0045879759280174E-2</v>
      </c>
      <c r="F173" s="440">
        <v>42759</v>
      </c>
      <c r="G173" s="170">
        <v>641.4</v>
      </c>
      <c r="H173" s="252">
        <f t="shared" si="5"/>
        <v>1.2230726741892184E-2</v>
      </c>
    </row>
    <row r="174" spans="2:8" x14ac:dyDescent="0.3">
      <c r="B174" s="440">
        <v>42760</v>
      </c>
      <c r="C174" s="363">
        <v>8602.75</v>
      </c>
      <c r="D174" s="252">
        <f t="shared" si="4"/>
        <v>1.4977937185870482E-2</v>
      </c>
      <c r="F174" s="440">
        <v>42760</v>
      </c>
      <c r="G174" s="170">
        <v>635.85</v>
      </c>
      <c r="H174" s="252">
        <f t="shared" si="5"/>
        <v>-8.652946679139295E-3</v>
      </c>
    </row>
    <row r="175" spans="2:8" x14ac:dyDescent="0.3">
      <c r="B175" s="440">
        <v>42762</v>
      </c>
      <c r="C175" s="363">
        <v>8641.25</v>
      </c>
      <c r="D175" s="252">
        <f t="shared" si="4"/>
        <v>4.4753131266164203E-3</v>
      </c>
      <c r="F175" s="440">
        <v>42762</v>
      </c>
      <c r="G175" s="170">
        <v>640.5</v>
      </c>
      <c r="H175" s="252">
        <f t="shared" si="5"/>
        <v>7.3130455296059882E-3</v>
      </c>
    </row>
    <row r="176" spans="2:8" x14ac:dyDescent="0.3">
      <c r="B176" s="440">
        <v>42765</v>
      </c>
      <c r="C176" s="363">
        <v>8632.75</v>
      </c>
      <c r="D176" s="252">
        <f t="shared" si="4"/>
        <v>-9.8365398524513648E-4</v>
      </c>
      <c r="F176" s="440">
        <v>42765</v>
      </c>
      <c r="G176" s="170">
        <v>644.75</v>
      </c>
      <c r="H176" s="252">
        <f t="shared" si="5"/>
        <v>6.6354410616704662E-3</v>
      </c>
    </row>
    <row r="177" spans="2:8" x14ac:dyDescent="0.3">
      <c r="B177" s="440">
        <v>42766</v>
      </c>
      <c r="C177" s="363">
        <v>8561.2999999999993</v>
      </c>
      <c r="D177" s="252">
        <f t="shared" si="4"/>
        <v>-8.2766210072110491E-3</v>
      </c>
      <c r="F177" s="440">
        <v>42766</v>
      </c>
      <c r="G177" s="170">
        <v>631.5</v>
      </c>
      <c r="H177" s="252">
        <f t="shared" si="5"/>
        <v>-2.0550601008142655E-2</v>
      </c>
    </row>
    <row r="178" spans="2:8" x14ac:dyDescent="0.3">
      <c r="B178" s="440">
        <v>42767</v>
      </c>
      <c r="C178" s="363">
        <v>8716.4</v>
      </c>
      <c r="D178" s="252">
        <f t="shared" si="4"/>
        <v>1.8116407554927383E-2</v>
      </c>
      <c r="F178" s="440">
        <v>42767</v>
      </c>
      <c r="G178" s="170">
        <v>625.54999999999995</v>
      </c>
      <c r="H178" s="252">
        <f t="shared" si="5"/>
        <v>-9.422011084718962E-3</v>
      </c>
    </row>
    <row r="179" spans="2:8" x14ac:dyDescent="0.3">
      <c r="B179" s="440">
        <v>42768</v>
      </c>
      <c r="C179" s="363">
        <v>8734.25</v>
      </c>
      <c r="D179" s="252">
        <f t="shared" si="4"/>
        <v>2.0478637969805202E-3</v>
      </c>
      <c r="F179" s="440">
        <v>42768</v>
      </c>
      <c r="G179" s="170">
        <v>641.4</v>
      </c>
      <c r="H179" s="252">
        <f t="shared" si="5"/>
        <v>2.533770282151715E-2</v>
      </c>
    </row>
    <row r="180" spans="2:8" x14ac:dyDescent="0.3">
      <c r="B180" s="440">
        <v>42769</v>
      </c>
      <c r="C180" s="363">
        <v>8740.9500000000007</v>
      </c>
      <c r="D180" s="252">
        <f t="shared" si="4"/>
        <v>7.6709505681660239E-4</v>
      </c>
      <c r="F180" s="440">
        <v>42769</v>
      </c>
      <c r="G180" s="170">
        <v>647.25</v>
      </c>
      <c r="H180" s="252">
        <f t="shared" si="5"/>
        <v>9.1206735266604611E-3</v>
      </c>
    </row>
    <row r="181" spans="2:8" x14ac:dyDescent="0.3">
      <c r="B181" s="440">
        <v>42772</v>
      </c>
      <c r="C181" s="363">
        <v>8801.0499999999993</v>
      </c>
      <c r="D181" s="252">
        <f t="shared" si="4"/>
        <v>6.8756828491181032E-3</v>
      </c>
      <c r="F181" s="440">
        <v>42772</v>
      </c>
      <c r="G181" s="170">
        <v>675.15</v>
      </c>
      <c r="H181" s="252">
        <f t="shared" si="5"/>
        <v>4.3105446118192337E-2</v>
      </c>
    </row>
    <row r="182" spans="2:8" x14ac:dyDescent="0.3">
      <c r="B182" s="440">
        <v>42773</v>
      </c>
      <c r="C182" s="363">
        <v>8768.2999999999993</v>
      </c>
      <c r="D182" s="252">
        <f t="shared" si="4"/>
        <v>-3.7211469086074755E-3</v>
      </c>
      <c r="F182" s="440">
        <v>42773</v>
      </c>
      <c r="G182" s="170">
        <v>669.6</v>
      </c>
      <c r="H182" s="252">
        <f t="shared" si="5"/>
        <v>-8.2203954676738356E-3</v>
      </c>
    </row>
    <row r="183" spans="2:8" x14ac:dyDescent="0.3">
      <c r="B183" s="440">
        <v>42774</v>
      </c>
      <c r="C183" s="363">
        <v>8769.0499999999993</v>
      </c>
      <c r="D183" s="252">
        <f t="shared" si="4"/>
        <v>8.5535394546365495E-5</v>
      </c>
      <c r="F183" s="440">
        <v>42774</v>
      </c>
      <c r="G183" s="170">
        <v>662.2</v>
      </c>
      <c r="H183" s="252">
        <f t="shared" si="5"/>
        <v>-1.1051373954599764E-2</v>
      </c>
    </row>
    <row r="184" spans="2:8" x14ac:dyDescent="0.3">
      <c r="B184" s="440">
        <v>42775</v>
      </c>
      <c r="C184" s="363">
        <v>8778.4</v>
      </c>
      <c r="D184" s="252">
        <f t="shared" si="4"/>
        <v>1.0662500498914707E-3</v>
      </c>
      <c r="F184" s="440">
        <v>42775</v>
      </c>
      <c r="G184" s="170">
        <v>655.5</v>
      </c>
      <c r="H184" s="252">
        <f t="shared" si="5"/>
        <v>-1.0117789187556681E-2</v>
      </c>
    </row>
    <row r="185" spans="2:8" x14ac:dyDescent="0.3">
      <c r="B185" s="440">
        <v>42776</v>
      </c>
      <c r="C185" s="363">
        <v>8793.5499999999993</v>
      </c>
      <c r="D185" s="252">
        <f t="shared" si="4"/>
        <v>1.7258270299826961E-3</v>
      </c>
      <c r="F185" s="440">
        <v>42776</v>
      </c>
      <c r="G185" s="170">
        <v>655.04999999999995</v>
      </c>
      <c r="H185" s="252">
        <f t="shared" si="5"/>
        <v>-6.8649885583527137E-4</v>
      </c>
    </row>
    <row r="186" spans="2:8" x14ac:dyDescent="0.3">
      <c r="B186" s="440">
        <v>42779</v>
      </c>
      <c r="C186" s="363">
        <v>8805.0499999999993</v>
      </c>
      <c r="D186" s="252">
        <f t="shared" si="4"/>
        <v>1.307776722711429E-3</v>
      </c>
      <c r="F186" s="440">
        <v>42779</v>
      </c>
      <c r="G186" s="170">
        <v>654.70000000000005</v>
      </c>
      <c r="H186" s="252">
        <f t="shared" si="5"/>
        <v>-5.3431035798778836E-4</v>
      </c>
    </row>
    <row r="187" spans="2:8" x14ac:dyDescent="0.3">
      <c r="B187" s="440">
        <v>42780</v>
      </c>
      <c r="C187" s="363">
        <v>8792.2999999999993</v>
      </c>
      <c r="D187" s="252">
        <f t="shared" si="4"/>
        <v>-1.4480326630740281E-3</v>
      </c>
      <c r="F187" s="440">
        <v>42780</v>
      </c>
      <c r="G187" s="170">
        <v>649.29999999999995</v>
      </c>
      <c r="H187" s="252">
        <f t="shared" si="5"/>
        <v>-8.2480525431496421E-3</v>
      </c>
    </row>
    <row r="188" spans="2:8" x14ac:dyDescent="0.3">
      <c r="B188" s="440">
        <v>42781</v>
      </c>
      <c r="C188" s="363">
        <v>8724.7000000000007</v>
      </c>
      <c r="D188" s="252">
        <f t="shared" si="4"/>
        <v>-7.6885456592699075E-3</v>
      </c>
      <c r="F188" s="440">
        <v>42781</v>
      </c>
      <c r="G188" s="170">
        <v>623.04999999999995</v>
      </c>
      <c r="H188" s="252">
        <f t="shared" si="5"/>
        <v>-4.0428153395964839E-2</v>
      </c>
    </row>
    <row r="189" spans="2:8" x14ac:dyDescent="0.3">
      <c r="B189" s="440">
        <v>42782</v>
      </c>
      <c r="C189" s="363">
        <v>8778</v>
      </c>
      <c r="D189" s="252">
        <f t="shared" si="4"/>
        <v>6.1090925762490311E-3</v>
      </c>
      <c r="F189" s="440">
        <v>42782</v>
      </c>
      <c r="G189" s="170">
        <v>649.29999999999995</v>
      </c>
      <c r="H189" s="252">
        <f t="shared" si="5"/>
        <v>4.2131450124388126E-2</v>
      </c>
    </row>
    <row r="190" spans="2:8" x14ac:dyDescent="0.3">
      <c r="B190" s="440">
        <v>42783</v>
      </c>
      <c r="C190" s="363">
        <v>8821.7000000000007</v>
      </c>
      <c r="D190" s="252">
        <f t="shared" si="4"/>
        <v>4.9783549783550818E-3</v>
      </c>
      <c r="F190" s="440">
        <v>42783</v>
      </c>
      <c r="G190" s="170">
        <v>675.5</v>
      </c>
      <c r="H190" s="252">
        <f t="shared" si="5"/>
        <v>4.0351147389496411E-2</v>
      </c>
    </row>
    <row r="191" spans="2:8" x14ac:dyDescent="0.3">
      <c r="B191" s="440">
        <v>42786</v>
      </c>
      <c r="C191" s="363">
        <v>8879.2000000000007</v>
      </c>
      <c r="D191" s="252">
        <f t="shared" si="4"/>
        <v>6.5180180690795897E-3</v>
      </c>
      <c r="F191" s="440">
        <v>42786</v>
      </c>
      <c r="G191" s="170">
        <v>679.65</v>
      </c>
      <c r="H191" s="252">
        <f t="shared" si="5"/>
        <v>6.1435973353072271E-3</v>
      </c>
    </row>
    <row r="192" spans="2:8" x14ac:dyDescent="0.3">
      <c r="B192" s="440">
        <v>42787</v>
      </c>
      <c r="C192" s="363">
        <v>8907.85</v>
      </c>
      <c r="D192" s="252">
        <f t="shared" si="4"/>
        <v>3.2266420398232576E-3</v>
      </c>
      <c r="F192" s="440">
        <v>42787</v>
      </c>
      <c r="G192" s="170">
        <v>673.2</v>
      </c>
      <c r="H192" s="252">
        <f t="shared" si="5"/>
        <v>-9.4901787684836814E-3</v>
      </c>
    </row>
    <row r="193" spans="2:8" x14ac:dyDescent="0.3">
      <c r="B193" s="440">
        <v>42788</v>
      </c>
      <c r="C193" s="363">
        <v>8926.9</v>
      </c>
      <c r="D193" s="252">
        <f t="shared" si="4"/>
        <v>2.1385631774220037E-3</v>
      </c>
      <c r="F193" s="440">
        <v>42788</v>
      </c>
      <c r="G193" s="170">
        <v>670.35</v>
      </c>
      <c r="H193" s="252">
        <f t="shared" si="5"/>
        <v>-4.2335115864527983E-3</v>
      </c>
    </row>
    <row r="194" spans="2:8" x14ac:dyDescent="0.3">
      <c r="B194" s="440">
        <v>42789</v>
      </c>
      <c r="C194" s="363">
        <v>8939.5</v>
      </c>
      <c r="D194" s="252">
        <f t="shared" si="4"/>
        <v>1.4114642261031651E-3</v>
      </c>
      <c r="F194" s="440">
        <v>42789</v>
      </c>
      <c r="G194" s="170">
        <v>674.55</v>
      </c>
      <c r="H194" s="252">
        <f t="shared" si="5"/>
        <v>6.2653837547548275E-3</v>
      </c>
    </row>
    <row r="195" spans="2:8" x14ac:dyDescent="0.3">
      <c r="B195" s="440">
        <v>42793</v>
      </c>
      <c r="C195" s="363">
        <v>8896.7000000000007</v>
      </c>
      <c r="D195" s="252">
        <f t="shared" si="4"/>
        <v>-4.7877398064768428E-3</v>
      </c>
      <c r="F195" s="440">
        <v>42793</v>
      </c>
      <c r="G195" s="170">
        <v>674.45</v>
      </c>
      <c r="H195" s="252">
        <f t="shared" si="5"/>
        <v>-1.4824697946769216E-4</v>
      </c>
    </row>
    <row r="196" spans="2:8" x14ac:dyDescent="0.3">
      <c r="B196" s="440">
        <v>42794</v>
      </c>
      <c r="C196" s="363">
        <v>8879.6</v>
      </c>
      <c r="D196" s="252">
        <f t="shared" si="4"/>
        <v>-1.9220609889060158E-3</v>
      </c>
      <c r="F196" s="440">
        <v>42794</v>
      </c>
      <c r="G196" s="170">
        <v>679</v>
      </c>
      <c r="H196" s="252">
        <f t="shared" si="5"/>
        <v>6.7462376751425968E-3</v>
      </c>
    </row>
    <row r="197" spans="2:8" x14ac:dyDescent="0.3">
      <c r="B197" s="440">
        <v>42795</v>
      </c>
      <c r="C197" s="363">
        <v>8945.7999999999993</v>
      </c>
      <c r="D197" s="252">
        <f t="shared" si="4"/>
        <v>7.4552907788638656E-3</v>
      </c>
      <c r="F197" s="440">
        <v>42795</v>
      </c>
      <c r="G197" s="170">
        <v>694.65</v>
      </c>
      <c r="H197" s="252">
        <f t="shared" si="5"/>
        <v>2.3048600883652348E-2</v>
      </c>
    </row>
    <row r="198" spans="2:8" x14ac:dyDescent="0.3">
      <c r="B198" s="440">
        <v>42796</v>
      </c>
      <c r="C198" s="363">
        <v>8899.75</v>
      </c>
      <c r="D198" s="252">
        <f t="shared" si="4"/>
        <v>-5.1476670616378284E-3</v>
      </c>
      <c r="F198" s="440">
        <v>42796</v>
      </c>
      <c r="G198" s="170">
        <v>676.15</v>
      </c>
      <c r="H198" s="252">
        <f t="shared" si="5"/>
        <v>-2.6632116893399504E-2</v>
      </c>
    </row>
    <row r="199" spans="2:8" x14ac:dyDescent="0.3">
      <c r="B199" s="440">
        <v>42797</v>
      </c>
      <c r="C199" s="363">
        <v>8897.5499999999993</v>
      </c>
      <c r="D199" s="252">
        <f t="shared" si="4"/>
        <v>-2.4719795499883457E-4</v>
      </c>
      <c r="F199" s="440">
        <v>42797</v>
      </c>
      <c r="G199" s="170">
        <v>686.45</v>
      </c>
      <c r="H199" s="252">
        <f t="shared" si="5"/>
        <v>1.5233306219034404E-2</v>
      </c>
    </row>
    <row r="200" spans="2:8" x14ac:dyDescent="0.3">
      <c r="B200" s="440">
        <v>42800</v>
      </c>
      <c r="C200" s="363">
        <v>8963.4500000000007</v>
      </c>
      <c r="D200" s="252">
        <f t="shared" si="4"/>
        <v>7.4065332591557453E-3</v>
      </c>
      <c r="F200" s="440">
        <v>42800</v>
      </c>
      <c r="G200" s="170">
        <v>683</v>
      </c>
      <c r="H200" s="252">
        <f t="shared" si="5"/>
        <v>-5.0258576735378035E-3</v>
      </c>
    </row>
    <row r="201" spans="2:8" x14ac:dyDescent="0.3">
      <c r="B201" s="440">
        <v>42801</v>
      </c>
      <c r="C201" s="363">
        <v>8946.9</v>
      </c>
      <c r="D201" s="252">
        <f t="shared" si="4"/>
        <v>-1.8463872727577657E-3</v>
      </c>
      <c r="F201" s="440">
        <v>42801</v>
      </c>
      <c r="G201" s="170">
        <v>679.65</v>
      </c>
      <c r="H201" s="252">
        <f t="shared" si="5"/>
        <v>-4.9048316251830704E-3</v>
      </c>
    </row>
    <row r="202" spans="2:8" x14ac:dyDescent="0.3">
      <c r="B202" s="440">
        <v>42802</v>
      </c>
      <c r="C202" s="363">
        <v>8924.2999999999993</v>
      </c>
      <c r="D202" s="252">
        <f t="shared" si="4"/>
        <v>-2.5260145972347825E-3</v>
      </c>
      <c r="F202" s="440">
        <v>42802</v>
      </c>
      <c r="G202" s="170">
        <v>680.4</v>
      </c>
      <c r="H202" s="252">
        <f t="shared" si="5"/>
        <v>1.1035091591260482E-3</v>
      </c>
    </row>
    <row r="203" spans="2:8" x14ac:dyDescent="0.3">
      <c r="B203" s="440">
        <v>42803</v>
      </c>
      <c r="C203" s="363">
        <v>8927</v>
      </c>
      <c r="D203" s="252">
        <f t="shared" ref="D203:D266" si="6">C203/C202-1</f>
        <v>3.0254473740254362E-4</v>
      </c>
      <c r="F203" s="440">
        <v>42803</v>
      </c>
      <c r="G203" s="170">
        <v>685.15</v>
      </c>
      <c r="H203" s="252">
        <f t="shared" ref="H203:H266" si="7">G203/G202-1</f>
        <v>6.9811875367431497E-3</v>
      </c>
    </row>
    <row r="204" spans="2:8" x14ac:dyDescent="0.3">
      <c r="B204" s="440">
        <v>42804</v>
      </c>
      <c r="C204" s="363">
        <v>8934.5499999999993</v>
      </c>
      <c r="D204" s="252">
        <f t="shared" si="6"/>
        <v>8.457488517978895E-4</v>
      </c>
      <c r="F204" s="440">
        <v>42804</v>
      </c>
      <c r="G204" s="170">
        <v>682.95</v>
      </c>
      <c r="H204" s="252">
        <f t="shared" si="7"/>
        <v>-3.21097569875195E-3</v>
      </c>
    </row>
    <row r="205" spans="2:8" x14ac:dyDescent="0.3">
      <c r="B205" s="440">
        <v>42808</v>
      </c>
      <c r="C205" s="363">
        <v>9087</v>
      </c>
      <c r="D205" s="252">
        <f t="shared" si="6"/>
        <v>1.7062974632186423E-2</v>
      </c>
      <c r="F205" s="440">
        <v>42808</v>
      </c>
      <c r="G205" s="170">
        <v>708.2</v>
      </c>
      <c r="H205" s="252">
        <f t="shared" si="7"/>
        <v>3.6971959879932736E-2</v>
      </c>
    </row>
    <row r="206" spans="2:8" x14ac:dyDescent="0.3">
      <c r="B206" s="440">
        <v>42809</v>
      </c>
      <c r="C206" s="363">
        <v>9084.7999999999993</v>
      </c>
      <c r="D206" s="252">
        <f t="shared" si="6"/>
        <v>-2.4210410476510624E-4</v>
      </c>
      <c r="F206" s="440">
        <v>42809</v>
      </c>
      <c r="G206" s="170">
        <v>705.85</v>
      </c>
      <c r="H206" s="252">
        <f t="shared" si="7"/>
        <v>-3.3182716746682495E-3</v>
      </c>
    </row>
    <row r="207" spans="2:8" x14ac:dyDescent="0.3">
      <c r="B207" s="440">
        <v>42810</v>
      </c>
      <c r="C207" s="363">
        <v>9153.7000000000007</v>
      </c>
      <c r="D207" s="252">
        <f t="shared" si="6"/>
        <v>7.5840965128568527E-3</v>
      </c>
      <c r="F207" s="440">
        <v>42810</v>
      </c>
      <c r="G207" s="170">
        <v>710.8</v>
      </c>
      <c r="H207" s="252">
        <f t="shared" si="7"/>
        <v>7.0128214209816964E-3</v>
      </c>
    </row>
    <row r="208" spans="2:8" x14ac:dyDescent="0.3">
      <c r="B208" s="440">
        <v>42811</v>
      </c>
      <c r="C208" s="363">
        <v>9160.0499999999993</v>
      </c>
      <c r="D208" s="252">
        <f t="shared" si="6"/>
        <v>6.9370855501027506E-4</v>
      </c>
      <c r="F208" s="440">
        <v>42811</v>
      </c>
      <c r="G208" s="170">
        <v>707.5</v>
      </c>
      <c r="H208" s="252">
        <f t="shared" si="7"/>
        <v>-4.642656162070824E-3</v>
      </c>
    </row>
    <row r="209" spans="2:8" x14ac:dyDescent="0.3">
      <c r="B209" s="440">
        <v>42814</v>
      </c>
      <c r="C209" s="363">
        <v>9126.85</v>
      </c>
      <c r="D209" s="252">
        <f t="shared" si="6"/>
        <v>-3.6244343644411536E-3</v>
      </c>
      <c r="F209" s="440">
        <v>42814</v>
      </c>
      <c r="G209" s="170">
        <v>706.55</v>
      </c>
      <c r="H209" s="252">
        <f t="shared" si="7"/>
        <v>-1.3427561837456858E-3</v>
      </c>
    </row>
    <row r="210" spans="2:8" x14ac:dyDescent="0.3">
      <c r="B210" s="440">
        <v>42815</v>
      </c>
      <c r="C210" s="363">
        <v>9121.5</v>
      </c>
      <c r="D210" s="252">
        <f t="shared" si="6"/>
        <v>-5.861825273780763E-4</v>
      </c>
      <c r="F210" s="440">
        <v>42815</v>
      </c>
      <c r="G210" s="170">
        <v>698.05</v>
      </c>
      <c r="H210" s="252">
        <f t="shared" si="7"/>
        <v>-1.2030288019248436E-2</v>
      </c>
    </row>
    <row r="211" spans="2:8" x14ac:dyDescent="0.3">
      <c r="B211" s="440">
        <v>42816</v>
      </c>
      <c r="C211" s="363">
        <v>9030.4500000000007</v>
      </c>
      <c r="D211" s="252">
        <f t="shared" si="6"/>
        <v>-9.9819108699226167E-3</v>
      </c>
      <c r="F211" s="440">
        <v>42816</v>
      </c>
      <c r="G211" s="170">
        <v>701.45</v>
      </c>
      <c r="H211" s="252">
        <f t="shared" si="7"/>
        <v>4.8707112671013686E-3</v>
      </c>
    </row>
    <row r="212" spans="2:8" x14ac:dyDescent="0.3">
      <c r="B212" s="440">
        <v>42817</v>
      </c>
      <c r="C212" s="363">
        <v>9086.2999999999993</v>
      </c>
      <c r="D212" s="252">
        <f t="shared" si="6"/>
        <v>6.1846308877187006E-3</v>
      </c>
      <c r="F212" s="440">
        <v>42817</v>
      </c>
      <c r="G212" s="170">
        <v>703.15</v>
      </c>
      <c r="H212" s="252">
        <f t="shared" si="7"/>
        <v>2.4235512153396588E-3</v>
      </c>
    </row>
    <row r="213" spans="2:8" x14ac:dyDescent="0.3">
      <c r="B213" s="440">
        <v>42818</v>
      </c>
      <c r="C213" s="363">
        <v>9108</v>
      </c>
      <c r="D213" s="252">
        <f t="shared" si="6"/>
        <v>2.3882108228872045E-3</v>
      </c>
      <c r="F213" s="440">
        <v>42818</v>
      </c>
      <c r="G213" s="170">
        <v>703.9</v>
      </c>
      <c r="H213" s="252">
        <f t="shared" si="7"/>
        <v>1.0666287420890708E-3</v>
      </c>
    </row>
    <row r="214" spans="2:8" x14ac:dyDescent="0.3">
      <c r="B214" s="440">
        <v>42821</v>
      </c>
      <c r="C214" s="363">
        <v>9045.2000000000007</v>
      </c>
      <c r="D214" s="252">
        <f t="shared" si="6"/>
        <v>-6.8950373298198864E-3</v>
      </c>
      <c r="F214" s="440">
        <v>42821</v>
      </c>
      <c r="G214" s="170">
        <v>691.2</v>
      </c>
      <c r="H214" s="252">
        <f t="shared" si="7"/>
        <v>-1.8042335559028122E-2</v>
      </c>
    </row>
    <row r="215" spans="2:8" x14ac:dyDescent="0.3">
      <c r="B215" s="440">
        <v>42822</v>
      </c>
      <c r="C215" s="363">
        <v>9100.7999999999993</v>
      </c>
      <c r="D215" s="252">
        <f t="shared" si="6"/>
        <v>6.1469066466190991E-3</v>
      </c>
      <c r="F215" s="440">
        <v>42822</v>
      </c>
      <c r="G215" s="170">
        <v>698.6</v>
      </c>
      <c r="H215" s="252">
        <f t="shared" si="7"/>
        <v>1.0706018518518379E-2</v>
      </c>
    </row>
    <row r="216" spans="2:8" x14ac:dyDescent="0.3">
      <c r="B216" s="440">
        <v>42823</v>
      </c>
      <c r="C216" s="363">
        <v>9143.7999999999993</v>
      </c>
      <c r="D216" s="252">
        <f t="shared" si="6"/>
        <v>4.7248593530238026E-3</v>
      </c>
      <c r="F216" s="440">
        <v>42823</v>
      </c>
      <c r="G216" s="170">
        <v>687.65</v>
      </c>
      <c r="H216" s="252">
        <f t="shared" si="7"/>
        <v>-1.5674205553965148E-2</v>
      </c>
    </row>
    <row r="217" spans="2:8" x14ac:dyDescent="0.3">
      <c r="B217" s="440">
        <v>42824</v>
      </c>
      <c r="C217" s="363">
        <v>9173.75</v>
      </c>
      <c r="D217" s="252">
        <f t="shared" si="6"/>
        <v>3.2754434698922807E-3</v>
      </c>
      <c r="F217" s="440">
        <v>42824</v>
      </c>
      <c r="G217" s="170">
        <v>687.05</v>
      </c>
      <c r="H217" s="252">
        <f t="shared" si="7"/>
        <v>-8.7253690103983317E-4</v>
      </c>
    </row>
    <row r="218" spans="2:8" x14ac:dyDescent="0.3">
      <c r="B218" s="440">
        <v>42825</v>
      </c>
      <c r="C218" s="363">
        <v>9173.75</v>
      </c>
      <c r="D218" s="252">
        <f t="shared" si="6"/>
        <v>0</v>
      </c>
      <c r="F218" s="440">
        <v>42825</v>
      </c>
      <c r="G218" s="170">
        <v>688.15</v>
      </c>
      <c r="H218" s="252">
        <f t="shared" si="7"/>
        <v>1.6010479586638926E-3</v>
      </c>
    </row>
    <row r="219" spans="2:8" x14ac:dyDescent="0.3">
      <c r="B219" s="440">
        <v>42828</v>
      </c>
      <c r="C219" s="363">
        <v>9237.85</v>
      </c>
      <c r="D219" s="252">
        <f t="shared" si="6"/>
        <v>6.9873279738383864E-3</v>
      </c>
      <c r="F219" s="440">
        <v>42828</v>
      </c>
      <c r="G219" s="170">
        <v>692.4</v>
      </c>
      <c r="H219" s="252">
        <f t="shared" si="7"/>
        <v>6.1759790743296517E-3</v>
      </c>
    </row>
    <row r="220" spans="2:8" x14ac:dyDescent="0.3">
      <c r="B220" s="440">
        <v>42830</v>
      </c>
      <c r="C220" s="363">
        <v>9265.15</v>
      </c>
      <c r="D220" s="252">
        <f t="shared" si="6"/>
        <v>2.9552330899504931E-3</v>
      </c>
      <c r="F220" s="440">
        <v>42830</v>
      </c>
      <c r="G220" s="170">
        <v>690.7</v>
      </c>
      <c r="H220" s="252">
        <f t="shared" si="7"/>
        <v>-2.4552281917965546E-3</v>
      </c>
    </row>
    <row r="221" spans="2:8" x14ac:dyDescent="0.3">
      <c r="B221" s="440">
        <v>42831</v>
      </c>
      <c r="C221" s="363">
        <v>9261.9500000000007</v>
      </c>
      <c r="D221" s="252">
        <f t="shared" si="6"/>
        <v>-3.453802690727148E-4</v>
      </c>
      <c r="F221" s="440">
        <v>42831</v>
      </c>
      <c r="G221" s="170">
        <v>686.9</v>
      </c>
      <c r="H221" s="252">
        <f t="shared" si="7"/>
        <v>-5.5016649775591064E-3</v>
      </c>
    </row>
    <row r="222" spans="2:8" x14ac:dyDescent="0.3">
      <c r="B222" s="440">
        <v>42832</v>
      </c>
      <c r="C222" s="363">
        <v>9198.2999999999993</v>
      </c>
      <c r="D222" s="252">
        <f t="shared" si="6"/>
        <v>-6.8722029378264216E-3</v>
      </c>
      <c r="F222" s="440">
        <v>42832</v>
      </c>
      <c r="G222" s="170">
        <v>665.95</v>
      </c>
      <c r="H222" s="252">
        <f t="shared" si="7"/>
        <v>-3.04993448828067E-2</v>
      </c>
    </row>
    <row r="223" spans="2:8" x14ac:dyDescent="0.3">
      <c r="B223" s="440">
        <v>42835</v>
      </c>
      <c r="C223" s="363">
        <v>9181.4500000000007</v>
      </c>
      <c r="D223" s="252">
        <f t="shared" si="6"/>
        <v>-1.8318602350432256E-3</v>
      </c>
      <c r="F223" s="440">
        <v>42835</v>
      </c>
      <c r="G223" s="170">
        <v>667.75</v>
      </c>
      <c r="H223" s="252">
        <f t="shared" si="7"/>
        <v>2.7029056235452487E-3</v>
      </c>
    </row>
    <row r="224" spans="2:8" x14ac:dyDescent="0.3">
      <c r="B224" s="440">
        <v>42836</v>
      </c>
      <c r="C224" s="363">
        <v>9237</v>
      </c>
      <c r="D224" s="252">
        <f t="shared" si="6"/>
        <v>6.0502426087380989E-3</v>
      </c>
      <c r="F224" s="440">
        <v>42836</v>
      </c>
      <c r="G224" s="170">
        <v>670.4</v>
      </c>
      <c r="H224" s="252">
        <f t="shared" si="7"/>
        <v>3.9685511044551536E-3</v>
      </c>
    </row>
    <row r="225" spans="2:8" x14ac:dyDescent="0.3">
      <c r="B225" s="440">
        <v>42837</v>
      </c>
      <c r="C225" s="363">
        <v>9203.4500000000007</v>
      </c>
      <c r="D225" s="252">
        <f t="shared" si="6"/>
        <v>-3.6321316444731799E-3</v>
      </c>
      <c r="F225" s="440">
        <v>42837</v>
      </c>
      <c r="G225" s="170">
        <v>683.25</v>
      </c>
      <c r="H225" s="252">
        <f t="shared" si="7"/>
        <v>1.9167661097852173E-2</v>
      </c>
    </row>
    <row r="226" spans="2:8" x14ac:dyDescent="0.3">
      <c r="B226" s="440">
        <v>42838</v>
      </c>
      <c r="C226" s="363">
        <v>9150.7999999999993</v>
      </c>
      <c r="D226" s="252">
        <f t="shared" si="6"/>
        <v>-5.7206808316447866E-3</v>
      </c>
      <c r="F226" s="440">
        <v>42838</v>
      </c>
      <c r="G226" s="170">
        <v>692.75</v>
      </c>
      <c r="H226" s="252">
        <f t="shared" si="7"/>
        <v>1.3904134650567057E-2</v>
      </c>
    </row>
    <row r="227" spans="2:8" x14ac:dyDescent="0.3">
      <c r="B227" s="440">
        <v>42842</v>
      </c>
      <c r="C227" s="363">
        <v>9139.2999999999993</v>
      </c>
      <c r="D227" s="252">
        <f t="shared" si="6"/>
        <v>-1.2567207238711742E-3</v>
      </c>
      <c r="F227" s="440">
        <v>42842</v>
      </c>
      <c r="G227" s="170">
        <v>677.05</v>
      </c>
      <c r="H227" s="252">
        <f t="shared" si="7"/>
        <v>-2.2663298448213687E-2</v>
      </c>
    </row>
    <row r="228" spans="2:8" x14ac:dyDescent="0.3">
      <c r="B228" s="440">
        <v>42843</v>
      </c>
      <c r="C228" s="363">
        <v>9105.15</v>
      </c>
      <c r="D228" s="252">
        <f t="shared" si="6"/>
        <v>-3.7366100248377165E-3</v>
      </c>
      <c r="F228" s="440">
        <v>42843</v>
      </c>
      <c r="G228" s="170">
        <v>665.15</v>
      </c>
      <c r="H228" s="252">
        <f t="shared" si="7"/>
        <v>-1.7576249907687691E-2</v>
      </c>
    </row>
    <row r="229" spans="2:8" x14ac:dyDescent="0.3">
      <c r="B229" s="440">
        <v>42844</v>
      </c>
      <c r="C229" s="363">
        <v>9103.5</v>
      </c>
      <c r="D229" s="252">
        <f t="shared" si="6"/>
        <v>-1.812161249402644E-4</v>
      </c>
      <c r="F229" s="440">
        <v>42844</v>
      </c>
      <c r="G229" s="170">
        <v>663.35</v>
      </c>
      <c r="H229" s="252">
        <f t="shared" si="7"/>
        <v>-2.706156506051216E-3</v>
      </c>
    </row>
    <row r="230" spans="2:8" x14ac:dyDescent="0.3">
      <c r="B230" s="440">
        <v>42845</v>
      </c>
      <c r="C230" s="363">
        <v>9136.4</v>
      </c>
      <c r="D230" s="252">
        <f t="shared" si="6"/>
        <v>3.6139946174547077E-3</v>
      </c>
      <c r="F230" s="440">
        <v>42845</v>
      </c>
      <c r="G230" s="170">
        <v>655.95</v>
      </c>
      <c r="H230" s="252">
        <f t="shared" si="7"/>
        <v>-1.1155498605562642E-2</v>
      </c>
    </row>
    <row r="231" spans="2:8" x14ac:dyDescent="0.3">
      <c r="B231" s="440">
        <v>42846</v>
      </c>
      <c r="C231" s="363">
        <v>9119.4</v>
      </c>
      <c r="D231" s="252">
        <f t="shared" si="6"/>
        <v>-1.8606891116851321E-3</v>
      </c>
      <c r="F231" s="440">
        <v>42846</v>
      </c>
      <c r="G231" s="170">
        <v>639.6</v>
      </c>
      <c r="H231" s="252">
        <f t="shared" si="7"/>
        <v>-2.4925680310999399E-2</v>
      </c>
    </row>
    <row r="232" spans="2:8" x14ac:dyDescent="0.3">
      <c r="B232" s="440">
        <v>42849</v>
      </c>
      <c r="C232" s="363">
        <v>9217.9500000000007</v>
      </c>
      <c r="D232" s="252">
        <f t="shared" si="6"/>
        <v>1.0806632015264217E-2</v>
      </c>
      <c r="F232" s="440">
        <v>42849</v>
      </c>
      <c r="G232" s="170">
        <v>642.85</v>
      </c>
      <c r="H232" s="252">
        <f t="shared" si="7"/>
        <v>5.0813008130081716E-3</v>
      </c>
    </row>
    <row r="233" spans="2:8" x14ac:dyDescent="0.3">
      <c r="B233" s="440">
        <v>42850</v>
      </c>
      <c r="C233" s="363">
        <v>9306.6</v>
      </c>
      <c r="D233" s="252">
        <f t="shared" si="6"/>
        <v>9.6171057556180273E-3</v>
      </c>
      <c r="F233" s="440">
        <v>42850</v>
      </c>
      <c r="G233" s="170">
        <v>642.54999999999995</v>
      </c>
      <c r="H233" s="252">
        <f t="shared" si="7"/>
        <v>-4.6667185190951699E-4</v>
      </c>
    </row>
    <row r="234" spans="2:8" x14ac:dyDescent="0.3">
      <c r="B234" s="440">
        <v>42851</v>
      </c>
      <c r="C234" s="363">
        <v>9351.85</v>
      </c>
      <c r="D234" s="252">
        <f t="shared" si="6"/>
        <v>4.8621408462812266E-3</v>
      </c>
      <c r="F234" s="440">
        <v>42851</v>
      </c>
      <c r="G234" s="170">
        <v>642.79999999999995</v>
      </c>
      <c r="H234" s="252">
        <f t="shared" si="7"/>
        <v>3.8907478017269348E-4</v>
      </c>
    </row>
    <row r="235" spans="2:8" x14ac:dyDescent="0.3">
      <c r="B235" s="440">
        <v>42852</v>
      </c>
      <c r="C235" s="363">
        <v>9342.15</v>
      </c>
      <c r="D235" s="252">
        <f t="shared" si="6"/>
        <v>-1.0372279281640751E-3</v>
      </c>
      <c r="F235" s="440">
        <v>42852</v>
      </c>
      <c r="G235" s="170">
        <v>637</v>
      </c>
      <c r="H235" s="252">
        <f t="shared" si="7"/>
        <v>-9.0230242688238427E-3</v>
      </c>
    </row>
    <row r="236" spans="2:8" x14ac:dyDescent="0.3">
      <c r="B236" s="440">
        <v>42853</v>
      </c>
      <c r="C236" s="363">
        <v>9304.0499999999993</v>
      </c>
      <c r="D236" s="252">
        <f t="shared" si="6"/>
        <v>-4.0782903293139494E-3</v>
      </c>
      <c r="F236" s="440">
        <v>42853</v>
      </c>
      <c r="G236" s="170">
        <v>641.95000000000005</v>
      </c>
      <c r="H236" s="252">
        <f t="shared" si="7"/>
        <v>7.7708006279435526E-3</v>
      </c>
    </row>
    <row r="237" spans="2:8" x14ac:dyDescent="0.3">
      <c r="B237" s="440">
        <v>42857</v>
      </c>
      <c r="C237" s="363">
        <v>9313.7999999999993</v>
      </c>
      <c r="D237" s="252">
        <f t="shared" si="6"/>
        <v>1.0479307398389981E-3</v>
      </c>
      <c r="F237" s="440">
        <v>42857</v>
      </c>
      <c r="G237" s="170">
        <v>632.79999999999995</v>
      </c>
      <c r="H237" s="252">
        <f t="shared" si="7"/>
        <v>-1.4253446530103742E-2</v>
      </c>
    </row>
    <row r="238" spans="2:8" x14ac:dyDescent="0.3">
      <c r="B238" s="440">
        <v>42858</v>
      </c>
      <c r="C238" s="363">
        <v>9311.9500000000007</v>
      </c>
      <c r="D238" s="252">
        <f t="shared" si="6"/>
        <v>-1.9862998990727299E-4</v>
      </c>
      <c r="F238" s="440">
        <v>42858</v>
      </c>
      <c r="G238" s="170">
        <v>628.85</v>
      </c>
      <c r="H238" s="252">
        <f t="shared" si="7"/>
        <v>-6.2420986093550956E-3</v>
      </c>
    </row>
    <row r="239" spans="2:8" x14ac:dyDescent="0.3">
      <c r="B239" s="440">
        <v>42859</v>
      </c>
      <c r="C239" s="363">
        <v>9359.9</v>
      </c>
      <c r="D239" s="252">
        <f t="shared" si="6"/>
        <v>5.1492974081690512E-3</v>
      </c>
      <c r="F239" s="440">
        <v>42859</v>
      </c>
      <c r="G239" s="170">
        <v>631.5</v>
      </c>
      <c r="H239" s="252">
        <f t="shared" si="7"/>
        <v>4.2140415043332435E-3</v>
      </c>
    </row>
    <row r="240" spans="2:8" x14ac:dyDescent="0.3">
      <c r="B240" s="440">
        <v>42860</v>
      </c>
      <c r="C240" s="363">
        <v>9285.2999999999993</v>
      </c>
      <c r="D240" s="252">
        <f t="shared" si="6"/>
        <v>-7.9701706214810875E-3</v>
      </c>
      <c r="F240" s="440">
        <v>42860</v>
      </c>
      <c r="G240" s="170">
        <v>630.20000000000005</v>
      </c>
      <c r="H240" s="252">
        <f t="shared" si="7"/>
        <v>-2.0585906571654045E-3</v>
      </c>
    </row>
    <row r="241" spans="2:8" x14ac:dyDescent="0.3">
      <c r="B241" s="440">
        <v>42863</v>
      </c>
      <c r="C241" s="363">
        <v>9314.0499999999993</v>
      </c>
      <c r="D241" s="252">
        <f t="shared" si="6"/>
        <v>3.0962919884118811E-3</v>
      </c>
      <c r="F241" s="440">
        <v>42863</v>
      </c>
      <c r="G241" s="170">
        <v>637.15</v>
      </c>
      <c r="H241" s="252">
        <f t="shared" si="7"/>
        <v>1.1028245001586612E-2</v>
      </c>
    </row>
    <row r="242" spans="2:8" x14ac:dyDescent="0.3">
      <c r="B242" s="440">
        <v>42864</v>
      </c>
      <c r="C242" s="363">
        <v>9316.85</v>
      </c>
      <c r="D242" s="252">
        <f t="shared" si="6"/>
        <v>3.0062110467521386E-4</v>
      </c>
      <c r="F242" s="440">
        <v>42864</v>
      </c>
      <c r="G242" s="170">
        <v>640.29999999999995</v>
      </c>
      <c r="H242" s="252">
        <f t="shared" si="7"/>
        <v>4.9438907635563911E-3</v>
      </c>
    </row>
    <row r="243" spans="2:8" x14ac:dyDescent="0.3">
      <c r="B243" s="440">
        <v>42865</v>
      </c>
      <c r="C243" s="363">
        <v>9407.2999999999993</v>
      </c>
      <c r="D243" s="252">
        <f t="shared" si="6"/>
        <v>9.708216832942318E-3</v>
      </c>
      <c r="F243" s="440">
        <v>42865</v>
      </c>
      <c r="G243" s="170">
        <v>642.79999999999995</v>
      </c>
      <c r="H243" s="252">
        <f t="shared" si="7"/>
        <v>3.9044198032172073E-3</v>
      </c>
    </row>
    <row r="244" spans="2:8" x14ac:dyDescent="0.3">
      <c r="B244" s="440">
        <v>42866</v>
      </c>
      <c r="C244" s="363">
        <v>9422.4</v>
      </c>
      <c r="D244" s="252">
        <f t="shared" si="6"/>
        <v>1.6051364365972098E-3</v>
      </c>
      <c r="F244" s="440">
        <v>42866</v>
      </c>
      <c r="G244" s="170">
        <v>648.45000000000005</v>
      </c>
      <c r="H244" s="252">
        <f t="shared" si="7"/>
        <v>8.7896701929062182E-3</v>
      </c>
    </row>
    <row r="245" spans="2:8" x14ac:dyDescent="0.3">
      <c r="B245" s="440">
        <v>42867</v>
      </c>
      <c r="C245" s="363">
        <v>9400.9</v>
      </c>
      <c r="D245" s="252">
        <f t="shared" si="6"/>
        <v>-2.2817965698760379E-3</v>
      </c>
      <c r="F245" s="440">
        <v>42867</v>
      </c>
      <c r="G245" s="170">
        <v>655.1</v>
      </c>
      <c r="H245" s="252">
        <f t="shared" si="7"/>
        <v>1.0255223995681906E-2</v>
      </c>
    </row>
    <row r="246" spans="2:8" x14ac:dyDescent="0.3">
      <c r="B246" s="440">
        <v>42870</v>
      </c>
      <c r="C246" s="363">
        <v>9445.4</v>
      </c>
      <c r="D246" s="252">
        <f t="shared" si="6"/>
        <v>4.7335893371911464E-3</v>
      </c>
      <c r="F246" s="440">
        <v>42870</v>
      </c>
      <c r="G246" s="170">
        <v>654.45000000000005</v>
      </c>
      <c r="H246" s="252">
        <f t="shared" si="7"/>
        <v>-9.9221492901846453E-4</v>
      </c>
    </row>
    <row r="247" spans="2:8" x14ac:dyDescent="0.3">
      <c r="B247" s="440">
        <v>42871</v>
      </c>
      <c r="C247" s="363">
        <v>9512.25</v>
      </c>
      <c r="D247" s="252">
        <f t="shared" si="6"/>
        <v>7.0775192157028766E-3</v>
      </c>
      <c r="F247" s="440">
        <v>42871</v>
      </c>
      <c r="G247" s="170">
        <v>652.35</v>
      </c>
      <c r="H247" s="252">
        <f t="shared" si="7"/>
        <v>-3.2088012835205237E-3</v>
      </c>
    </row>
    <row r="248" spans="2:8" x14ac:dyDescent="0.3">
      <c r="B248" s="440">
        <v>42872</v>
      </c>
      <c r="C248" s="363">
        <v>9525.75</v>
      </c>
      <c r="D248" s="252">
        <f t="shared" si="6"/>
        <v>1.4192225814082526E-3</v>
      </c>
      <c r="F248" s="440">
        <v>42872</v>
      </c>
      <c r="G248" s="170">
        <v>650.9</v>
      </c>
      <c r="H248" s="252">
        <f t="shared" si="7"/>
        <v>-2.2227331953706964E-3</v>
      </c>
    </row>
    <row r="249" spans="2:8" x14ac:dyDescent="0.3">
      <c r="B249" s="440">
        <v>42873</v>
      </c>
      <c r="C249" s="363">
        <v>9429.4500000000007</v>
      </c>
      <c r="D249" s="252">
        <f t="shared" si="6"/>
        <v>-1.0109440201558906E-2</v>
      </c>
      <c r="F249" s="440">
        <v>42873</v>
      </c>
      <c r="G249" s="170">
        <v>653.95000000000005</v>
      </c>
      <c r="H249" s="252">
        <f t="shared" si="7"/>
        <v>4.6858196343524394E-3</v>
      </c>
    </row>
    <row r="250" spans="2:8" x14ac:dyDescent="0.3">
      <c r="B250" s="440">
        <v>42874</v>
      </c>
      <c r="C250" s="363">
        <v>9427.9</v>
      </c>
      <c r="D250" s="252">
        <f t="shared" si="6"/>
        <v>-1.643786222951249E-4</v>
      </c>
      <c r="F250" s="440">
        <v>42874</v>
      </c>
      <c r="G250" s="170">
        <v>653.15</v>
      </c>
      <c r="H250" s="252">
        <f t="shared" si="7"/>
        <v>-1.2233351173638329E-3</v>
      </c>
    </row>
    <row r="251" spans="2:8" x14ac:dyDescent="0.3">
      <c r="B251" s="440">
        <v>42877</v>
      </c>
      <c r="C251" s="363">
        <v>9438.25</v>
      </c>
      <c r="D251" s="252">
        <f t="shared" si="6"/>
        <v>1.0978054497821077E-3</v>
      </c>
      <c r="F251" s="440">
        <v>42877</v>
      </c>
      <c r="G251" s="170">
        <v>640.15</v>
      </c>
      <c r="H251" s="252">
        <f t="shared" si="7"/>
        <v>-1.9903544361938308E-2</v>
      </c>
    </row>
    <row r="252" spans="2:8" x14ac:dyDescent="0.3">
      <c r="B252" s="440">
        <v>42878</v>
      </c>
      <c r="C252" s="363">
        <v>9386.15</v>
      </c>
      <c r="D252" s="252">
        <f t="shared" si="6"/>
        <v>-5.5200911185866453E-3</v>
      </c>
      <c r="F252" s="440">
        <v>42878</v>
      </c>
      <c r="G252" s="170">
        <v>614.1</v>
      </c>
      <c r="H252" s="252">
        <f t="shared" si="7"/>
        <v>-4.0693587440443602E-2</v>
      </c>
    </row>
    <row r="253" spans="2:8" x14ac:dyDescent="0.3">
      <c r="B253" s="440">
        <v>42879</v>
      </c>
      <c r="C253" s="363">
        <v>9360.5499999999993</v>
      </c>
      <c r="D253" s="252">
        <f t="shared" si="6"/>
        <v>-2.7274228517549792E-3</v>
      </c>
      <c r="F253" s="440">
        <v>42879</v>
      </c>
      <c r="G253" s="170">
        <v>603.5</v>
      </c>
      <c r="H253" s="252">
        <f t="shared" si="7"/>
        <v>-1.726103240514576E-2</v>
      </c>
    </row>
    <row r="254" spans="2:8" x14ac:dyDescent="0.3">
      <c r="B254" s="440">
        <v>42880</v>
      </c>
      <c r="C254" s="363">
        <v>9509.75</v>
      </c>
      <c r="D254" s="252">
        <f t="shared" si="6"/>
        <v>1.5939234339862551E-2</v>
      </c>
      <c r="F254" s="440">
        <v>42880</v>
      </c>
      <c r="G254" s="170">
        <v>591.54999999999995</v>
      </c>
      <c r="H254" s="252">
        <f t="shared" si="7"/>
        <v>-1.9801159900580068E-2</v>
      </c>
    </row>
    <row r="255" spans="2:8" x14ac:dyDescent="0.3">
      <c r="B255" s="440">
        <v>42881</v>
      </c>
      <c r="C255" s="363">
        <v>9595.1</v>
      </c>
      <c r="D255" s="252">
        <f t="shared" si="6"/>
        <v>8.9749993427798991E-3</v>
      </c>
      <c r="F255" s="440">
        <v>42881</v>
      </c>
      <c r="G255" s="170">
        <v>567.65</v>
      </c>
      <c r="H255" s="252">
        <f t="shared" si="7"/>
        <v>-4.0402332854365564E-2</v>
      </c>
    </row>
    <row r="256" spans="2:8" x14ac:dyDescent="0.3">
      <c r="B256" s="440">
        <v>42884</v>
      </c>
      <c r="C256" s="363">
        <v>9604.9</v>
      </c>
      <c r="D256" s="252">
        <f t="shared" si="6"/>
        <v>1.0213546497690462E-3</v>
      </c>
      <c r="F256" s="440">
        <v>42884</v>
      </c>
      <c r="G256" s="170">
        <v>502.6</v>
      </c>
      <c r="H256" s="252">
        <f t="shared" si="7"/>
        <v>-0.11459526116444985</v>
      </c>
    </row>
    <row r="257" spans="2:8" x14ac:dyDescent="0.3">
      <c r="B257" s="440">
        <v>42885</v>
      </c>
      <c r="C257" s="363">
        <v>9624.5499999999993</v>
      </c>
      <c r="D257" s="252">
        <f t="shared" si="6"/>
        <v>2.0458307738757675E-3</v>
      </c>
      <c r="F257" s="440">
        <v>42885</v>
      </c>
      <c r="G257" s="170">
        <v>508</v>
      </c>
      <c r="H257" s="252">
        <f t="shared" si="7"/>
        <v>1.0744130521289197E-2</v>
      </c>
    </row>
    <row r="258" spans="2:8" x14ac:dyDescent="0.3">
      <c r="B258" s="440">
        <v>42886</v>
      </c>
      <c r="C258" s="363">
        <v>9621.25</v>
      </c>
      <c r="D258" s="252">
        <f t="shared" si="6"/>
        <v>-3.428731732911805E-4</v>
      </c>
      <c r="F258" s="440">
        <v>42886</v>
      </c>
      <c r="G258" s="170">
        <v>501.6</v>
      </c>
      <c r="H258" s="252">
        <f t="shared" si="7"/>
        <v>-1.2598425196850394E-2</v>
      </c>
    </row>
    <row r="259" spans="2:8" x14ac:dyDescent="0.3">
      <c r="B259" s="440">
        <v>42887</v>
      </c>
      <c r="C259" s="363">
        <v>9616.1</v>
      </c>
      <c r="D259" s="252">
        <f t="shared" si="6"/>
        <v>-5.3527348317528034E-4</v>
      </c>
      <c r="F259" s="440">
        <v>42887</v>
      </c>
      <c r="G259" s="170">
        <v>507.45</v>
      </c>
      <c r="H259" s="252">
        <f t="shared" si="7"/>
        <v>1.1662679425837208E-2</v>
      </c>
    </row>
    <row r="260" spans="2:8" x14ac:dyDescent="0.3">
      <c r="B260" s="440">
        <v>42888</v>
      </c>
      <c r="C260" s="363">
        <v>9653.5</v>
      </c>
      <c r="D260" s="252">
        <f t="shared" si="6"/>
        <v>3.8893106352886342E-3</v>
      </c>
      <c r="F260" s="440">
        <v>42888</v>
      </c>
      <c r="G260" s="170">
        <v>514.85</v>
      </c>
      <c r="H260" s="252">
        <f t="shared" si="7"/>
        <v>1.4582717509114218E-2</v>
      </c>
    </row>
    <row r="261" spans="2:8" x14ac:dyDescent="0.3">
      <c r="B261" s="440">
        <v>42891</v>
      </c>
      <c r="C261" s="363">
        <v>9675.1</v>
      </c>
      <c r="D261" s="252">
        <f t="shared" si="6"/>
        <v>2.2375304293780207E-3</v>
      </c>
      <c r="F261" s="440">
        <v>42891</v>
      </c>
      <c r="G261" s="170">
        <v>512.79999999999995</v>
      </c>
      <c r="H261" s="252">
        <f t="shared" si="7"/>
        <v>-3.9817422550258996E-3</v>
      </c>
    </row>
    <row r="262" spans="2:8" x14ac:dyDescent="0.3">
      <c r="B262" s="440">
        <v>42892</v>
      </c>
      <c r="C262" s="363">
        <v>9637.15</v>
      </c>
      <c r="D262" s="252">
        <f t="shared" si="6"/>
        <v>-3.9224400781388002E-3</v>
      </c>
      <c r="F262" s="440">
        <v>42892</v>
      </c>
      <c r="G262" s="170">
        <v>504.3</v>
      </c>
      <c r="H262" s="252">
        <f t="shared" si="7"/>
        <v>-1.6575663026520915E-2</v>
      </c>
    </row>
    <row r="263" spans="2:8" x14ac:dyDescent="0.3">
      <c r="B263" s="440">
        <v>42893</v>
      </c>
      <c r="C263" s="363">
        <v>9663.9</v>
      </c>
      <c r="D263" s="252">
        <f t="shared" si="6"/>
        <v>2.7757168872539761E-3</v>
      </c>
      <c r="F263" s="440">
        <v>42893</v>
      </c>
      <c r="G263" s="170">
        <v>511.55</v>
      </c>
      <c r="H263" s="252">
        <f t="shared" si="7"/>
        <v>1.4376363275827808E-2</v>
      </c>
    </row>
    <row r="264" spans="2:8" x14ac:dyDescent="0.3">
      <c r="B264" s="440">
        <v>42894</v>
      </c>
      <c r="C264" s="363">
        <v>9647.25</v>
      </c>
      <c r="D264" s="252">
        <f t="shared" si="6"/>
        <v>-1.7229069009405684E-3</v>
      </c>
      <c r="F264" s="440">
        <v>42894</v>
      </c>
      <c r="G264" s="170">
        <v>528.85</v>
      </c>
      <c r="H264" s="252">
        <f t="shared" si="7"/>
        <v>3.3818786042420168E-2</v>
      </c>
    </row>
    <row r="265" spans="2:8" x14ac:dyDescent="0.3">
      <c r="B265" s="440">
        <v>42895</v>
      </c>
      <c r="C265" s="363">
        <v>9668.25</v>
      </c>
      <c r="D265" s="252">
        <f t="shared" si="6"/>
        <v>2.1767861307626646E-3</v>
      </c>
      <c r="F265" s="440">
        <v>42895</v>
      </c>
      <c r="G265" s="170">
        <v>524.70000000000005</v>
      </c>
      <c r="H265" s="252">
        <f t="shared" si="7"/>
        <v>-7.8472156566133933E-3</v>
      </c>
    </row>
    <row r="266" spans="2:8" x14ac:dyDescent="0.3">
      <c r="B266" s="440">
        <v>42898</v>
      </c>
      <c r="C266" s="363">
        <v>9616.4</v>
      </c>
      <c r="D266" s="252">
        <f t="shared" si="6"/>
        <v>-5.3629146950069373E-3</v>
      </c>
      <c r="F266" s="440">
        <v>42898</v>
      </c>
      <c r="G266" s="170">
        <v>532.54999999999995</v>
      </c>
      <c r="H266" s="252">
        <f t="shared" si="7"/>
        <v>1.496093005526955E-2</v>
      </c>
    </row>
    <row r="267" spans="2:8" x14ac:dyDescent="0.3">
      <c r="B267" s="440">
        <v>42899</v>
      </c>
      <c r="C267" s="363">
        <v>9606.9</v>
      </c>
      <c r="D267" s="252">
        <f t="shared" ref="D267:D330" si="8">C267/C266-1</f>
        <v>-9.8789567821633284E-4</v>
      </c>
      <c r="F267" s="440">
        <v>42899</v>
      </c>
      <c r="G267" s="170">
        <v>537.20000000000005</v>
      </c>
      <c r="H267" s="252">
        <f t="shared" ref="H267:H330" si="9">G267/G266-1</f>
        <v>8.7315745000471345E-3</v>
      </c>
    </row>
    <row r="268" spans="2:8" x14ac:dyDescent="0.3">
      <c r="B268" s="440">
        <v>42900</v>
      </c>
      <c r="C268" s="363">
        <v>9618.15</v>
      </c>
      <c r="D268" s="252">
        <f t="shared" si="8"/>
        <v>1.1710333198013956E-3</v>
      </c>
      <c r="F268" s="440">
        <v>42900</v>
      </c>
      <c r="G268" s="170">
        <v>539.54999999999995</v>
      </c>
      <c r="H268" s="252">
        <f t="shared" si="9"/>
        <v>4.3745346239760785E-3</v>
      </c>
    </row>
    <row r="269" spans="2:8" x14ac:dyDescent="0.3">
      <c r="B269" s="440">
        <v>42901</v>
      </c>
      <c r="C269" s="363">
        <v>9578.0499999999993</v>
      </c>
      <c r="D269" s="252">
        <f t="shared" si="8"/>
        <v>-4.1692009378103689E-3</v>
      </c>
      <c r="F269" s="440">
        <v>42901</v>
      </c>
      <c r="G269" s="170">
        <v>544</v>
      </c>
      <c r="H269" s="252">
        <f t="shared" si="9"/>
        <v>8.2476137522009552E-3</v>
      </c>
    </row>
    <row r="270" spans="2:8" x14ac:dyDescent="0.3">
      <c r="B270" s="440">
        <v>42902</v>
      </c>
      <c r="C270" s="363">
        <v>9588.0499999999993</v>
      </c>
      <c r="D270" s="252">
        <f t="shared" si="8"/>
        <v>1.0440538522977771E-3</v>
      </c>
      <c r="F270" s="440">
        <v>42902</v>
      </c>
      <c r="G270" s="170">
        <v>529.15</v>
      </c>
      <c r="H270" s="252">
        <f t="shared" si="9"/>
        <v>-2.7297794117647101E-2</v>
      </c>
    </row>
    <row r="271" spans="2:8" x14ac:dyDescent="0.3">
      <c r="B271" s="440">
        <v>42905</v>
      </c>
      <c r="C271" s="363">
        <v>9657.5499999999993</v>
      </c>
      <c r="D271" s="252">
        <f t="shared" si="8"/>
        <v>7.2486063380978738E-3</v>
      </c>
      <c r="F271" s="440">
        <v>42905</v>
      </c>
      <c r="G271" s="170">
        <v>524.85</v>
      </c>
      <c r="H271" s="252">
        <f t="shared" si="9"/>
        <v>-8.1262401965415121E-3</v>
      </c>
    </row>
    <row r="272" spans="2:8" x14ac:dyDescent="0.3">
      <c r="B272" s="440">
        <v>42906</v>
      </c>
      <c r="C272" s="363">
        <v>9653.5</v>
      </c>
      <c r="D272" s="252">
        <f t="shared" si="8"/>
        <v>-4.1936101806350212E-4</v>
      </c>
      <c r="F272" s="440">
        <v>42906</v>
      </c>
      <c r="G272" s="170">
        <v>523.79999999999995</v>
      </c>
      <c r="H272" s="252">
        <f t="shared" si="9"/>
        <v>-2.0005715918834932E-3</v>
      </c>
    </row>
    <row r="273" spans="2:8" x14ac:dyDescent="0.3">
      <c r="B273" s="440">
        <v>42907</v>
      </c>
      <c r="C273" s="363">
        <v>9633.6</v>
      </c>
      <c r="D273" s="252">
        <f t="shared" si="8"/>
        <v>-2.0614284974361796E-3</v>
      </c>
      <c r="F273" s="440">
        <v>42907</v>
      </c>
      <c r="G273" s="170">
        <v>528</v>
      </c>
      <c r="H273" s="252">
        <f t="shared" si="9"/>
        <v>8.0183276059566655E-3</v>
      </c>
    </row>
    <row r="274" spans="2:8" x14ac:dyDescent="0.3">
      <c r="B274" s="440">
        <v>42908</v>
      </c>
      <c r="C274" s="363">
        <v>9630</v>
      </c>
      <c r="D274" s="252">
        <f t="shared" si="8"/>
        <v>-3.7369207772797175E-4</v>
      </c>
      <c r="F274" s="440">
        <v>42908</v>
      </c>
      <c r="G274" s="170">
        <v>538.70000000000005</v>
      </c>
      <c r="H274" s="252">
        <f t="shared" si="9"/>
        <v>2.0265151515151514E-2</v>
      </c>
    </row>
    <row r="275" spans="2:8" x14ac:dyDescent="0.3">
      <c r="B275" s="440">
        <v>42909</v>
      </c>
      <c r="C275" s="363">
        <v>9574.9500000000007</v>
      </c>
      <c r="D275" s="252">
        <f t="shared" si="8"/>
        <v>-5.7165109034267303E-3</v>
      </c>
      <c r="F275" s="440">
        <v>42909</v>
      </c>
      <c r="G275" s="170">
        <v>543.79999999999995</v>
      </c>
      <c r="H275" s="252">
        <f t="shared" si="9"/>
        <v>9.4672359383700666E-3</v>
      </c>
    </row>
    <row r="276" spans="2:8" x14ac:dyDescent="0.3">
      <c r="B276" s="440">
        <v>42913</v>
      </c>
      <c r="C276" s="363">
        <v>9511.4</v>
      </c>
      <c r="D276" s="252">
        <f t="shared" si="8"/>
        <v>-6.6371103765555661E-3</v>
      </c>
      <c r="F276" s="440">
        <v>42913</v>
      </c>
      <c r="G276" s="170">
        <v>544.04999999999995</v>
      </c>
      <c r="H276" s="252">
        <f t="shared" si="9"/>
        <v>4.5972784111802945E-4</v>
      </c>
    </row>
    <row r="277" spans="2:8" x14ac:dyDescent="0.3">
      <c r="B277" s="440">
        <v>42914</v>
      </c>
      <c r="C277" s="363">
        <v>9491.25</v>
      </c>
      <c r="D277" s="252">
        <f t="shared" si="8"/>
        <v>-2.1185104190760695E-3</v>
      </c>
      <c r="F277" s="440">
        <v>42914</v>
      </c>
      <c r="G277" s="170">
        <v>545.45000000000005</v>
      </c>
      <c r="H277" s="252">
        <f t="shared" si="9"/>
        <v>2.5732928958737133E-3</v>
      </c>
    </row>
    <row r="278" spans="2:8" x14ac:dyDescent="0.3">
      <c r="B278" s="440">
        <v>42915</v>
      </c>
      <c r="C278" s="363">
        <v>9504.1</v>
      </c>
      <c r="D278" s="252">
        <f t="shared" si="8"/>
        <v>1.3538785723692381E-3</v>
      </c>
      <c r="F278" s="440">
        <v>42915</v>
      </c>
      <c r="G278" s="170">
        <v>536.9</v>
      </c>
      <c r="H278" s="252">
        <f t="shared" si="9"/>
        <v>-1.5675130626088718E-2</v>
      </c>
    </row>
    <row r="279" spans="2:8" x14ac:dyDescent="0.3">
      <c r="B279" s="440">
        <v>42916</v>
      </c>
      <c r="C279" s="363">
        <v>9520.9</v>
      </c>
      <c r="D279" s="252">
        <f t="shared" si="8"/>
        <v>1.767658168579711E-3</v>
      </c>
      <c r="F279" s="440">
        <v>42916</v>
      </c>
      <c r="G279" s="170">
        <v>555.70000000000005</v>
      </c>
      <c r="H279" s="252">
        <f t="shared" si="9"/>
        <v>3.5015831626001193E-2</v>
      </c>
    </row>
    <row r="280" spans="2:8" x14ac:dyDescent="0.3">
      <c r="B280" s="440">
        <v>42919</v>
      </c>
      <c r="C280" s="363">
        <v>9615</v>
      </c>
      <c r="D280" s="252">
        <f t="shared" si="8"/>
        <v>9.8835194151813965E-3</v>
      </c>
      <c r="F280" s="440">
        <v>42919</v>
      </c>
      <c r="G280" s="170">
        <v>552</v>
      </c>
      <c r="H280" s="252">
        <f t="shared" si="9"/>
        <v>-6.6582688500990139E-3</v>
      </c>
    </row>
    <row r="281" spans="2:8" x14ac:dyDescent="0.3">
      <c r="B281" s="440">
        <v>42920</v>
      </c>
      <c r="C281" s="363">
        <v>9613.2999999999993</v>
      </c>
      <c r="D281" s="252">
        <f t="shared" si="8"/>
        <v>-1.7680707228295844E-4</v>
      </c>
      <c r="F281" s="440">
        <v>42920</v>
      </c>
      <c r="G281" s="170">
        <v>552.45000000000005</v>
      </c>
      <c r="H281" s="252">
        <f t="shared" si="9"/>
        <v>8.1521739130452353E-4</v>
      </c>
    </row>
    <row r="282" spans="2:8" x14ac:dyDescent="0.3">
      <c r="B282" s="440">
        <v>42921</v>
      </c>
      <c r="C282" s="363">
        <v>9637.6</v>
      </c>
      <c r="D282" s="252">
        <f t="shared" si="8"/>
        <v>2.5277480157699372E-3</v>
      </c>
      <c r="F282" s="440">
        <v>42921</v>
      </c>
      <c r="G282" s="170">
        <v>550.65</v>
      </c>
      <c r="H282" s="252">
        <f t="shared" si="9"/>
        <v>-3.2582134129787166E-3</v>
      </c>
    </row>
    <row r="283" spans="2:8" x14ac:dyDescent="0.3">
      <c r="B283" s="440">
        <v>42922</v>
      </c>
      <c r="C283" s="363">
        <v>9674.5499999999993</v>
      </c>
      <c r="D283" s="252">
        <f t="shared" si="8"/>
        <v>3.833942060263773E-3</v>
      </c>
      <c r="F283" s="440">
        <v>42922</v>
      </c>
      <c r="G283" s="170">
        <v>545.6</v>
      </c>
      <c r="H283" s="252">
        <f t="shared" si="9"/>
        <v>-9.1709797512030677E-3</v>
      </c>
    </row>
    <row r="284" spans="2:8" x14ac:dyDescent="0.3">
      <c r="B284" s="440">
        <v>42923</v>
      </c>
      <c r="C284" s="363">
        <v>9665.7999999999993</v>
      </c>
      <c r="D284" s="252">
        <f t="shared" si="8"/>
        <v>-9.0443483159419191E-4</v>
      </c>
      <c r="F284" s="440">
        <v>42923</v>
      </c>
      <c r="G284" s="170">
        <v>549</v>
      </c>
      <c r="H284" s="252">
        <f t="shared" si="9"/>
        <v>6.2316715542520829E-3</v>
      </c>
    </row>
    <row r="285" spans="2:8" x14ac:dyDescent="0.3">
      <c r="B285" s="440">
        <v>42926</v>
      </c>
      <c r="C285" s="363">
        <v>9771.0499999999993</v>
      </c>
      <c r="D285" s="252">
        <f t="shared" si="8"/>
        <v>1.0888907281342508E-2</v>
      </c>
      <c r="F285" s="440">
        <v>42926</v>
      </c>
      <c r="G285" s="170">
        <v>563.70000000000005</v>
      </c>
      <c r="H285" s="252">
        <f t="shared" si="9"/>
        <v>2.6775956284153191E-2</v>
      </c>
    </row>
    <row r="286" spans="2:8" x14ac:dyDescent="0.3">
      <c r="B286" s="440">
        <v>42927</v>
      </c>
      <c r="C286" s="363">
        <v>9786.0499999999993</v>
      </c>
      <c r="D286" s="252">
        <f t="shared" si="8"/>
        <v>1.5351471950302287E-3</v>
      </c>
      <c r="F286" s="440">
        <v>42927</v>
      </c>
      <c r="G286" s="170">
        <v>563.79999999999995</v>
      </c>
      <c r="H286" s="252">
        <f t="shared" si="9"/>
        <v>1.7739932588245466E-4</v>
      </c>
    </row>
    <row r="287" spans="2:8" x14ac:dyDescent="0.3">
      <c r="B287" s="440">
        <v>42928</v>
      </c>
      <c r="C287" s="363">
        <v>9816.1</v>
      </c>
      <c r="D287" s="252">
        <f t="shared" si="8"/>
        <v>3.0706975746088716E-3</v>
      </c>
      <c r="F287" s="440">
        <v>42928</v>
      </c>
      <c r="G287" s="170">
        <v>562.4</v>
      </c>
      <c r="H287" s="252">
        <f t="shared" si="9"/>
        <v>-2.4831500532103146E-3</v>
      </c>
    </row>
    <row r="288" spans="2:8" x14ac:dyDescent="0.3">
      <c r="B288" s="440">
        <v>42929</v>
      </c>
      <c r="C288" s="363">
        <v>9891.7000000000007</v>
      </c>
      <c r="D288" s="252">
        <f t="shared" si="8"/>
        <v>7.7016330314483294E-3</v>
      </c>
      <c r="F288" s="440">
        <v>42929</v>
      </c>
      <c r="G288" s="170">
        <v>569.29999999999995</v>
      </c>
      <c r="H288" s="252">
        <f t="shared" si="9"/>
        <v>1.2268847795163573E-2</v>
      </c>
    </row>
    <row r="289" spans="2:8" x14ac:dyDescent="0.3">
      <c r="B289" s="440">
        <v>42930</v>
      </c>
      <c r="C289" s="363">
        <v>9886.35</v>
      </c>
      <c r="D289" s="252">
        <f t="shared" si="8"/>
        <v>-5.4085748657972665E-4</v>
      </c>
      <c r="F289" s="440">
        <v>42930</v>
      </c>
      <c r="G289" s="170">
        <v>572.54999999999995</v>
      </c>
      <c r="H289" s="252">
        <f t="shared" si="9"/>
        <v>5.7087651501843695E-3</v>
      </c>
    </row>
    <row r="290" spans="2:8" x14ac:dyDescent="0.3">
      <c r="B290" s="440">
        <v>42933</v>
      </c>
      <c r="C290" s="363">
        <v>9915.9500000000007</v>
      </c>
      <c r="D290" s="252">
        <f t="shared" si="8"/>
        <v>2.9940271181982947E-3</v>
      </c>
      <c r="F290" s="440">
        <v>42933</v>
      </c>
      <c r="G290" s="170">
        <v>571.45000000000005</v>
      </c>
      <c r="H290" s="252">
        <f t="shared" si="9"/>
        <v>-1.9212295869355245E-3</v>
      </c>
    </row>
    <row r="291" spans="2:8" x14ac:dyDescent="0.3">
      <c r="B291" s="440">
        <v>42934</v>
      </c>
      <c r="C291" s="363">
        <v>9827.15</v>
      </c>
      <c r="D291" s="252">
        <f t="shared" si="8"/>
        <v>-8.9552690362497689E-3</v>
      </c>
      <c r="F291" s="440">
        <v>42934</v>
      </c>
      <c r="G291" s="170">
        <v>578.25</v>
      </c>
      <c r="H291" s="252">
        <f t="shared" si="9"/>
        <v>1.1899553766733684E-2</v>
      </c>
    </row>
    <row r="292" spans="2:8" x14ac:dyDescent="0.3">
      <c r="B292" s="440">
        <v>42935</v>
      </c>
      <c r="C292" s="363">
        <v>9899.6</v>
      </c>
      <c r="D292" s="252">
        <f t="shared" si="8"/>
        <v>7.372432495688086E-3</v>
      </c>
      <c r="F292" s="440">
        <v>42935</v>
      </c>
      <c r="G292" s="170">
        <v>589.15</v>
      </c>
      <c r="H292" s="252">
        <f t="shared" si="9"/>
        <v>1.8849978383052246E-2</v>
      </c>
    </row>
    <row r="293" spans="2:8" x14ac:dyDescent="0.3">
      <c r="B293" s="440">
        <v>42936</v>
      </c>
      <c r="C293" s="363">
        <v>9873.2999999999993</v>
      </c>
      <c r="D293" s="252">
        <f t="shared" si="8"/>
        <v>-2.6566729968888758E-3</v>
      </c>
      <c r="F293" s="440">
        <v>42936</v>
      </c>
      <c r="G293" s="170">
        <v>582.04999999999995</v>
      </c>
      <c r="H293" s="252">
        <f t="shared" si="9"/>
        <v>-1.2051260290248722E-2</v>
      </c>
    </row>
    <row r="294" spans="2:8" x14ac:dyDescent="0.3">
      <c r="B294" s="440">
        <v>42937</v>
      </c>
      <c r="C294" s="363">
        <v>9915.25</v>
      </c>
      <c r="D294" s="252">
        <f t="shared" si="8"/>
        <v>4.2488327104412971E-3</v>
      </c>
      <c r="F294" s="440">
        <v>42937</v>
      </c>
      <c r="G294" s="170">
        <v>575.95000000000005</v>
      </c>
      <c r="H294" s="252">
        <f t="shared" si="9"/>
        <v>-1.0480199295592962E-2</v>
      </c>
    </row>
    <row r="295" spans="2:8" x14ac:dyDescent="0.3">
      <c r="B295" s="440">
        <v>42940</v>
      </c>
      <c r="C295" s="363">
        <v>9966.4</v>
      </c>
      <c r="D295" s="252">
        <f t="shared" si="8"/>
        <v>5.1587201532992122E-3</v>
      </c>
      <c r="F295" s="440">
        <v>42940</v>
      </c>
      <c r="G295" s="170">
        <v>570.79999999999995</v>
      </c>
      <c r="H295" s="252">
        <f t="shared" si="9"/>
        <v>-8.9417484156611993E-3</v>
      </c>
    </row>
    <row r="296" spans="2:8" x14ac:dyDescent="0.3">
      <c r="B296" s="440">
        <v>42941</v>
      </c>
      <c r="C296" s="363">
        <v>9964.5499999999993</v>
      </c>
      <c r="D296" s="252">
        <f t="shared" si="8"/>
        <v>-1.8562369561736514E-4</v>
      </c>
      <c r="F296" s="440">
        <v>42941</v>
      </c>
      <c r="G296" s="170">
        <v>565.9</v>
      </c>
      <c r="H296" s="252">
        <f t="shared" si="9"/>
        <v>-8.5844428871758582E-3</v>
      </c>
    </row>
    <row r="297" spans="2:8" x14ac:dyDescent="0.3">
      <c r="B297" s="440">
        <v>42942</v>
      </c>
      <c r="C297" s="363">
        <v>10020.65</v>
      </c>
      <c r="D297" s="252">
        <f t="shared" si="8"/>
        <v>5.6299582018255467E-3</v>
      </c>
      <c r="F297" s="440">
        <v>42942</v>
      </c>
      <c r="G297" s="170">
        <v>579.5</v>
      </c>
      <c r="H297" s="252">
        <f t="shared" si="9"/>
        <v>2.4032514578547381E-2</v>
      </c>
    </row>
    <row r="298" spans="2:8" x14ac:dyDescent="0.3">
      <c r="B298" s="440">
        <v>42943</v>
      </c>
      <c r="C298" s="363">
        <v>10020.549999999999</v>
      </c>
      <c r="D298" s="252">
        <f t="shared" si="8"/>
        <v>-9.9793925544267026E-6</v>
      </c>
      <c r="F298" s="440">
        <v>42943</v>
      </c>
      <c r="G298" s="170">
        <v>572.1</v>
      </c>
      <c r="H298" s="252">
        <f t="shared" si="9"/>
        <v>-1.2769628990509041E-2</v>
      </c>
    </row>
    <row r="299" spans="2:8" x14ac:dyDescent="0.3">
      <c r="B299" s="440">
        <v>42944</v>
      </c>
      <c r="C299" s="363">
        <v>10014.5</v>
      </c>
      <c r="D299" s="252">
        <f t="shared" si="8"/>
        <v>-6.0375927469047408E-4</v>
      </c>
      <c r="F299" s="440">
        <v>42944</v>
      </c>
      <c r="G299" s="170">
        <v>550.79999999999995</v>
      </c>
      <c r="H299" s="252">
        <f t="shared" si="9"/>
        <v>-3.7231253277399179E-2</v>
      </c>
    </row>
    <row r="300" spans="2:8" x14ac:dyDescent="0.3">
      <c r="B300" s="440">
        <v>42947</v>
      </c>
      <c r="C300" s="363">
        <v>10077.1</v>
      </c>
      <c r="D300" s="252">
        <f t="shared" si="8"/>
        <v>6.2509361425933108E-3</v>
      </c>
      <c r="F300" s="440">
        <v>42947</v>
      </c>
      <c r="G300" s="170">
        <v>531.65</v>
      </c>
      <c r="H300" s="252">
        <f t="shared" si="9"/>
        <v>-3.4767610748002831E-2</v>
      </c>
    </row>
    <row r="301" spans="2:8" x14ac:dyDescent="0.3">
      <c r="B301" s="440">
        <v>42948</v>
      </c>
      <c r="C301" s="363">
        <v>10114.65</v>
      </c>
      <c r="D301" s="252">
        <f t="shared" si="8"/>
        <v>3.7262704547935677E-3</v>
      </c>
      <c r="F301" s="440">
        <v>42948</v>
      </c>
      <c r="G301" s="170">
        <v>533.79999999999995</v>
      </c>
      <c r="H301" s="252">
        <f t="shared" si="9"/>
        <v>4.0440139189314994E-3</v>
      </c>
    </row>
    <row r="302" spans="2:8" x14ac:dyDescent="0.3">
      <c r="B302" s="440">
        <v>42949</v>
      </c>
      <c r="C302" s="363">
        <v>10081.5</v>
      </c>
      <c r="D302" s="252">
        <f t="shared" si="8"/>
        <v>-3.2774243300558448E-3</v>
      </c>
      <c r="F302" s="440">
        <v>42949</v>
      </c>
      <c r="G302" s="170">
        <v>523.54999999999995</v>
      </c>
      <c r="H302" s="252">
        <f t="shared" si="9"/>
        <v>-1.9201948295241689E-2</v>
      </c>
    </row>
    <row r="303" spans="2:8" x14ac:dyDescent="0.3">
      <c r="B303" s="440">
        <v>42950</v>
      </c>
      <c r="C303" s="363">
        <v>10013.65</v>
      </c>
      <c r="D303" s="252">
        <f t="shared" si="8"/>
        <v>-6.7301492833408139E-3</v>
      </c>
      <c r="F303" s="440">
        <v>42950</v>
      </c>
      <c r="G303" s="170">
        <v>515.85</v>
      </c>
      <c r="H303" s="252">
        <f t="shared" si="9"/>
        <v>-1.4707286792092322E-2</v>
      </c>
    </row>
    <row r="304" spans="2:8" x14ac:dyDescent="0.3">
      <c r="B304" s="440">
        <v>42951</v>
      </c>
      <c r="C304" s="363">
        <v>10066.4</v>
      </c>
      <c r="D304" s="252">
        <f t="shared" si="8"/>
        <v>5.2678094401141795E-3</v>
      </c>
      <c r="F304" s="440">
        <v>42951</v>
      </c>
      <c r="G304" s="170">
        <v>506.4</v>
      </c>
      <c r="H304" s="252">
        <f t="shared" si="9"/>
        <v>-1.8319278860133847E-2</v>
      </c>
    </row>
    <row r="305" spans="2:8" x14ac:dyDescent="0.3">
      <c r="B305" s="440">
        <v>42954</v>
      </c>
      <c r="C305" s="363">
        <v>10057.4</v>
      </c>
      <c r="D305" s="252">
        <f t="shared" si="8"/>
        <v>-8.9406341889852747E-4</v>
      </c>
      <c r="F305" s="440">
        <v>42954</v>
      </c>
      <c r="G305" s="170">
        <v>505.55</v>
      </c>
      <c r="H305" s="252">
        <f t="shared" si="9"/>
        <v>-1.6785150078988398E-3</v>
      </c>
    </row>
    <row r="306" spans="2:8" x14ac:dyDescent="0.3">
      <c r="B306" s="440">
        <v>42955</v>
      </c>
      <c r="C306" s="363">
        <v>9978.5499999999993</v>
      </c>
      <c r="D306" s="252">
        <f t="shared" si="8"/>
        <v>-7.8399984091316322E-3</v>
      </c>
      <c r="F306" s="440">
        <v>42955</v>
      </c>
      <c r="G306" s="170">
        <v>500.35</v>
      </c>
      <c r="H306" s="252">
        <f t="shared" si="9"/>
        <v>-1.0285827316783624E-2</v>
      </c>
    </row>
    <row r="307" spans="2:8" x14ac:dyDescent="0.3">
      <c r="B307" s="440">
        <v>42956</v>
      </c>
      <c r="C307" s="363">
        <v>9908.0499999999993</v>
      </c>
      <c r="D307" s="252">
        <f t="shared" si="8"/>
        <v>-7.0651547569536843E-3</v>
      </c>
      <c r="F307" s="440">
        <v>42956</v>
      </c>
      <c r="G307" s="170">
        <v>474.35</v>
      </c>
      <c r="H307" s="252">
        <f t="shared" si="9"/>
        <v>-5.1963625462176477E-2</v>
      </c>
    </row>
    <row r="308" spans="2:8" x14ac:dyDescent="0.3">
      <c r="B308" s="440">
        <v>42957</v>
      </c>
      <c r="C308" s="363">
        <v>9820.25</v>
      </c>
      <c r="D308" s="252">
        <f t="shared" si="8"/>
        <v>-8.8614813207441578E-3</v>
      </c>
      <c r="F308" s="440">
        <v>42957</v>
      </c>
      <c r="G308" s="170">
        <v>460.8</v>
      </c>
      <c r="H308" s="252">
        <f t="shared" si="9"/>
        <v>-2.8565405291451462E-2</v>
      </c>
    </row>
    <row r="309" spans="2:8" x14ac:dyDescent="0.3">
      <c r="B309" s="440">
        <v>42958</v>
      </c>
      <c r="C309" s="363">
        <v>9710.7999999999993</v>
      </c>
      <c r="D309" s="252">
        <f t="shared" si="8"/>
        <v>-1.1145337440492953E-2</v>
      </c>
      <c r="F309" s="440">
        <v>42958</v>
      </c>
      <c r="G309" s="170">
        <v>450</v>
      </c>
      <c r="H309" s="252">
        <f t="shared" si="9"/>
        <v>-2.34375E-2</v>
      </c>
    </row>
    <row r="310" spans="2:8" x14ac:dyDescent="0.3">
      <c r="B310" s="440">
        <v>42961</v>
      </c>
      <c r="C310" s="363">
        <v>9794.15</v>
      </c>
      <c r="D310" s="252">
        <f t="shared" si="8"/>
        <v>8.5832269226016056E-3</v>
      </c>
      <c r="F310" s="440">
        <v>42961</v>
      </c>
      <c r="G310" s="170">
        <v>471.8</v>
      </c>
      <c r="H310" s="252">
        <f t="shared" si="9"/>
        <v>4.8444444444444512E-2</v>
      </c>
    </row>
    <row r="311" spans="2:8" x14ac:dyDescent="0.3">
      <c r="B311" s="440">
        <v>42963</v>
      </c>
      <c r="C311" s="363">
        <v>9897.2999999999993</v>
      </c>
      <c r="D311" s="252">
        <f t="shared" si="8"/>
        <v>1.0531797042111934E-2</v>
      </c>
      <c r="F311" s="440">
        <v>42963</v>
      </c>
      <c r="G311" s="170">
        <v>485.7</v>
      </c>
      <c r="H311" s="252">
        <f t="shared" si="9"/>
        <v>2.9461636286562065E-2</v>
      </c>
    </row>
    <row r="312" spans="2:8" x14ac:dyDescent="0.3">
      <c r="B312" s="440">
        <v>42964</v>
      </c>
      <c r="C312" s="363">
        <v>9904.15</v>
      </c>
      <c r="D312" s="252">
        <f t="shared" si="8"/>
        <v>6.9210794863239222E-4</v>
      </c>
      <c r="F312" s="440">
        <v>42964</v>
      </c>
      <c r="G312" s="170">
        <v>488.25</v>
      </c>
      <c r="H312" s="252">
        <f t="shared" si="9"/>
        <v>5.2501544163063851E-3</v>
      </c>
    </row>
    <row r="313" spans="2:8" x14ac:dyDescent="0.3">
      <c r="B313" s="440">
        <v>42965</v>
      </c>
      <c r="C313" s="363">
        <v>9837.4</v>
      </c>
      <c r="D313" s="252">
        <f t="shared" si="8"/>
        <v>-6.7395990569609765E-3</v>
      </c>
      <c r="F313" s="440">
        <v>42965</v>
      </c>
      <c r="G313" s="170">
        <v>470.15</v>
      </c>
      <c r="H313" s="252">
        <f t="shared" si="9"/>
        <v>-3.7071172555043552E-2</v>
      </c>
    </row>
    <row r="314" spans="2:8" x14ac:dyDescent="0.3">
      <c r="B314" s="440">
        <v>42968</v>
      </c>
      <c r="C314" s="363">
        <v>9754.35</v>
      </c>
      <c r="D314" s="252">
        <f t="shared" si="8"/>
        <v>-8.4422713318559328E-3</v>
      </c>
      <c r="F314" s="440">
        <v>42968</v>
      </c>
      <c r="G314" s="170">
        <v>460.55</v>
      </c>
      <c r="H314" s="252">
        <f t="shared" si="9"/>
        <v>-2.0419015207912339E-2</v>
      </c>
    </row>
    <row r="315" spans="2:8" x14ac:dyDescent="0.3">
      <c r="B315" s="440">
        <v>42969</v>
      </c>
      <c r="C315" s="363">
        <v>9765.5499999999993</v>
      </c>
      <c r="D315" s="252">
        <f t="shared" si="8"/>
        <v>1.1482056723408629E-3</v>
      </c>
      <c r="F315" s="440">
        <v>42969</v>
      </c>
      <c r="G315" s="170">
        <v>470.45</v>
      </c>
      <c r="H315" s="252">
        <f t="shared" si="9"/>
        <v>2.149603734665062E-2</v>
      </c>
    </row>
    <row r="316" spans="2:8" x14ac:dyDescent="0.3">
      <c r="B316" s="440">
        <v>42970</v>
      </c>
      <c r="C316" s="363">
        <v>9852.5</v>
      </c>
      <c r="D316" s="252">
        <f t="shared" si="8"/>
        <v>8.9037483807876683E-3</v>
      </c>
      <c r="F316" s="440">
        <v>42970</v>
      </c>
      <c r="G316" s="170">
        <v>469.2</v>
      </c>
      <c r="H316" s="252">
        <f t="shared" si="9"/>
        <v>-2.657030502710156E-3</v>
      </c>
    </row>
    <row r="317" spans="2:8" x14ac:dyDescent="0.3">
      <c r="B317" s="440">
        <v>42971</v>
      </c>
      <c r="C317" s="363">
        <v>9857.0499999999993</v>
      </c>
      <c r="D317" s="252">
        <f t="shared" si="8"/>
        <v>4.6181172291293038E-4</v>
      </c>
      <c r="F317" s="440">
        <v>42971</v>
      </c>
      <c r="G317" s="170">
        <v>483</v>
      </c>
      <c r="H317" s="252">
        <f t="shared" si="9"/>
        <v>2.941176470588247E-2</v>
      </c>
    </row>
    <row r="318" spans="2:8" x14ac:dyDescent="0.3">
      <c r="B318" s="440">
        <v>42975</v>
      </c>
      <c r="C318" s="363">
        <v>9912.7999999999993</v>
      </c>
      <c r="D318" s="252">
        <f t="shared" si="8"/>
        <v>5.6558503811992011E-3</v>
      </c>
      <c r="F318" s="440">
        <v>42975</v>
      </c>
      <c r="G318" s="170">
        <v>493.2</v>
      </c>
      <c r="H318" s="252">
        <f t="shared" si="9"/>
        <v>2.1118012422360222E-2</v>
      </c>
    </row>
    <row r="319" spans="2:8" x14ac:dyDescent="0.3">
      <c r="B319" s="440">
        <v>42976</v>
      </c>
      <c r="C319" s="363">
        <v>9796.0499999999993</v>
      </c>
      <c r="D319" s="252">
        <f t="shared" si="8"/>
        <v>-1.1777701557582065E-2</v>
      </c>
      <c r="F319" s="440">
        <v>42976</v>
      </c>
      <c r="G319" s="170">
        <v>481.8</v>
      </c>
      <c r="H319" s="252">
        <f t="shared" si="9"/>
        <v>-2.3114355231143469E-2</v>
      </c>
    </row>
    <row r="320" spans="2:8" x14ac:dyDescent="0.3">
      <c r="B320" s="440">
        <v>42977</v>
      </c>
      <c r="C320" s="363">
        <v>9884.4</v>
      </c>
      <c r="D320" s="252">
        <f t="shared" si="8"/>
        <v>9.0189413079762026E-3</v>
      </c>
      <c r="F320" s="440">
        <v>42977</v>
      </c>
      <c r="G320" s="170">
        <v>484.25</v>
      </c>
      <c r="H320" s="252">
        <f t="shared" si="9"/>
        <v>5.0850975508509588E-3</v>
      </c>
    </row>
    <row r="321" spans="2:8" x14ac:dyDescent="0.3">
      <c r="B321" s="440">
        <v>42978</v>
      </c>
      <c r="C321" s="363">
        <v>9917.9</v>
      </c>
      <c r="D321" s="252">
        <f t="shared" si="8"/>
        <v>3.3891789081785806E-3</v>
      </c>
      <c r="F321" s="440">
        <v>42978</v>
      </c>
      <c r="G321" s="170">
        <v>481.15</v>
      </c>
      <c r="H321" s="252">
        <f t="shared" si="9"/>
        <v>-6.4016520392359277E-3</v>
      </c>
    </row>
    <row r="322" spans="2:8" x14ac:dyDescent="0.3">
      <c r="B322" s="440">
        <v>42979</v>
      </c>
      <c r="C322" s="363">
        <v>9974.4</v>
      </c>
      <c r="D322" s="252">
        <f t="shared" si="8"/>
        <v>5.6967704856873969E-3</v>
      </c>
      <c r="F322" s="440">
        <v>42979</v>
      </c>
      <c r="G322" s="170">
        <v>486.2</v>
      </c>
      <c r="H322" s="252">
        <f t="shared" si="9"/>
        <v>1.0495687415566834E-2</v>
      </c>
    </row>
    <row r="323" spans="2:8" x14ac:dyDescent="0.3">
      <c r="B323" s="440">
        <v>42982</v>
      </c>
      <c r="C323" s="363">
        <v>9912.85</v>
      </c>
      <c r="D323" s="252">
        <f t="shared" si="8"/>
        <v>-6.1707972409367207E-3</v>
      </c>
      <c r="F323" s="440">
        <v>42982</v>
      </c>
      <c r="G323" s="170">
        <v>500.7</v>
      </c>
      <c r="H323" s="252">
        <f t="shared" si="9"/>
        <v>2.982311805841209E-2</v>
      </c>
    </row>
    <row r="324" spans="2:8" x14ac:dyDescent="0.3">
      <c r="B324" s="440">
        <v>42983</v>
      </c>
      <c r="C324" s="363">
        <v>9952.2000000000007</v>
      </c>
      <c r="D324" s="252">
        <f t="shared" si="8"/>
        <v>3.9695950206046771E-3</v>
      </c>
      <c r="F324" s="440">
        <v>42983</v>
      </c>
      <c r="G324" s="170">
        <v>491.85</v>
      </c>
      <c r="H324" s="252">
        <f t="shared" si="9"/>
        <v>-1.7675254643499061E-2</v>
      </c>
    </row>
    <row r="325" spans="2:8" x14ac:dyDescent="0.3">
      <c r="B325" s="440">
        <v>42984</v>
      </c>
      <c r="C325" s="363">
        <v>9916.2000000000007</v>
      </c>
      <c r="D325" s="252">
        <f t="shared" si="8"/>
        <v>-3.6172906493037171E-3</v>
      </c>
      <c r="F325" s="440">
        <v>42984</v>
      </c>
      <c r="G325" s="170">
        <v>474.25</v>
      </c>
      <c r="H325" s="252">
        <f t="shared" si="9"/>
        <v>-3.578326725627734E-2</v>
      </c>
    </row>
    <row r="326" spans="2:8" x14ac:dyDescent="0.3">
      <c r="B326" s="440">
        <v>42985</v>
      </c>
      <c r="C326" s="363">
        <v>9929.9</v>
      </c>
      <c r="D326" s="252">
        <f t="shared" si="8"/>
        <v>1.3815776204593178E-3</v>
      </c>
      <c r="F326" s="440">
        <v>42985</v>
      </c>
      <c r="G326" s="170">
        <v>480.45</v>
      </c>
      <c r="H326" s="252">
        <f t="shared" si="9"/>
        <v>1.3073273589878642E-2</v>
      </c>
    </row>
    <row r="327" spans="2:8" x14ac:dyDescent="0.3">
      <c r="B327" s="440">
        <v>42986</v>
      </c>
      <c r="C327" s="363">
        <v>9934.7999999999993</v>
      </c>
      <c r="D327" s="252">
        <f t="shared" si="8"/>
        <v>4.9345914863185847E-4</v>
      </c>
      <c r="F327" s="440">
        <v>42986</v>
      </c>
      <c r="G327" s="170">
        <v>471.35</v>
      </c>
      <c r="H327" s="252">
        <f t="shared" si="9"/>
        <v>-1.8940576542824328E-2</v>
      </c>
    </row>
    <row r="328" spans="2:8" x14ac:dyDescent="0.3">
      <c r="B328" s="440">
        <v>42989</v>
      </c>
      <c r="C328" s="363">
        <v>10006.049999999999</v>
      </c>
      <c r="D328" s="252">
        <f t="shared" si="8"/>
        <v>7.1717598743810118E-3</v>
      </c>
      <c r="F328" s="440">
        <v>42989</v>
      </c>
      <c r="G328" s="170">
        <v>467.45</v>
      </c>
      <c r="H328" s="252">
        <f t="shared" si="9"/>
        <v>-8.2741062904424512E-3</v>
      </c>
    </row>
    <row r="329" spans="2:8" x14ac:dyDescent="0.3">
      <c r="B329" s="440">
        <v>42990</v>
      </c>
      <c r="C329" s="363">
        <v>10093.049999999999</v>
      </c>
      <c r="D329" s="252">
        <f t="shared" si="8"/>
        <v>8.6947396824921253E-3</v>
      </c>
      <c r="F329" s="440">
        <v>42990</v>
      </c>
      <c r="G329" s="170">
        <v>483.4</v>
      </c>
      <c r="H329" s="252">
        <f t="shared" si="9"/>
        <v>3.4121296395336342E-2</v>
      </c>
    </row>
    <row r="330" spans="2:8" x14ac:dyDescent="0.3">
      <c r="B330" s="440">
        <v>42991</v>
      </c>
      <c r="C330" s="363">
        <v>10079.299999999999</v>
      </c>
      <c r="D330" s="252">
        <f t="shared" si="8"/>
        <v>-1.3623235790964916E-3</v>
      </c>
      <c r="F330" s="440">
        <v>42991</v>
      </c>
      <c r="G330" s="170">
        <v>503.35</v>
      </c>
      <c r="H330" s="252">
        <f t="shared" si="9"/>
        <v>4.1270169631774989E-2</v>
      </c>
    </row>
    <row r="331" spans="2:8" x14ac:dyDescent="0.3">
      <c r="B331" s="440">
        <v>42992</v>
      </c>
      <c r="C331" s="363">
        <v>10086.6</v>
      </c>
      <c r="D331" s="252">
        <f t="shared" ref="D331:D394" si="10">C331/C330-1</f>
        <v>7.2425664480668672E-4</v>
      </c>
      <c r="F331" s="440">
        <v>42992</v>
      </c>
      <c r="G331" s="170">
        <v>524.65</v>
      </c>
      <c r="H331" s="252">
        <f t="shared" ref="H331:H394" si="11">G331/G330-1</f>
        <v>4.2316479586768541E-2</v>
      </c>
    </row>
    <row r="332" spans="2:8" x14ac:dyDescent="0.3">
      <c r="B332" s="440">
        <v>42993</v>
      </c>
      <c r="C332" s="363">
        <v>10085.4</v>
      </c>
      <c r="D332" s="252">
        <f t="shared" si="10"/>
        <v>-1.1896972220581947E-4</v>
      </c>
      <c r="F332" s="440">
        <v>42993</v>
      </c>
      <c r="G332" s="170">
        <v>524.29999999999995</v>
      </c>
      <c r="H332" s="252">
        <f t="shared" si="11"/>
        <v>-6.6711140760511434E-4</v>
      </c>
    </row>
    <row r="333" spans="2:8" x14ac:dyDescent="0.3">
      <c r="B333" s="440">
        <v>42996</v>
      </c>
      <c r="C333" s="363">
        <v>10153.1</v>
      </c>
      <c r="D333" s="252">
        <f t="shared" si="10"/>
        <v>6.7126737660381242E-3</v>
      </c>
      <c r="F333" s="440">
        <v>42996</v>
      </c>
      <c r="G333" s="170">
        <v>521.04999999999995</v>
      </c>
      <c r="H333" s="252">
        <f t="shared" si="11"/>
        <v>-6.1987411787144397E-3</v>
      </c>
    </row>
    <row r="334" spans="2:8" x14ac:dyDescent="0.3">
      <c r="B334" s="440">
        <v>42997</v>
      </c>
      <c r="C334" s="363">
        <v>10147.549999999999</v>
      </c>
      <c r="D334" s="252">
        <f t="shared" si="10"/>
        <v>-5.4663107819297174E-4</v>
      </c>
      <c r="F334" s="440">
        <v>42997</v>
      </c>
      <c r="G334" s="170">
        <v>515.79999999999995</v>
      </c>
      <c r="H334" s="252">
        <f t="shared" si="11"/>
        <v>-1.0075808463679059E-2</v>
      </c>
    </row>
    <row r="335" spans="2:8" x14ac:dyDescent="0.3">
      <c r="B335" s="440">
        <v>42998</v>
      </c>
      <c r="C335" s="363">
        <v>10141.15</v>
      </c>
      <c r="D335" s="252">
        <f t="shared" si="10"/>
        <v>-6.3069410843008544E-4</v>
      </c>
      <c r="F335" s="440">
        <v>42998</v>
      </c>
      <c r="G335" s="170">
        <v>505.5</v>
      </c>
      <c r="H335" s="252">
        <f t="shared" si="11"/>
        <v>-1.996898022489324E-2</v>
      </c>
    </row>
    <row r="336" spans="2:8" x14ac:dyDescent="0.3">
      <c r="B336" s="440">
        <v>42999</v>
      </c>
      <c r="C336" s="363">
        <v>10121.9</v>
      </c>
      <c r="D336" s="252">
        <f t="shared" si="10"/>
        <v>-1.8982068108646111E-3</v>
      </c>
      <c r="F336" s="440">
        <v>42999</v>
      </c>
      <c r="G336" s="170">
        <v>519.65</v>
      </c>
      <c r="H336" s="252">
        <f t="shared" si="11"/>
        <v>2.7992087042532088E-2</v>
      </c>
    </row>
    <row r="337" spans="2:8" x14ac:dyDescent="0.3">
      <c r="B337" s="440">
        <v>43000</v>
      </c>
      <c r="C337" s="363">
        <v>9964.4</v>
      </c>
      <c r="D337" s="252">
        <f t="shared" si="10"/>
        <v>-1.5560319702822567E-2</v>
      </c>
      <c r="F337" s="440">
        <v>43000</v>
      </c>
      <c r="G337" s="170">
        <v>513.85</v>
      </c>
      <c r="H337" s="252">
        <f t="shared" si="11"/>
        <v>-1.116135860675449E-2</v>
      </c>
    </row>
    <row r="338" spans="2:8" x14ac:dyDescent="0.3">
      <c r="B338" s="440">
        <v>43003</v>
      </c>
      <c r="C338" s="363">
        <v>9872.6</v>
      </c>
      <c r="D338" s="252">
        <f t="shared" si="10"/>
        <v>-9.2127975593110367E-3</v>
      </c>
      <c r="F338" s="440">
        <v>43003</v>
      </c>
      <c r="G338" s="170">
        <v>505.95</v>
      </c>
      <c r="H338" s="252">
        <f t="shared" si="11"/>
        <v>-1.537413642113461E-2</v>
      </c>
    </row>
    <row r="339" spans="2:8" x14ac:dyDescent="0.3">
      <c r="B339" s="440">
        <v>43004</v>
      </c>
      <c r="C339" s="363">
        <v>9871.5</v>
      </c>
      <c r="D339" s="252">
        <f t="shared" si="10"/>
        <v>-1.1141948422910275E-4</v>
      </c>
      <c r="F339" s="440">
        <v>43004</v>
      </c>
      <c r="G339" s="170">
        <v>507.6</v>
      </c>
      <c r="H339" s="252">
        <f t="shared" si="11"/>
        <v>3.2611918173732768E-3</v>
      </c>
    </row>
    <row r="340" spans="2:8" x14ac:dyDescent="0.3">
      <c r="B340" s="440">
        <v>43005</v>
      </c>
      <c r="C340" s="363">
        <v>9735.75</v>
      </c>
      <c r="D340" s="252">
        <f t="shared" si="10"/>
        <v>-1.3751709466646389E-2</v>
      </c>
      <c r="F340" s="440">
        <v>43005</v>
      </c>
      <c r="G340" s="170">
        <v>494.7</v>
      </c>
      <c r="H340" s="252">
        <f t="shared" si="11"/>
        <v>-2.541371158392447E-2</v>
      </c>
    </row>
    <row r="341" spans="2:8" x14ac:dyDescent="0.3">
      <c r="B341" s="440">
        <v>43006</v>
      </c>
      <c r="C341" s="363">
        <v>9768.9500000000007</v>
      </c>
      <c r="D341" s="252">
        <f t="shared" si="10"/>
        <v>3.4101122152891961E-3</v>
      </c>
      <c r="F341" s="440">
        <v>43006</v>
      </c>
      <c r="G341" s="170">
        <v>499.2</v>
      </c>
      <c r="H341" s="252">
        <f t="shared" si="11"/>
        <v>9.0964220739842006E-3</v>
      </c>
    </row>
    <row r="342" spans="2:8" x14ac:dyDescent="0.3">
      <c r="B342" s="440">
        <v>43007</v>
      </c>
      <c r="C342" s="363">
        <v>9788.6</v>
      </c>
      <c r="D342" s="252">
        <f t="shared" si="10"/>
        <v>2.0114751329467495E-3</v>
      </c>
      <c r="F342" s="440">
        <v>43007</v>
      </c>
      <c r="G342" s="170">
        <v>503.25</v>
      </c>
      <c r="H342" s="252">
        <f t="shared" si="11"/>
        <v>8.1129807692308376E-3</v>
      </c>
    </row>
    <row r="343" spans="2:8" x14ac:dyDescent="0.3">
      <c r="B343" s="440">
        <v>43011</v>
      </c>
      <c r="C343" s="363">
        <v>9859.5</v>
      </c>
      <c r="D343" s="252">
        <f t="shared" si="10"/>
        <v>7.2431195472284493E-3</v>
      </c>
      <c r="F343" s="440">
        <v>43011</v>
      </c>
      <c r="G343" s="170">
        <v>502.65</v>
      </c>
      <c r="H343" s="252">
        <f t="shared" si="11"/>
        <v>-1.1922503725783073E-3</v>
      </c>
    </row>
    <row r="344" spans="2:8" x14ac:dyDescent="0.3">
      <c r="B344" s="440">
        <v>43012</v>
      </c>
      <c r="C344" s="363">
        <v>9914.9</v>
      </c>
      <c r="D344" s="252">
        <f t="shared" si="10"/>
        <v>5.61894619402592E-3</v>
      </c>
      <c r="F344" s="440">
        <v>43012</v>
      </c>
      <c r="G344" s="170">
        <v>517.9</v>
      </c>
      <c r="H344" s="252">
        <f t="shared" si="11"/>
        <v>3.0339202228190532E-2</v>
      </c>
    </row>
    <row r="345" spans="2:8" x14ac:dyDescent="0.3">
      <c r="B345" s="440">
        <v>43013</v>
      </c>
      <c r="C345" s="363">
        <v>9888.7000000000007</v>
      </c>
      <c r="D345" s="252">
        <f t="shared" si="10"/>
        <v>-2.6424875692139249E-3</v>
      </c>
      <c r="F345" s="440">
        <v>43013</v>
      </c>
      <c r="G345" s="170">
        <v>513.79999999999995</v>
      </c>
      <c r="H345" s="252">
        <f t="shared" si="11"/>
        <v>-7.9165862135547327E-3</v>
      </c>
    </row>
    <row r="346" spans="2:8" x14ac:dyDescent="0.3">
      <c r="B346" s="440">
        <v>43014</v>
      </c>
      <c r="C346" s="363">
        <v>9979.7000000000007</v>
      </c>
      <c r="D346" s="252">
        <f t="shared" si="10"/>
        <v>9.202422967629742E-3</v>
      </c>
      <c r="F346" s="440">
        <v>43014</v>
      </c>
      <c r="G346" s="170">
        <v>530.20000000000005</v>
      </c>
      <c r="H346" s="252">
        <f t="shared" si="11"/>
        <v>3.1919034643830502E-2</v>
      </c>
    </row>
    <row r="347" spans="2:8" x14ac:dyDescent="0.3">
      <c r="B347" s="440">
        <v>43017</v>
      </c>
      <c r="C347" s="363">
        <v>9988.75</v>
      </c>
      <c r="D347" s="252">
        <f t="shared" si="10"/>
        <v>9.0684088700054843E-4</v>
      </c>
      <c r="F347" s="440">
        <v>43017</v>
      </c>
      <c r="G347" s="170">
        <v>531.4</v>
      </c>
      <c r="H347" s="252">
        <f t="shared" si="11"/>
        <v>2.2632968691058686E-3</v>
      </c>
    </row>
    <row r="348" spans="2:8" x14ac:dyDescent="0.3">
      <c r="B348" s="440">
        <v>43018</v>
      </c>
      <c r="C348" s="363">
        <v>10016.950000000001</v>
      </c>
      <c r="D348" s="252">
        <f t="shared" si="10"/>
        <v>2.8231760730823563E-3</v>
      </c>
      <c r="F348" s="440">
        <v>43018</v>
      </c>
      <c r="G348" s="170">
        <v>527.20000000000005</v>
      </c>
      <c r="H348" s="252">
        <f t="shared" si="11"/>
        <v>-7.9036507339103057E-3</v>
      </c>
    </row>
    <row r="349" spans="2:8" x14ac:dyDescent="0.3">
      <c r="B349" s="440">
        <v>43019</v>
      </c>
      <c r="C349" s="363">
        <v>9984.7999999999993</v>
      </c>
      <c r="D349" s="252">
        <f t="shared" si="10"/>
        <v>-3.2095597961456779E-3</v>
      </c>
      <c r="F349" s="440">
        <v>43019</v>
      </c>
      <c r="G349" s="170">
        <v>526.04999999999995</v>
      </c>
      <c r="H349" s="252">
        <f t="shared" si="11"/>
        <v>-2.1813353566010329E-3</v>
      </c>
    </row>
    <row r="350" spans="2:8" x14ac:dyDescent="0.3">
      <c r="B350" s="440">
        <v>43020</v>
      </c>
      <c r="C350" s="363">
        <v>10096.4</v>
      </c>
      <c r="D350" s="252">
        <f t="shared" si="10"/>
        <v>1.1176989023315542E-2</v>
      </c>
      <c r="F350" s="440">
        <v>43020</v>
      </c>
      <c r="G350" s="170">
        <v>539.54999999999995</v>
      </c>
      <c r="H350" s="252">
        <f t="shared" si="11"/>
        <v>2.5662959794696238E-2</v>
      </c>
    </row>
    <row r="351" spans="2:8" x14ac:dyDescent="0.3">
      <c r="B351" s="440">
        <v>43021</v>
      </c>
      <c r="C351" s="363">
        <v>10167.450000000001</v>
      </c>
      <c r="D351" s="252">
        <f t="shared" si="10"/>
        <v>7.0371617606277415E-3</v>
      </c>
      <c r="F351" s="440">
        <v>43021</v>
      </c>
      <c r="G351" s="170">
        <v>534.70000000000005</v>
      </c>
      <c r="H351" s="252">
        <f t="shared" si="11"/>
        <v>-8.9889722917244619E-3</v>
      </c>
    </row>
    <row r="352" spans="2:8" x14ac:dyDescent="0.3">
      <c r="B352" s="440">
        <v>43024</v>
      </c>
      <c r="C352" s="363">
        <v>10230.85</v>
      </c>
      <c r="D352" s="252">
        <f t="shared" si="10"/>
        <v>6.2355851270474716E-3</v>
      </c>
      <c r="F352" s="440">
        <v>43024</v>
      </c>
      <c r="G352" s="170">
        <v>547.95000000000005</v>
      </c>
      <c r="H352" s="252">
        <f t="shared" si="11"/>
        <v>2.4780250607817411E-2</v>
      </c>
    </row>
    <row r="353" spans="2:8" x14ac:dyDescent="0.3">
      <c r="B353" s="440">
        <v>43025</v>
      </c>
      <c r="C353" s="363">
        <v>10234.450000000001</v>
      </c>
      <c r="D353" s="252">
        <f t="shared" si="10"/>
        <v>3.5187692127247594E-4</v>
      </c>
      <c r="F353" s="440">
        <v>43025</v>
      </c>
      <c r="G353" s="170">
        <v>547.20000000000005</v>
      </c>
      <c r="H353" s="252">
        <f t="shared" si="11"/>
        <v>-1.3687380235423152E-3</v>
      </c>
    </row>
    <row r="354" spans="2:8" x14ac:dyDescent="0.3">
      <c r="B354" s="440">
        <v>43026</v>
      </c>
      <c r="C354" s="363">
        <v>10210.85</v>
      </c>
      <c r="D354" s="252">
        <f t="shared" si="10"/>
        <v>-2.3059373000015038E-3</v>
      </c>
      <c r="F354" s="440">
        <v>43026</v>
      </c>
      <c r="G354" s="170">
        <v>540.20000000000005</v>
      </c>
      <c r="H354" s="252">
        <f t="shared" si="11"/>
        <v>-1.2792397660818744E-2</v>
      </c>
    </row>
    <row r="355" spans="2:8" x14ac:dyDescent="0.3">
      <c r="B355" s="440">
        <v>43027</v>
      </c>
      <c r="C355" s="363">
        <v>10146.549999999999</v>
      </c>
      <c r="D355" s="252">
        <f t="shared" si="10"/>
        <v>-6.2972230519497963E-3</v>
      </c>
      <c r="F355" s="440">
        <v>43027</v>
      </c>
      <c r="G355" s="170">
        <v>535.75</v>
      </c>
      <c r="H355" s="252">
        <f t="shared" si="11"/>
        <v>-8.2376897445390895E-3</v>
      </c>
    </row>
    <row r="356" spans="2:8" x14ac:dyDescent="0.3">
      <c r="B356" s="440">
        <v>43031</v>
      </c>
      <c r="C356" s="363">
        <v>10184.85</v>
      </c>
      <c r="D356" s="252">
        <f t="shared" si="10"/>
        <v>3.7746820347803745E-3</v>
      </c>
      <c r="F356" s="440">
        <v>43031</v>
      </c>
      <c r="G356" s="170">
        <v>540.4</v>
      </c>
      <c r="H356" s="252">
        <f t="shared" si="11"/>
        <v>8.67942137190858E-3</v>
      </c>
    </row>
    <row r="357" spans="2:8" x14ac:dyDescent="0.3">
      <c r="B357" s="440">
        <v>43032</v>
      </c>
      <c r="C357" s="363">
        <v>10207.700000000001</v>
      </c>
      <c r="D357" s="252">
        <f t="shared" si="10"/>
        <v>2.2435283779338455E-3</v>
      </c>
      <c r="F357" s="440">
        <v>43032</v>
      </c>
      <c r="G357" s="170">
        <v>534.54999999999995</v>
      </c>
      <c r="H357" s="252">
        <f t="shared" si="11"/>
        <v>-1.0825314581791257E-2</v>
      </c>
    </row>
    <row r="358" spans="2:8" x14ac:dyDescent="0.3">
      <c r="B358" s="440">
        <v>43033</v>
      </c>
      <c r="C358" s="363">
        <v>10295.35</v>
      </c>
      <c r="D358" s="252">
        <f t="shared" si="10"/>
        <v>8.5866551720759077E-3</v>
      </c>
      <c r="F358" s="440">
        <v>43033</v>
      </c>
      <c r="G358" s="170">
        <v>523.25</v>
      </c>
      <c r="H358" s="252">
        <f t="shared" si="11"/>
        <v>-2.1139276026564291E-2</v>
      </c>
    </row>
    <row r="359" spans="2:8" x14ac:dyDescent="0.3">
      <c r="B359" s="440">
        <v>43034</v>
      </c>
      <c r="C359" s="363">
        <v>10343.799999999999</v>
      </c>
      <c r="D359" s="252">
        <f t="shared" si="10"/>
        <v>4.7060080521788006E-3</v>
      </c>
      <c r="F359" s="440">
        <v>43034</v>
      </c>
      <c r="G359" s="170">
        <v>530.15</v>
      </c>
      <c r="H359" s="252">
        <f t="shared" si="11"/>
        <v>1.318681318681314E-2</v>
      </c>
    </row>
    <row r="360" spans="2:8" x14ac:dyDescent="0.3">
      <c r="B360" s="440">
        <v>43035</v>
      </c>
      <c r="C360" s="363">
        <v>10323.049999999999</v>
      </c>
      <c r="D360" s="252">
        <f t="shared" si="10"/>
        <v>-2.00603259923815E-3</v>
      </c>
      <c r="F360" s="440">
        <v>43035</v>
      </c>
      <c r="G360" s="170">
        <v>549.9</v>
      </c>
      <c r="H360" s="252">
        <f t="shared" si="11"/>
        <v>3.7253607469584171E-2</v>
      </c>
    </row>
    <row r="361" spans="2:8" x14ac:dyDescent="0.3">
      <c r="B361" s="440">
        <v>43038</v>
      </c>
      <c r="C361" s="363">
        <v>10363.65</v>
      </c>
      <c r="D361" s="252">
        <f t="shared" si="10"/>
        <v>3.9329461738537574E-3</v>
      </c>
      <c r="F361" s="440">
        <v>43038</v>
      </c>
      <c r="G361" s="170">
        <v>553.1</v>
      </c>
      <c r="H361" s="252">
        <f t="shared" si="11"/>
        <v>5.8192398617931129E-3</v>
      </c>
    </row>
    <row r="362" spans="2:8" x14ac:dyDescent="0.3">
      <c r="B362" s="440">
        <v>43039</v>
      </c>
      <c r="C362" s="363">
        <v>10335.299999999999</v>
      </c>
      <c r="D362" s="252">
        <f t="shared" si="10"/>
        <v>-2.7355227164175266E-3</v>
      </c>
      <c r="F362" s="440">
        <v>43039</v>
      </c>
      <c r="G362" s="170">
        <v>552.9</v>
      </c>
      <c r="H362" s="252">
        <f t="shared" si="11"/>
        <v>-3.6159826432846653E-4</v>
      </c>
    </row>
    <row r="363" spans="2:8" x14ac:dyDescent="0.3">
      <c r="B363" s="440">
        <v>43040</v>
      </c>
      <c r="C363" s="363">
        <v>10440.5</v>
      </c>
      <c r="D363" s="252">
        <f t="shared" si="10"/>
        <v>1.0178707923330865E-2</v>
      </c>
      <c r="F363" s="440">
        <v>43040</v>
      </c>
      <c r="G363" s="170">
        <v>548.70000000000005</v>
      </c>
      <c r="H363" s="252">
        <f t="shared" si="11"/>
        <v>-7.5963103635375839E-3</v>
      </c>
    </row>
    <row r="364" spans="2:8" x14ac:dyDescent="0.3">
      <c r="B364" s="440">
        <v>43041</v>
      </c>
      <c r="C364" s="363">
        <v>10423.799999999999</v>
      </c>
      <c r="D364" s="252">
        <f t="shared" si="10"/>
        <v>-1.599540251903675E-3</v>
      </c>
      <c r="F364" s="440">
        <v>43041</v>
      </c>
      <c r="G364" s="170">
        <v>563.45000000000005</v>
      </c>
      <c r="H364" s="252">
        <f t="shared" si="11"/>
        <v>2.6881720430107503E-2</v>
      </c>
    </row>
    <row r="365" spans="2:8" x14ac:dyDescent="0.3">
      <c r="B365" s="440">
        <v>43042</v>
      </c>
      <c r="C365" s="363">
        <v>10452.5</v>
      </c>
      <c r="D365" s="252">
        <f t="shared" si="10"/>
        <v>2.7533145302098827E-3</v>
      </c>
      <c r="F365" s="440">
        <v>43042</v>
      </c>
      <c r="G365" s="170">
        <v>551.25</v>
      </c>
      <c r="H365" s="252">
        <f t="shared" si="11"/>
        <v>-2.1652320525335056E-2</v>
      </c>
    </row>
    <row r="366" spans="2:8" x14ac:dyDescent="0.3">
      <c r="B366" s="440">
        <v>43045</v>
      </c>
      <c r="C366" s="363">
        <v>10451.799999999999</v>
      </c>
      <c r="D366" s="252">
        <f t="shared" si="10"/>
        <v>-6.6969624491819424E-5</v>
      </c>
      <c r="F366" s="440">
        <v>43045</v>
      </c>
      <c r="G366" s="170">
        <v>541.20000000000005</v>
      </c>
      <c r="H366" s="252">
        <f t="shared" si="11"/>
        <v>-1.8231292517006725E-2</v>
      </c>
    </row>
    <row r="367" spans="2:8" x14ac:dyDescent="0.3">
      <c r="B367" s="440">
        <v>43046</v>
      </c>
      <c r="C367" s="363">
        <v>10350.15</v>
      </c>
      <c r="D367" s="252">
        <f t="shared" si="10"/>
        <v>-9.7255975047360055E-3</v>
      </c>
      <c r="F367" s="440">
        <v>43046</v>
      </c>
      <c r="G367" s="170">
        <v>527.6</v>
      </c>
      <c r="H367" s="252">
        <f t="shared" si="11"/>
        <v>-2.512934220251295E-2</v>
      </c>
    </row>
    <row r="368" spans="2:8" x14ac:dyDescent="0.3">
      <c r="B368" s="440">
        <v>43047</v>
      </c>
      <c r="C368" s="363">
        <v>10303.15</v>
      </c>
      <c r="D368" s="252">
        <f t="shared" si="10"/>
        <v>-4.5409969903817959E-3</v>
      </c>
      <c r="F368" s="440">
        <v>43047</v>
      </c>
      <c r="G368" s="170">
        <v>537.79999999999995</v>
      </c>
      <c r="H368" s="252">
        <f t="shared" si="11"/>
        <v>1.9332827899924077E-2</v>
      </c>
    </row>
    <row r="369" spans="2:8" x14ac:dyDescent="0.3">
      <c r="B369" s="440">
        <v>43048</v>
      </c>
      <c r="C369" s="363">
        <v>10308.950000000001</v>
      </c>
      <c r="D369" s="252">
        <f t="shared" si="10"/>
        <v>5.6293463649481623E-4</v>
      </c>
      <c r="F369" s="440">
        <v>43048</v>
      </c>
      <c r="G369" s="170">
        <v>533.9</v>
      </c>
      <c r="H369" s="252">
        <f t="shared" si="11"/>
        <v>-7.2517664559315076E-3</v>
      </c>
    </row>
    <row r="370" spans="2:8" x14ac:dyDescent="0.3">
      <c r="B370" s="440">
        <v>43049</v>
      </c>
      <c r="C370" s="363">
        <v>10321.75</v>
      </c>
      <c r="D370" s="252">
        <f t="shared" si="10"/>
        <v>1.2416395462195862E-3</v>
      </c>
      <c r="F370" s="440">
        <v>43049</v>
      </c>
      <c r="G370" s="170">
        <v>527.85</v>
      </c>
      <c r="H370" s="252">
        <f t="shared" si="11"/>
        <v>-1.1331710058063216E-2</v>
      </c>
    </row>
    <row r="371" spans="2:8" x14ac:dyDescent="0.3">
      <c r="B371" s="440">
        <v>43052</v>
      </c>
      <c r="C371" s="363">
        <v>10224.950000000001</v>
      </c>
      <c r="D371" s="252">
        <f t="shared" si="10"/>
        <v>-9.3782546564292746E-3</v>
      </c>
      <c r="F371" s="440">
        <v>43052</v>
      </c>
      <c r="G371" s="170">
        <v>532.54999999999995</v>
      </c>
      <c r="H371" s="252">
        <f t="shared" si="11"/>
        <v>8.9040447096710995E-3</v>
      </c>
    </row>
    <row r="372" spans="2:8" x14ac:dyDescent="0.3">
      <c r="B372" s="440">
        <v>43053</v>
      </c>
      <c r="C372" s="363">
        <v>10186.6</v>
      </c>
      <c r="D372" s="252">
        <f t="shared" si="10"/>
        <v>-3.750629587430776E-3</v>
      </c>
      <c r="F372" s="440">
        <v>43053</v>
      </c>
      <c r="G372" s="170">
        <v>526.04999999999995</v>
      </c>
      <c r="H372" s="252">
        <f t="shared" si="11"/>
        <v>-1.2205426720495738E-2</v>
      </c>
    </row>
    <row r="373" spans="2:8" x14ac:dyDescent="0.3">
      <c r="B373" s="440">
        <v>43054</v>
      </c>
      <c r="C373" s="363">
        <v>10118.049999999999</v>
      </c>
      <c r="D373" s="252">
        <f t="shared" si="10"/>
        <v>-6.7294288575188155E-3</v>
      </c>
      <c r="F373" s="440">
        <v>43054</v>
      </c>
      <c r="G373" s="170">
        <v>504.65</v>
      </c>
      <c r="H373" s="252">
        <f t="shared" si="11"/>
        <v>-4.0680543674555647E-2</v>
      </c>
    </row>
    <row r="374" spans="2:8" x14ac:dyDescent="0.3">
      <c r="B374" s="440">
        <v>43055</v>
      </c>
      <c r="C374" s="363">
        <v>10214.75</v>
      </c>
      <c r="D374" s="252">
        <f t="shared" si="10"/>
        <v>9.557177519383675E-3</v>
      </c>
      <c r="F374" s="440">
        <v>43055</v>
      </c>
      <c r="G374" s="170">
        <v>508.55</v>
      </c>
      <c r="H374" s="252">
        <f t="shared" si="11"/>
        <v>7.7281284058259292E-3</v>
      </c>
    </row>
    <row r="375" spans="2:8" x14ac:dyDescent="0.3">
      <c r="B375" s="440">
        <v>43056</v>
      </c>
      <c r="C375" s="363">
        <v>10283.6</v>
      </c>
      <c r="D375" s="252">
        <f t="shared" si="10"/>
        <v>6.7402530654201431E-3</v>
      </c>
      <c r="F375" s="440">
        <v>43056</v>
      </c>
      <c r="G375" s="170">
        <v>517.1</v>
      </c>
      <c r="H375" s="252">
        <f t="shared" si="11"/>
        <v>1.6812506144921802E-2</v>
      </c>
    </row>
    <row r="376" spans="2:8" x14ac:dyDescent="0.3">
      <c r="B376" s="440">
        <v>43059</v>
      </c>
      <c r="C376" s="363">
        <v>10298.75</v>
      </c>
      <c r="D376" s="252">
        <f t="shared" si="10"/>
        <v>1.4732194951183608E-3</v>
      </c>
      <c r="F376" s="440">
        <v>43059</v>
      </c>
      <c r="G376" s="170">
        <v>517.15</v>
      </c>
      <c r="H376" s="252">
        <f t="shared" si="11"/>
        <v>9.6693096112820953E-5</v>
      </c>
    </row>
    <row r="377" spans="2:8" x14ac:dyDescent="0.3">
      <c r="B377" s="440">
        <v>43060</v>
      </c>
      <c r="C377" s="363">
        <v>10326.9</v>
      </c>
      <c r="D377" s="252">
        <f t="shared" si="10"/>
        <v>2.7333414249302024E-3</v>
      </c>
      <c r="F377" s="440">
        <v>43060</v>
      </c>
      <c r="G377" s="170">
        <v>538.04999999999995</v>
      </c>
      <c r="H377" s="252">
        <f t="shared" si="11"/>
        <v>4.0413806439137501E-2</v>
      </c>
    </row>
    <row r="378" spans="2:8" x14ac:dyDescent="0.3">
      <c r="B378" s="440">
        <v>43061</v>
      </c>
      <c r="C378" s="363">
        <v>10342.299999999999</v>
      </c>
      <c r="D378" s="252">
        <f t="shared" si="10"/>
        <v>1.4912510046576344E-3</v>
      </c>
      <c r="F378" s="440">
        <v>43061</v>
      </c>
      <c r="G378" s="170">
        <v>535.25</v>
      </c>
      <c r="H378" s="252">
        <f t="shared" si="11"/>
        <v>-5.2039773255272426E-3</v>
      </c>
    </row>
    <row r="379" spans="2:8" x14ac:dyDescent="0.3">
      <c r="B379" s="440">
        <v>43062</v>
      </c>
      <c r="C379" s="363">
        <v>10348.75</v>
      </c>
      <c r="D379" s="252">
        <f t="shared" si="10"/>
        <v>6.2365237906458759E-4</v>
      </c>
      <c r="F379" s="440">
        <v>43062</v>
      </c>
      <c r="G379" s="170">
        <v>544.75</v>
      </c>
      <c r="H379" s="252">
        <f t="shared" si="11"/>
        <v>1.7748715553479677E-2</v>
      </c>
    </row>
    <row r="380" spans="2:8" x14ac:dyDescent="0.3">
      <c r="B380" s="440">
        <v>43063</v>
      </c>
      <c r="C380" s="363">
        <v>10389.700000000001</v>
      </c>
      <c r="D380" s="252">
        <f t="shared" si="10"/>
        <v>3.9569996376374039E-3</v>
      </c>
      <c r="F380" s="440">
        <v>43063</v>
      </c>
      <c r="G380" s="170">
        <v>549.5</v>
      </c>
      <c r="H380" s="252">
        <f t="shared" si="11"/>
        <v>8.7195961450206028E-3</v>
      </c>
    </row>
    <row r="381" spans="2:8" x14ac:dyDescent="0.3">
      <c r="B381" s="440">
        <v>43066</v>
      </c>
      <c r="C381" s="363">
        <v>10399.549999999999</v>
      </c>
      <c r="D381" s="252">
        <f t="shared" si="10"/>
        <v>9.4805432303135539E-4</v>
      </c>
      <c r="F381" s="440">
        <v>43066</v>
      </c>
      <c r="G381" s="170">
        <v>551.54999999999995</v>
      </c>
      <c r="H381" s="252">
        <f t="shared" si="11"/>
        <v>3.7306642402183954E-3</v>
      </c>
    </row>
    <row r="382" spans="2:8" x14ac:dyDescent="0.3">
      <c r="B382" s="440">
        <v>43067</v>
      </c>
      <c r="C382" s="363">
        <v>10370.25</v>
      </c>
      <c r="D382" s="252">
        <f t="shared" si="10"/>
        <v>-2.8174296003191657E-3</v>
      </c>
      <c r="F382" s="440">
        <v>43067</v>
      </c>
      <c r="G382" s="170">
        <v>543.15</v>
      </c>
      <c r="H382" s="252">
        <f t="shared" si="11"/>
        <v>-1.5229806907805288E-2</v>
      </c>
    </row>
    <row r="383" spans="2:8" x14ac:dyDescent="0.3">
      <c r="B383" s="440">
        <v>43068</v>
      </c>
      <c r="C383" s="363">
        <v>10361.299999999999</v>
      </c>
      <c r="D383" s="252">
        <f t="shared" si="10"/>
        <v>-8.6304573178086486E-4</v>
      </c>
      <c r="F383" s="440">
        <v>43068</v>
      </c>
      <c r="G383" s="170">
        <v>547.1</v>
      </c>
      <c r="H383" s="252">
        <f t="shared" si="11"/>
        <v>7.2723925250852695E-3</v>
      </c>
    </row>
    <row r="384" spans="2:8" x14ac:dyDescent="0.3">
      <c r="B384" s="440">
        <v>43069</v>
      </c>
      <c r="C384" s="363">
        <v>10226.549999999999</v>
      </c>
      <c r="D384" s="252">
        <f t="shared" si="10"/>
        <v>-1.3005124839547189E-2</v>
      </c>
      <c r="F384" s="440">
        <v>43069</v>
      </c>
      <c r="G384" s="170">
        <v>539.95000000000005</v>
      </c>
      <c r="H384" s="252">
        <f t="shared" si="11"/>
        <v>-1.3068908791811329E-2</v>
      </c>
    </row>
    <row r="385" spans="2:8" x14ac:dyDescent="0.3">
      <c r="B385" s="440">
        <v>43070</v>
      </c>
      <c r="C385" s="363">
        <v>10121.799999999999</v>
      </c>
      <c r="D385" s="252">
        <f t="shared" si="10"/>
        <v>-1.0242946057076874E-2</v>
      </c>
      <c r="F385" s="440">
        <v>43070</v>
      </c>
      <c r="G385" s="170">
        <v>525.95000000000005</v>
      </c>
      <c r="H385" s="252">
        <f t="shared" si="11"/>
        <v>-2.5928326696916359E-2</v>
      </c>
    </row>
    <row r="386" spans="2:8" x14ac:dyDescent="0.3">
      <c r="B386" s="440">
        <v>43073</v>
      </c>
      <c r="C386" s="363">
        <v>10127.75</v>
      </c>
      <c r="D386" s="252">
        <f t="shared" si="10"/>
        <v>5.8784010749080018E-4</v>
      </c>
      <c r="F386" s="440">
        <v>43073</v>
      </c>
      <c r="G386" s="170">
        <v>520.75</v>
      </c>
      <c r="H386" s="252">
        <f t="shared" si="11"/>
        <v>-9.8868713756061766E-3</v>
      </c>
    </row>
    <row r="387" spans="2:8" x14ac:dyDescent="0.3">
      <c r="B387" s="440">
        <v>43074</v>
      </c>
      <c r="C387" s="363">
        <v>10118.25</v>
      </c>
      <c r="D387" s="252">
        <f t="shared" si="10"/>
        <v>-9.3801683493377475E-4</v>
      </c>
      <c r="F387" s="440">
        <v>43074</v>
      </c>
      <c r="G387" s="170">
        <v>523.15</v>
      </c>
      <c r="H387" s="252">
        <f t="shared" si="11"/>
        <v>4.6087373979837309E-3</v>
      </c>
    </row>
    <row r="388" spans="2:8" x14ac:dyDescent="0.3">
      <c r="B388" s="440">
        <v>43075</v>
      </c>
      <c r="C388" s="363">
        <v>10044.1</v>
      </c>
      <c r="D388" s="252">
        <f t="shared" si="10"/>
        <v>-7.3283423516912194E-3</v>
      </c>
      <c r="F388" s="440">
        <v>43075</v>
      </c>
      <c r="G388" s="170">
        <v>511.35</v>
      </c>
      <c r="H388" s="252">
        <f t="shared" si="11"/>
        <v>-2.2555672369301227E-2</v>
      </c>
    </row>
    <row r="389" spans="2:8" x14ac:dyDescent="0.3">
      <c r="B389" s="440">
        <v>43076</v>
      </c>
      <c r="C389" s="363">
        <v>10166.700000000001</v>
      </c>
      <c r="D389" s="252">
        <f t="shared" si="10"/>
        <v>1.2206170786830173E-2</v>
      </c>
      <c r="F389" s="440">
        <v>43076</v>
      </c>
      <c r="G389" s="170">
        <v>510.35</v>
      </c>
      <c r="H389" s="252">
        <f t="shared" si="11"/>
        <v>-1.9556077050943976E-3</v>
      </c>
    </row>
    <row r="390" spans="2:8" x14ac:dyDescent="0.3">
      <c r="B390" s="440">
        <v>43077</v>
      </c>
      <c r="C390" s="363">
        <v>10265.65</v>
      </c>
      <c r="D390" s="252">
        <f t="shared" si="10"/>
        <v>9.7327549745738207E-3</v>
      </c>
      <c r="F390" s="440">
        <v>43077</v>
      </c>
      <c r="G390" s="170">
        <v>521.85</v>
      </c>
      <c r="H390" s="252">
        <f t="shared" si="11"/>
        <v>2.2533555403154715E-2</v>
      </c>
    </row>
    <row r="391" spans="2:8" x14ac:dyDescent="0.3">
      <c r="B391" s="440">
        <v>43080</v>
      </c>
      <c r="C391" s="363">
        <v>10322.25</v>
      </c>
      <c r="D391" s="252">
        <f t="shared" si="10"/>
        <v>5.5135329959623558E-3</v>
      </c>
      <c r="F391" s="440">
        <v>43080</v>
      </c>
      <c r="G391" s="170">
        <v>529.6</v>
      </c>
      <c r="H391" s="252">
        <f t="shared" si="11"/>
        <v>1.4851010826866018E-2</v>
      </c>
    </row>
    <row r="392" spans="2:8" x14ac:dyDescent="0.3">
      <c r="B392" s="440">
        <v>43081</v>
      </c>
      <c r="C392" s="363">
        <v>10240.15</v>
      </c>
      <c r="D392" s="252">
        <f t="shared" si="10"/>
        <v>-7.9536922667055032E-3</v>
      </c>
      <c r="F392" s="440">
        <v>43081</v>
      </c>
      <c r="G392" s="170">
        <v>520.85</v>
      </c>
      <c r="H392" s="252">
        <f t="shared" si="11"/>
        <v>-1.6521903323262865E-2</v>
      </c>
    </row>
    <row r="393" spans="2:8" x14ac:dyDescent="0.3">
      <c r="B393" s="440">
        <v>43082</v>
      </c>
      <c r="C393" s="363">
        <v>10192.950000000001</v>
      </c>
      <c r="D393" s="252">
        <f t="shared" si="10"/>
        <v>-4.6093074808473133E-3</v>
      </c>
      <c r="F393" s="440">
        <v>43082</v>
      </c>
      <c r="G393" s="170">
        <v>516.85</v>
      </c>
      <c r="H393" s="252">
        <f t="shared" si="11"/>
        <v>-7.6797542478640457E-3</v>
      </c>
    </row>
    <row r="394" spans="2:8" x14ac:dyDescent="0.3">
      <c r="B394" s="440">
        <v>43083</v>
      </c>
      <c r="C394" s="363">
        <v>10252.1</v>
      </c>
      <c r="D394" s="252">
        <f t="shared" si="10"/>
        <v>5.8030305260008408E-3</v>
      </c>
      <c r="F394" s="440">
        <v>43083</v>
      </c>
      <c r="G394" s="170">
        <v>514.4</v>
      </c>
      <c r="H394" s="252">
        <f t="shared" si="11"/>
        <v>-4.7402534584503053E-3</v>
      </c>
    </row>
    <row r="395" spans="2:8" x14ac:dyDescent="0.3">
      <c r="B395" s="440">
        <v>43084</v>
      </c>
      <c r="C395" s="363">
        <v>10333.25</v>
      </c>
      <c r="D395" s="252">
        <f t="shared" ref="D395:D458" si="12">C395/C394-1</f>
        <v>7.9154514684796062E-3</v>
      </c>
      <c r="F395" s="440">
        <v>43084</v>
      </c>
      <c r="G395" s="170">
        <v>518.35</v>
      </c>
      <c r="H395" s="252">
        <f t="shared" ref="H395:H458" si="13">G395/G394-1</f>
        <v>7.6788491446346807E-3</v>
      </c>
    </row>
    <row r="396" spans="2:8" x14ac:dyDescent="0.3">
      <c r="B396" s="440">
        <v>43087</v>
      </c>
      <c r="C396" s="363">
        <v>10388.75</v>
      </c>
      <c r="D396" s="252">
        <f t="shared" si="12"/>
        <v>5.3710110565408087E-3</v>
      </c>
      <c r="F396" s="440">
        <v>43087</v>
      </c>
      <c r="G396" s="170">
        <v>529.79999999999995</v>
      </c>
      <c r="H396" s="252">
        <f t="shared" si="13"/>
        <v>2.2089321886755942E-2</v>
      </c>
    </row>
    <row r="397" spans="2:8" x14ac:dyDescent="0.3">
      <c r="B397" s="440">
        <v>43088</v>
      </c>
      <c r="C397" s="363">
        <v>10463.200000000001</v>
      </c>
      <c r="D397" s="252">
        <f t="shared" si="12"/>
        <v>7.1664059679943382E-3</v>
      </c>
      <c r="F397" s="440">
        <v>43088</v>
      </c>
      <c r="G397" s="170">
        <v>527.5</v>
      </c>
      <c r="H397" s="252">
        <f t="shared" si="13"/>
        <v>-4.3412608531520069E-3</v>
      </c>
    </row>
    <row r="398" spans="2:8" x14ac:dyDescent="0.3">
      <c r="B398" s="440">
        <v>43089</v>
      </c>
      <c r="C398" s="363">
        <v>10444.200000000001</v>
      </c>
      <c r="D398" s="252">
        <f t="shared" si="12"/>
        <v>-1.8158880648367903E-3</v>
      </c>
      <c r="F398" s="440">
        <v>43089</v>
      </c>
      <c r="G398" s="170">
        <v>527.25</v>
      </c>
      <c r="H398" s="252">
        <f t="shared" si="13"/>
        <v>-4.7393364928904891E-4</v>
      </c>
    </row>
    <row r="399" spans="2:8" x14ac:dyDescent="0.3">
      <c r="B399" s="440">
        <v>43090</v>
      </c>
      <c r="C399" s="363">
        <v>10440.299999999999</v>
      </c>
      <c r="D399" s="252">
        <f t="shared" si="12"/>
        <v>-3.7341299477233747E-4</v>
      </c>
      <c r="F399" s="440">
        <v>43090</v>
      </c>
      <c r="G399" s="170">
        <v>528.20000000000005</v>
      </c>
      <c r="H399" s="252">
        <f t="shared" si="13"/>
        <v>1.8018018018017834E-3</v>
      </c>
    </row>
    <row r="400" spans="2:8" x14ac:dyDescent="0.3">
      <c r="B400" s="440">
        <v>43091</v>
      </c>
      <c r="C400" s="363">
        <v>10493</v>
      </c>
      <c r="D400" s="252">
        <f t="shared" si="12"/>
        <v>5.047747670086089E-3</v>
      </c>
      <c r="F400" s="440">
        <v>43091</v>
      </c>
      <c r="G400" s="170">
        <v>530.95000000000005</v>
      </c>
      <c r="H400" s="252">
        <f t="shared" si="13"/>
        <v>5.206361226808065E-3</v>
      </c>
    </row>
    <row r="401" spans="2:8" x14ac:dyDescent="0.3">
      <c r="B401" s="440">
        <v>43095</v>
      </c>
      <c r="C401" s="363">
        <v>10531.5</v>
      </c>
      <c r="D401" s="252">
        <f t="shared" si="12"/>
        <v>3.6691127418277958E-3</v>
      </c>
      <c r="F401" s="440">
        <v>43095</v>
      </c>
      <c r="G401" s="170">
        <v>541.29999999999995</v>
      </c>
      <c r="H401" s="252">
        <f t="shared" si="13"/>
        <v>1.9493360956775341E-2</v>
      </c>
    </row>
    <row r="402" spans="2:8" x14ac:dyDescent="0.3">
      <c r="B402" s="440">
        <v>43096</v>
      </c>
      <c r="C402" s="363">
        <v>10490.75</v>
      </c>
      <c r="D402" s="252">
        <f t="shared" si="12"/>
        <v>-3.8693443479086431E-3</v>
      </c>
      <c r="F402" s="440">
        <v>43096</v>
      </c>
      <c r="G402" s="170">
        <v>576.29999999999995</v>
      </c>
      <c r="H402" s="252">
        <f t="shared" si="13"/>
        <v>6.4659153888786181E-2</v>
      </c>
    </row>
    <row r="403" spans="2:8" x14ac:dyDescent="0.3">
      <c r="B403" s="440">
        <v>43097</v>
      </c>
      <c r="C403" s="363">
        <v>10477.9</v>
      </c>
      <c r="D403" s="252">
        <f t="shared" si="12"/>
        <v>-1.2248885923313857E-3</v>
      </c>
      <c r="F403" s="440">
        <v>43097</v>
      </c>
      <c r="G403" s="170">
        <v>568.4</v>
      </c>
      <c r="H403" s="252">
        <f t="shared" si="13"/>
        <v>-1.3708138122505598E-2</v>
      </c>
    </row>
    <row r="404" spans="2:8" x14ac:dyDescent="0.3">
      <c r="B404" s="440">
        <v>43098</v>
      </c>
      <c r="C404" s="363">
        <v>10530.7</v>
      </c>
      <c r="D404" s="252">
        <f t="shared" si="12"/>
        <v>5.03917769782114E-3</v>
      </c>
      <c r="F404" s="440">
        <v>43098</v>
      </c>
      <c r="G404" s="170">
        <v>571.15</v>
      </c>
      <c r="H404" s="252">
        <f t="shared" si="13"/>
        <v>4.8381421534131608E-3</v>
      </c>
    </row>
    <row r="405" spans="2:8" x14ac:dyDescent="0.3">
      <c r="B405" s="440">
        <v>43101</v>
      </c>
      <c r="C405" s="363">
        <v>10435.549999999999</v>
      </c>
      <c r="D405" s="252">
        <f t="shared" si="12"/>
        <v>-9.0354867197813826E-3</v>
      </c>
      <c r="F405" s="440">
        <v>43101</v>
      </c>
      <c r="G405" s="170">
        <v>574.04999999999995</v>
      </c>
      <c r="H405" s="252">
        <f t="shared" si="13"/>
        <v>5.0774752691937763E-3</v>
      </c>
    </row>
    <row r="406" spans="2:8" x14ac:dyDescent="0.3">
      <c r="B406" s="440">
        <v>43102</v>
      </c>
      <c r="C406" s="363">
        <v>10442.200000000001</v>
      </c>
      <c r="D406" s="252">
        <f t="shared" si="12"/>
        <v>6.3724480262195016E-4</v>
      </c>
      <c r="F406" s="440">
        <v>43102</v>
      </c>
      <c r="G406" s="170">
        <v>572.15</v>
      </c>
      <c r="H406" s="252">
        <f t="shared" si="13"/>
        <v>-3.3098162180994484E-3</v>
      </c>
    </row>
    <row r="407" spans="2:8" x14ac:dyDescent="0.3">
      <c r="B407" s="440">
        <v>43103</v>
      </c>
      <c r="C407" s="363">
        <v>10443.200000000001</v>
      </c>
      <c r="D407" s="252">
        <f t="shared" si="12"/>
        <v>9.5765260194280444E-5</v>
      </c>
      <c r="F407" s="440">
        <v>43103</v>
      </c>
      <c r="G407" s="170">
        <v>569.04999999999995</v>
      </c>
      <c r="H407" s="252">
        <f t="shared" si="13"/>
        <v>-5.4181595735384169E-3</v>
      </c>
    </row>
    <row r="408" spans="2:8" x14ac:dyDescent="0.3">
      <c r="B408" s="440">
        <v>43104</v>
      </c>
      <c r="C408" s="363">
        <v>10504.8</v>
      </c>
      <c r="D408" s="252">
        <f t="shared" si="12"/>
        <v>5.8985751493794147E-3</v>
      </c>
      <c r="F408" s="440">
        <v>43104</v>
      </c>
      <c r="G408" s="170">
        <v>581.20000000000005</v>
      </c>
      <c r="H408" s="252">
        <f t="shared" si="13"/>
        <v>2.1351375098849212E-2</v>
      </c>
    </row>
    <row r="409" spans="2:8" x14ac:dyDescent="0.3">
      <c r="B409" s="440">
        <v>43105</v>
      </c>
      <c r="C409" s="363">
        <v>10558.85</v>
      </c>
      <c r="D409" s="252">
        <f t="shared" si="12"/>
        <v>5.1452669255960259E-3</v>
      </c>
      <c r="F409" s="440">
        <v>43105</v>
      </c>
      <c r="G409" s="170">
        <v>578.75</v>
      </c>
      <c r="H409" s="252">
        <f t="shared" si="13"/>
        <v>-4.215416379903747E-3</v>
      </c>
    </row>
    <row r="410" spans="2:8" x14ac:dyDescent="0.3">
      <c r="B410" s="440">
        <v>43108</v>
      </c>
      <c r="C410" s="363">
        <v>10623.6</v>
      </c>
      <c r="D410" s="252">
        <f t="shared" si="12"/>
        <v>6.132296604270282E-3</v>
      </c>
      <c r="F410" s="440">
        <v>43108</v>
      </c>
      <c r="G410" s="170">
        <v>591.6</v>
      </c>
      <c r="H410" s="252">
        <f t="shared" si="13"/>
        <v>2.220302375809946E-2</v>
      </c>
    </row>
    <row r="411" spans="2:8" x14ac:dyDescent="0.3">
      <c r="B411" s="440">
        <v>43109</v>
      </c>
      <c r="C411" s="363">
        <v>10637</v>
      </c>
      <c r="D411" s="252">
        <f t="shared" si="12"/>
        <v>1.2613426710341713E-3</v>
      </c>
      <c r="F411" s="440">
        <v>43109</v>
      </c>
      <c r="G411" s="170">
        <v>586.5</v>
      </c>
      <c r="H411" s="252">
        <f t="shared" si="13"/>
        <v>-8.6206896551724865E-3</v>
      </c>
    </row>
    <row r="412" spans="2:8" x14ac:dyDescent="0.3">
      <c r="B412" s="440">
        <v>43110</v>
      </c>
      <c r="C412" s="363">
        <v>10632.2</v>
      </c>
      <c r="D412" s="252">
        <f t="shared" si="12"/>
        <v>-4.5125505311638392E-4</v>
      </c>
      <c r="F412" s="440">
        <v>43110</v>
      </c>
      <c r="G412" s="170">
        <v>585.1</v>
      </c>
      <c r="H412" s="252">
        <f t="shared" si="13"/>
        <v>-2.3870417732310134E-3</v>
      </c>
    </row>
    <row r="413" spans="2:8" x14ac:dyDescent="0.3">
      <c r="B413" s="440">
        <v>43111</v>
      </c>
      <c r="C413" s="363">
        <v>10651.2</v>
      </c>
      <c r="D413" s="252">
        <f t="shared" si="12"/>
        <v>1.7870243223414572E-3</v>
      </c>
      <c r="F413" s="440">
        <v>43111</v>
      </c>
      <c r="G413" s="170">
        <v>587.95000000000005</v>
      </c>
      <c r="H413" s="252">
        <f t="shared" si="13"/>
        <v>4.8709622286788878E-3</v>
      </c>
    </row>
    <row r="414" spans="2:8" x14ac:dyDescent="0.3">
      <c r="B414" s="440">
        <v>43112</v>
      </c>
      <c r="C414" s="363">
        <v>10681.25</v>
      </c>
      <c r="D414" s="252">
        <f t="shared" si="12"/>
        <v>2.8212783536125663E-3</v>
      </c>
      <c r="F414" s="440">
        <v>43112</v>
      </c>
      <c r="G414" s="170">
        <v>583.45000000000005</v>
      </c>
      <c r="H414" s="252">
        <f t="shared" si="13"/>
        <v>-7.6537120503443745E-3</v>
      </c>
    </row>
    <row r="415" spans="2:8" x14ac:dyDescent="0.3">
      <c r="B415" s="440">
        <v>43115</v>
      </c>
      <c r="C415" s="363">
        <v>10741.55</v>
      </c>
      <c r="D415" s="252">
        <f t="shared" si="12"/>
        <v>5.6454066705675654E-3</v>
      </c>
      <c r="F415" s="440">
        <v>43115</v>
      </c>
      <c r="G415" s="170">
        <v>576.45000000000005</v>
      </c>
      <c r="H415" s="252">
        <f t="shared" si="13"/>
        <v>-1.1997600479904058E-2</v>
      </c>
    </row>
    <row r="416" spans="2:8" x14ac:dyDescent="0.3">
      <c r="B416" s="440">
        <v>43116</v>
      </c>
      <c r="C416" s="363">
        <v>10700.45</v>
      </c>
      <c r="D416" s="252">
        <f t="shared" si="12"/>
        <v>-3.8262634349789382E-3</v>
      </c>
      <c r="F416" s="440">
        <v>43116</v>
      </c>
      <c r="G416" s="170">
        <v>577.70000000000005</v>
      </c>
      <c r="H416" s="252">
        <f t="shared" si="13"/>
        <v>2.1684447913956628E-3</v>
      </c>
    </row>
    <row r="417" spans="2:8" x14ac:dyDescent="0.3">
      <c r="B417" s="440">
        <v>43117</v>
      </c>
      <c r="C417" s="363">
        <v>10788.55</v>
      </c>
      <c r="D417" s="252">
        <f t="shared" si="12"/>
        <v>8.2332985995914321E-3</v>
      </c>
      <c r="F417" s="440">
        <v>43117</v>
      </c>
      <c r="G417" s="170">
        <v>583.75</v>
      </c>
      <c r="H417" s="252">
        <f t="shared" si="13"/>
        <v>1.0472563614332575E-2</v>
      </c>
    </row>
    <row r="418" spans="2:8" x14ac:dyDescent="0.3">
      <c r="B418" s="440">
        <v>43118</v>
      </c>
      <c r="C418" s="363">
        <v>10817</v>
      </c>
      <c r="D418" s="252">
        <f t="shared" si="12"/>
        <v>2.6370550259302572E-3</v>
      </c>
      <c r="F418" s="440">
        <v>43118</v>
      </c>
      <c r="G418" s="170">
        <v>576.70000000000005</v>
      </c>
      <c r="H418" s="252">
        <f t="shared" si="13"/>
        <v>-1.2077087794432506E-2</v>
      </c>
    </row>
    <row r="419" spans="2:8" x14ac:dyDescent="0.3">
      <c r="B419" s="440">
        <v>43119</v>
      </c>
      <c r="C419" s="363">
        <v>10894.7</v>
      </c>
      <c r="D419" s="252">
        <f t="shared" si="12"/>
        <v>7.1831376536932723E-3</v>
      </c>
      <c r="F419" s="440">
        <v>43119</v>
      </c>
      <c r="G419" s="170">
        <v>572.1</v>
      </c>
      <c r="H419" s="252">
        <f t="shared" si="13"/>
        <v>-7.9764175481186195E-3</v>
      </c>
    </row>
    <row r="420" spans="2:8" x14ac:dyDescent="0.3">
      <c r="B420" s="440">
        <v>43122</v>
      </c>
      <c r="C420" s="363">
        <v>10966.2</v>
      </c>
      <c r="D420" s="252">
        <f t="shared" si="12"/>
        <v>6.5628241254922504E-3</v>
      </c>
      <c r="F420" s="440">
        <v>43122</v>
      </c>
      <c r="G420" s="170">
        <v>576.15</v>
      </c>
      <c r="H420" s="252">
        <f t="shared" si="13"/>
        <v>7.079181961195502E-3</v>
      </c>
    </row>
    <row r="421" spans="2:8" x14ac:dyDescent="0.3">
      <c r="B421" s="440">
        <v>43123</v>
      </c>
      <c r="C421" s="363">
        <v>11083.7</v>
      </c>
      <c r="D421" s="252">
        <f t="shared" si="12"/>
        <v>1.071474166073938E-2</v>
      </c>
      <c r="F421" s="440">
        <v>43123</v>
      </c>
      <c r="G421" s="170">
        <v>579.35</v>
      </c>
      <c r="H421" s="252">
        <f t="shared" si="13"/>
        <v>5.5541091729585101E-3</v>
      </c>
    </row>
    <row r="422" spans="2:8" x14ac:dyDescent="0.3">
      <c r="B422" s="440">
        <v>43124</v>
      </c>
      <c r="C422" s="363">
        <v>11086</v>
      </c>
      <c r="D422" s="252">
        <f t="shared" si="12"/>
        <v>2.0751193193602191E-4</v>
      </c>
      <c r="F422" s="440">
        <v>43124</v>
      </c>
      <c r="G422" s="170">
        <v>586.54999999999995</v>
      </c>
      <c r="H422" s="252">
        <f t="shared" si="13"/>
        <v>1.2427720721498003E-2</v>
      </c>
    </row>
    <row r="423" spans="2:8" x14ac:dyDescent="0.3">
      <c r="B423" s="440">
        <v>43125</v>
      </c>
      <c r="C423" s="363">
        <v>11069.65</v>
      </c>
      <c r="D423" s="252">
        <f t="shared" si="12"/>
        <v>-1.4748331228576772E-3</v>
      </c>
      <c r="F423" s="440">
        <v>43125</v>
      </c>
      <c r="G423" s="170">
        <v>579.85</v>
      </c>
      <c r="H423" s="252">
        <f t="shared" si="13"/>
        <v>-1.1422726110305925E-2</v>
      </c>
    </row>
    <row r="424" spans="2:8" x14ac:dyDescent="0.3">
      <c r="B424" s="440">
        <v>43129</v>
      </c>
      <c r="C424" s="363">
        <v>11130.4</v>
      </c>
      <c r="D424" s="252">
        <f t="shared" si="12"/>
        <v>5.4879783913674984E-3</v>
      </c>
      <c r="F424" s="440">
        <v>43129</v>
      </c>
      <c r="G424" s="170">
        <v>587.95000000000005</v>
      </c>
      <c r="H424" s="252">
        <f t="shared" si="13"/>
        <v>1.3969129947400294E-2</v>
      </c>
    </row>
    <row r="425" spans="2:8" x14ac:dyDescent="0.3">
      <c r="B425" s="440">
        <v>43130</v>
      </c>
      <c r="C425" s="363">
        <v>11049.65</v>
      </c>
      <c r="D425" s="252">
        <f t="shared" si="12"/>
        <v>-7.2549054840795879E-3</v>
      </c>
      <c r="F425" s="440">
        <v>43130</v>
      </c>
      <c r="G425" s="170">
        <v>591.95000000000005</v>
      </c>
      <c r="H425" s="252">
        <f t="shared" si="13"/>
        <v>6.803299600306234E-3</v>
      </c>
    </row>
    <row r="426" spans="2:8" x14ac:dyDescent="0.3">
      <c r="B426" s="440">
        <v>43131</v>
      </c>
      <c r="C426" s="363">
        <v>11027.7</v>
      </c>
      <c r="D426" s="252">
        <f t="shared" si="12"/>
        <v>-1.9864882598090716E-3</v>
      </c>
      <c r="F426" s="440">
        <v>43131</v>
      </c>
      <c r="G426" s="170">
        <v>579.9</v>
      </c>
      <c r="H426" s="252">
        <f t="shared" si="13"/>
        <v>-2.0356449024410916E-2</v>
      </c>
    </row>
    <row r="427" spans="2:8" x14ac:dyDescent="0.3">
      <c r="B427" s="440">
        <v>43132</v>
      </c>
      <c r="C427" s="363">
        <v>11016.9</v>
      </c>
      <c r="D427" s="252">
        <f t="shared" si="12"/>
        <v>-9.7935199542975582E-4</v>
      </c>
      <c r="F427" s="440">
        <v>43132</v>
      </c>
      <c r="G427" s="170">
        <v>554.29999999999995</v>
      </c>
      <c r="H427" s="252">
        <f t="shared" si="13"/>
        <v>-4.4145542334885324E-2</v>
      </c>
    </row>
    <row r="428" spans="2:8" x14ac:dyDescent="0.3">
      <c r="B428" s="440">
        <v>43133</v>
      </c>
      <c r="C428" s="363">
        <v>10760.6</v>
      </c>
      <c r="D428" s="252">
        <f t="shared" si="12"/>
        <v>-2.326425764053397E-2</v>
      </c>
      <c r="F428" s="440">
        <v>43133</v>
      </c>
      <c r="G428" s="170">
        <v>551.20000000000005</v>
      </c>
      <c r="H428" s="252">
        <f t="shared" si="13"/>
        <v>-5.5926393649646799E-3</v>
      </c>
    </row>
    <row r="429" spans="2:8" x14ac:dyDescent="0.3">
      <c r="B429" s="440">
        <v>43136</v>
      </c>
      <c r="C429" s="363">
        <v>10666.55</v>
      </c>
      <c r="D429" s="252">
        <f t="shared" si="12"/>
        <v>-8.7402189468990255E-3</v>
      </c>
      <c r="F429" s="440">
        <v>43136</v>
      </c>
      <c r="G429" s="170">
        <v>557.45000000000005</v>
      </c>
      <c r="H429" s="252">
        <f t="shared" si="13"/>
        <v>1.1338896952104438E-2</v>
      </c>
    </row>
    <row r="430" spans="2:8" x14ac:dyDescent="0.3">
      <c r="B430" s="440">
        <v>43137</v>
      </c>
      <c r="C430" s="363">
        <v>10498.25</v>
      </c>
      <c r="D430" s="252">
        <f t="shared" si="12"/>
        <v>-1.5778297575129607E-2</v>
      </c>
      <c r="F430" s="440">
        <v>43137</v>
      </c>
      <c r="G430" s="170">
        <v>551.79999999999995</v>
      </c>
      <c r="H430" s="252">
        <f t="shared" si="13"/>
        <v>-1.0135438155888576E-2</v>
      </c>
    </row>
    <row r="431" spans="2:8" x14ac:dyDescent="0.3">
      <c r="B431" s="440">
        <v>43138</v>
      </c>
      <c r="C431" s="363">
        <v>10476.700000000001</v>
      </c>
      <c r="D431" s="252">
        <f t="shared" si="12"/>
        <v>-2.052723072893059E-3</v>
      </c>
      <c r="F431" s="440">
        <v>43138</v>
      </c>
      <c r="G431" s="170">
        <v>549.5</v>
      </c>
      <c r="H431" s="252">
        <f t="shared" si="13"/>
        <v>-4.1681768756794968E-3</v>
      </c>
    </row>
    <row r="432" spans="2:8" x14ac:dyDescent="0.3">
      <c r="B432" s="440">
        <v>43139</v>
      </c>
      <c r="C432" s="363">
        <v>10576.85</v>
      </c>
      <c r="D432" s="252">
        <f t="shared" si="12"/>
        <v>9.5593077973026297E-3</v>
      </c>
      <c r="F432" s="440">
        <v>43139</v>
      </c>
      <c r="G432" s="170">
        <v>584.1</v>
      </c>
      <c r="H432" s="252">
        <f t="shared" si="13"/>
        <v>6.296633303002741E-2</v>
      </c>
    </row>
    <row r="433" spans="2:8" x14ac:dyDescent="0.3">
      <c r="B433" s="440">
        <v>43140</v>
      </c>
      <c r="C433" s="363">
        <v>10454.950000000001</v>
      </c>
      <c r="D433" s="252">
        <f t="shared" si="12"/>
        <v>-1.1525170537541873E-2</v>
      </c>
      <c r="F433" s="440">
        <v>43140</v>
      </c>
      <c r="G433" s="170">
        <v>582.70000000000005</v>
      </c>
      <c r="H433" s="252">
        <f t="shared" si="13"/>
        <v>-2.3968498544769679E-3</v>
      </c>
    </row>
    <row r="434" spans="2:8" x14ac:dyDescent="0.3">
      <c r="B434" s="440">
        <v>43143</v>
      </c>
      <c r="C434" s="363">
        <v>10539.75</v>
      </c>
      <c r="D434" s="252">
        <f t="shared" si="12"/>
        <v>8.1109904877592065E-3</v>
      </c>
      <c r="F434" s="440">
        <v>43143</v>
      </c>
      <c r="G434" s="170">
        <v>589.15</v>
      </c>
      <c r="H434" s="252">
        <f t="shared" si="13"/>
        <v>1.1069160803157674E-2</v>
      </c>
    </row>
    <row r="435" spans="2:8" x14ac:dyDescent="0.3">
      <c r="B435" s="440">
        <v>43145</v>
      </c>
      <c r="C435" s="363">
        <v>10500.9</v>
      </c>
      <c r="D435" s="252">
        <f t="shared" si="12"/>
        <v>-3.6860456841956157E-3</v>
      </c>
      <c r="F435" s="440">
        <v>43145</v>
      </c>
      <c r="G435" s="170">
        <v>574.79999999999995</v>
      </c>
      <c r="H435" s="252">
        <f t="shared" si="13"/>
        <v>-2.4357124671136376E-2</v>
      </c>
    </row>
    <row r="436" spans="2:8" x14ac:dyDescent="0.3">
      <c r="B436" s="440">
        <v>43146</v>
      </c>
      <c r="C436" s="363">
        <v>10545.5</v>
      </c>
      <c r="D436" s="252">
        <f t="shared" si="12"/>
        <v>4.247254997190808E-3</v>
      </c>
      <c r="F436" s="440">
        <v>43146</v>
      </c>
      <c r="G436" s="170">
        <v>575.75</v>
      </c>
      <c r="H436" s="252">
        <f t="shared" si="13"/>
        <v>1.6527487821851317E-3</v>
      </c>
    </row>
    <row r="437" spans="2:8" x14ac:dyDescent="0.3">
      <c r="B437" s="440">
        <v>43147</v>
      </c>
      <c r="C437" s="363">
        <v>10452.299999999999</v>
      </c>
      <c r="D437" s="252">
        <f t="shared" si="12"/>
        <v>-8.8378929401167206E-3</v>
      </c>
      <c r="F437" s="440">
        <v>43147</v>
      </c>
      <c r="G437" s="170">
        <v>575.25</v>
      </c>
      <c r="H437" s="252">
        <f t="shared" si="13"/>
        <v>-8.6843247937473667E-4</v>
      </c>
    </row>
    <row r="438" spans="2:8" x14ac:dyDescent="0.3">
      <c r="B438" s="440">
        <v>43150</v>
      </c>
      <c r="C438" s="363">
        <v>10378.4</v>
      </c>
      <c r="D438" s="252">
        <f t="shared" si="12"/>
        <v>-7.0702142112262223E-3</v>
      </c>
      <c r="F438" s="440">
        <v>43150</v>
      </c>
      <c r="G438" s="170">
        <v>561.4</v>
      </c>
      <c r="H438" s="252">
        <f t="shared" si="13"/>
        <v>-2.4076488483268155E-2</v>
      </c>
    </row>
    <row r="439" spans="2:8" x14ac:dyDescent="0.3">
      <c r="B439" s="440">
        <v>43151</v>
      </c>
      <c r="C439" s="363">
        <v>10360.4</v>
      </c>
      <c r="D439" s="252">
        <f t="shared" si="12"/>
        <v>-1.7343713867262744E-3</v>
      </c>
      <c r="F439" s="440">
        <v>43151</v>
      </c>
      <c r="G439" s="170">
        <v>559.5</v>
      </c>
      <c r="H439" s="252">
        <f t="shared" si="13"/>
        <v>-3.384396152475877E-3</v>
      </c>
    </row>
    <row r="440" spans="2:8" x14ac:dyDescent="0.3">
      <c r="B440" s="440">
        <v>43152</v>
      </c>
      <c r="C440" s="363">
        <v>10397.450000000001</v>
      </c>
      <c r="D440" s="252">
        <f t="shared" si="12"/>
        <v>3.5761167522490034E-3</v>
      </c>
      <c r="F440" s="440">
        <v>43152</v>
      </c>
      <c r="G440" s="170">
        <v>525.75</v>
      </c>
      <c r="H440" s="252">
        <f t="shared" si="13"/>
        <v>-6.032171581769441E-2</v>
      </c>
    </row>
    <row r="441" spans="2:8" x14ac:dyDescent="0.3">
      <c r="B441" s="440">
        <v>43153</v>
      </c>
      <c r="C441" s="363">
        <v>10382.700000000001</v>
      </c>
      <c r="D441" s="252">
        <f t="shared" si="12"/>
        <v>-1.4186170647610963E-3</v>
      </c>
      <c r="F441" s="440">
        <v>43153</v>
      </c>
      <c r="G441" s="170">
        <v>541.45000000000005</v>
      </c>
      <c r="H441" s="252">
        <f t="shared" si="13"/>
        <v>2.9862101759391413E-2</v>
      </c>
    </row>
    <row r="442" spans="2:8" x14ac:dyDescent="0.3">
      <c r="B442" s="440">
        <v>43154</v>
      </c>
      <c r="C442" s="363">
        <v>10491.05</v>
      </c>
      <c r="D442" s="252">
        <f t="shared" si="12"/>
        <v>1.0435628497404092E-2</v>
      </c>
      <c r="F442" s="440">
        <v>43154</v>
      </c>
      <c r="G442" s="170">
        <v>569.65</v>
      </c>
      <c r="H442" s="252">
        <f t="shared" si="13"/>
        <v>5.2082371410102413E-2</v>
      </c>
    </row>
    <row r="443" spans="2:8" x14ac:dyDescent="0.3">
      <c r="B443" s="440">
        <v>43157</v>
      </c>
      <c r="C443" s="363">
        <v>10582.6</v>
      </c>
      <c r="D443" s="252">
        <f t="shared" si="12"/>
        <v>8.7264859094180469E-3</v>
      </c>
      <c r="F443" s="440">
        <v>43157</v>
      </c>
      <c r="G443" s="170">
        <v>555.95000000000005</v>
      </c>
      <c r="H443" s="252">
        <f t="shared" si="13"/>
        <v>-2.404985517422964E-2</v>
      </c>
    </row>
    <row r="444" spans="2:8" x14ac:dyDescent="0.3">
      <c r="B444" s="440">
        <v>43158</v>
      </c>
      <c r="C444" s="363">
        <v>10554.3</v>
      </c>
      <c r="D444" s="252">
        <f t="shared" si="12"/>
        <v>-2.6742010470017785E-3</v>
      </c>
      <c r="F444" s="440">
        <v>43158</v>
      </c>
      <c r="G444" s="170">
        <v>544.79999999999995</v>
      </c>
      <c r="H444" s="252">
        <f t="shared" si="13"/>
        <v>-2.0055760410109036E-2</v>
      </c>
    </row>
    <row r="445" spans="2:8" x14ac:dyDescent="0.3">
      <c r="B445" s="440">
        <v>43159</v>
      </c>
      <c r="C445" s="363">
        <v>10492.85</v>
      </c>
      <c r="D445" s="252">
        <f t="shared" si="12"/>
        <v>-5.8222714912404827E-3</v>
      </c>
      <c r="F445" s="440">
        <v>43159</v>
      </c>
      <c r="G445" s="170">
        <v>535.35</v>
      </c>
      <c r="H445" s="252">
        <f t="shared" si="13"/>
        <v>-1.7345814977973495E-2</v>
      </c>
    </row>
    <row r="446" spans="2:8" x14ac:dyDescent="0.3">
      <c r="B446" s="440">
        <v>43160</v>
      </c>
      <c r="C446" s="363">
        <v>10458.35</v>
      </c>
      <c r="D446" s="252">
        <f t="shared" si="12"/>
        <v>-3.2879532252915178E-3</v>
      </c>
      <c r="F446" s="440">
        <v>43160</v>
      </c>
      <c r="G446" s="170">
        <v>535.4</v>
      </c>
      <c r="H446" s="252">
        <f t="shared" si="13"/>
        <v>9.3396843186654976E-5</v>
      </c>
    </row>
    <row r="447" spans="2:8" x14ac:dyDescent="0.3">
      <c r="B447" s="440">
        <v>43164</v>
      </c>
      <c r="C447" s="363">
        <v>10358.85</v>
      </c>
      <c r="D447" s="252">
        <f t="shared" si="12"/>
        <v>-9.5139290614676408E-3</v>
      </c>
      <c r="F447" s="440">
        <v>43164</v>
      </c>
      <c r="G447" s="170">
        <v>548.54999999999995</v>
      </c>
      <c r="H447" s="252">
        <f t="shared" si="13"/>
        <v>2.45610758311543E-2</v>
      </c>
    </row>
    <row r="448" spans="2:8" x14ac:dyDescent="0.3">
      <c r="B448" s="440">
        <v>43165</v>
      </c>
      <c r="C448" s="363">
        <v>10249.25</v>
      </c>
      <c r="D448" s="252">
        <f t="shared" si="12"/>
        <v>-1.0580325036080307E-2</v>
      </c>
      <c r="F448" s="440">
        <v>43165</v>
      </c>
      <c r="G448" s="170">
        <v>531.75</v>
      </c>
      <c r="H448" s="252">
        <f t="shared" si="13"/>
        <v>-3.0626196335794331E-2</v>
      </c>
    </row>
    <row r="449" spans="2:8" x14ac:dyDescent="0.3">
      <c r="B449" s="440">
        <v>43166</v>
      </c>
      <c r="C449" s="363">
        <v>10154.200000000001</v>
      </c>
      <c r="D449" s="252">
        <f t="shared" si="12"/>
        <v>-9.2738493060466887E-3</v>
      </c>
      <c r="F449" s="440">
        <v>43166</v>
      </c>
      <c r="G449" s="170">
        <v>524.85</v>
      </c>
      <c r="H449" s="252">
        <f t="shared" si="13"/>
        <v>-1.2976022566995704E-2</v>
      </c>
    </row>
    <row r="450" spans="2:8" x14ac:dyDescent="0.3">
      <c r="B450" s="440">
        <v>43167</v>
      </c>
      <c r="C450" s="363">
        <v>10242.65</v>
      </c>
      <c r="D450" s="252">
        <f t="shared" si="12"/>
        <v>8.7106812944395262E-3</v>
      </c>
      <c r="F450" s="440">
        <v>43167</v>
      </c>
      <c r="G450" s="170">
        <v>514.6</v>
      </c>
      <c r="H450" s="252">
        <f t="shared" si="13"/>
        <v>-1.95293893493379E-2</v>
      </c>
    </row>
    <row r="451" spans="2:8" x14ac:dyDescent="0.3">
      <c r="B451" s="440">
        <v>43168</v>
      </c>
      <c r="C451" s="363">
        <v>10226.85</v>
      </c>
      <c r="D451" s="252">
        <f t="shared" si="12"/>
        <v>-1.542569549872308E-3</v>
      </c>
      <c r="F451" s="440">
        <v>43168</v>
      </c>
      <c r="G451" s="170">
        <v>506.8</v>
      </c>
      <c r="H451" s="252">
        <f t="shared" si="13"/>
        <v>-1.5157403808783498E-2</v>
      </c>
    </row>
    <row r="452" spans="2:8" x14ac:dyDescent="0.3">
      <c r="B452" s="440">
        <v>43171</v>
      </c>
      <c r="C452" s="363">
        <v>10421.4</v>
      </c>
      <c r="D452" s="252">
        <f t="shared" si="12"/>
        <v>1.9023452969389343E-2</v>
      </c>
      <c r="F452" s="440">
        <v>43171</v>
      </c>
      <c r="G452" s="170">
        <v>512.65</v>
      </c>
      <c r="H452" s="252">
        <f t="shared" si="13"/>
        <v>1.1543014996053591E-2</v>
      </c>
    </row>
    <row r="453" spans="2:8" x14ac:dyDescent="0.3">
      <c r="B453" s="440">
        <v>43172</v>
      </c>
      <c r="C453" s="363">
        <v>10426.85</v>
      </c>
      <c r="D453" s="252">
        <f t="shared" si="12"/>
        <v>5.229623659011029E-4</v>
      </c>
      <c r="F453" s="440">
        <v>43172</v>
      </c>
      <c r="G453" s="170">
        <v>523.29999999999995</v>
      </c>
      <c r="H453" s="252">
        <f t="shared" si="13"/>
        <v>2.0774407490490532E-2</v>
      </c>
    </row>
    <row r="454" spans="2:8" x14ac:dyDescent="0.3">
      <c r="B454" s="440">
        <v>43173</v>
      </c>
      <c r="C454" s="363">
        <v>10410.9</v>
      </c>
      <c r="D454" s="252">
        <f t="shared" si="12"/>
        <v>-1.5297045608214654E-3</v>
      </c>
      <c r="F454" s="440">
        <v>43173</v>
      </c>
      <c r="G454" s="170">
        <v>520.1</v>
      </c>
      <c r="H454" s="252">
        <f t="shared" si="13"/>
        <v>-6.1150391744695387E-3</v>
      </c>
    </row>
    <row r="455" spans="2:8" x14ac:dyDescent="0.3">
      <c r="B455" s="440">
        <v>43174</v>
      </c>
      <c r="C455" s="363">
        <v>10360.15</v>
      </c>
      <c r="D455" s="252">
        <f t="shared" si="12"/>
        <v>-4.8746986331633657E-3</v>
      </c>
      <c r="F455" s="440">
        <v>43174</v>
      </c>
      <c r="G455" s="170">
        <v>516.45000000000005</v>
      </c>
      <c r="H455" s="252">
        <f t="shared" si="13"/>
        <v>-7.0178811766967719E-3</v>
      </c>
    </row>
    <row r="456" spans="2:8" x14ac:dyDescent="0.3">
      <c r="B456" s="440">
        <v>43175</v>
      </c>
      <c r="C456" s="363">
        <v>10195.15</v>
      </c>
      <c r="D456" s="252">
        <f t="shared" si="12"/>
        <v>-1.592641033189679E-2</v>
      </c>
      <c r="F456" s="440">
        <v>43175</v>
      </c>
      <c r="G456" s="170">
        <v>503.05</v>
      </c>
      <c r="H456" s="252">
        <f t="shared" si="13"/>
        <v>-2.5946364604511607E-2</v>
      </c>
    </row>
    <row r="457" spans="2:8" x14ac:dyDescent="0.3">
      <c r="B457" s="440">
        <v>43178</v>
      </c>
      <c r="C457" s="363">
        <v>10094.25</v>
      </c>
      <c r="D457" s="252">
        <f t="shared" si="12"/>
        <v>-9.8968627239421902E-3</v>
      </c>
      <c r="F457" s="440">
        <v>43178</v>
      </c>
      <c r="G457" s="170">
        <v>497.65</v>
      </c>
      <c r="H457" s="252">
        <f t="shared" si="13"/>
        <v>-1.0734519431468081E-2</v>
      </c>
    </row>
    <row r="458" spans="2:8" x14ac:dyDescent="0.3">
      <c r="B458" s="440">
        <v>43179</v>
      </c>
      <c r="C458" s="363">
        <v>10124.35</v>
      </c>
      <c r="D458" s="252">
        <f t="shared" si="12"/>
        <v>2.9818956336529201E-3</v>
      </c>
      <c r="F458" s="440">
        <v>43179</v>
      </c>
      <c r="G458" s="170">
        <v>508.75</v>
      </c>
      <c r="H458" s="252">
        <f t="shared" si="13"/>
        <v>2.2304832713754719E-2</v>
      </c>
    </row>
    <row r="459" spans="2:8" x14ac:dyDescent="0.3">
      <c r="B459" s="440">
        <v>43180</v>
      </c>
      <c r="C459" s="363">
        <v>10155.25</v>
      </c>
      <c r="D459" s="252">
        <f t="shared" ref="D459:D522" si="14">C459/C458-1</f>
        <v>3.0520477857838291E-3</v>
      </c>
      <c r="F459" s="440">
        <v>43180</v>
      </c>
      <c r="G459" s="170">
        <v>504.5</v>
      </c>
      <c r="H459" s="252">
        <f t="shared" ref="H459:H522" si="15">G459/G458-1</f>
        <v>-8.3538083538083896E-3</v>
      </c>
    </row>
    <row r="460" spans="2:8" x14ac:dyDescent="0.3">
      <c r="B460" s="440">
        <v>43181</v>
      </c>
      <c r="C460" s="363">
        <v>10114.75</v>
      </c>
      <c r="D460" s="252">
        <f t="shared" si="14"/>
        <v>-3.988084980675044E-3</v>
      </c>
      <c r="F460" s="440">
        <v>43181</v>
      </c>
      <c r="G460" s="170">
        <v>508.4</v>
      </c>
      <c r="H460" s="252">
        <f t="shared" si="15"/>
        <v>7.730426164519244E-3</v>
      </c>
    </row>
    <row r="461" spans="2:8" x14ac:dyDescent="0.3">
      <c r="B461" s="440">
        <v>43182</v>
      </c>
      <c r="C461" s="363">
        <v>9998.0499999999993</v>
      </c>
      <c r="D461" s="252">
        <f t="shared" si="14"/>
        <v>-1.1537605971477349E-2</v>
      </c>
      <c r="F461" s="440">
        <v>43182</v>
      </c>
      <c r="G461" s="170">
        <v>502.4</v>
      </c>
      <c r="H461" s="252">
        <f t="shared" si="15"/>
        <v>-1.1801730920535047E-2</v>
      </c>
    </row>
    <row r="462" spans="2:8" x14ac:dyDescent="0.3">
      <c r="B462" s="440">
        <v>43185</v>
      </c>
      <c r="C462" s="363">
        <v>10130.65</v>
      </c>
      <c r="D462" s="252">
        <f t="shared" si="14"/>
        <v>1.3262586204309867E-2</v>
      </c>
      <c r="F462" s="440">
        <v>43185</v>
      </c>
      <c r="G462" s="170">
        <v>503.2</v>
      </c>
      <c r="H462" s="252">
        <f t="shared" si="15"/>
        <v>1.5923566878981443E-3</v>
      </c>
    </row>
    <row r="463" spans="2:8" x14ac:dyDescent="0.3">
      <c r="B463" s="440">
        <v>43186</v>
      </c>
      <c r="C463" s="363">
        <v>10184.15</v>
      </c>
      <c r="D463" s="252">
        <f t="shared" si="14"/>
        <v>5.2810036868315979E-3</v>
      </c>
      <c r="F463" s="440">
        <v>43186</v>
      </c>
      <c r="G463" s="170">
        <v>505.1</v>
      </c>
      <c r="H463" s="252">
        <f t="shared" si="15"/>
        <v>3.77583465818776E-3</v>
      </c>
    </row>
    <row r="464" spans="2:8" x14ac:dyDescent="0.3">
      <c r="B464" s="440">
        <v>43187</v>
      </c>
      <c r="C464" s="363">
        <v>10113.700000000001</v>
      </c>
      <c r="D464" s="252">
        <f t="shared" si="14"/>
        <v>-6.9176121718551586E-3</v>
      </c>
      <c r="F464" s="440">
        <v>43187</v>
      </c>
      <c r="G464" s="170">
        <v>495.1</v>
      </c>
      <c r="H464" s="252">
        <f t="shared" si="15"/>
        <v>-1.9798059790140599E-2</v>
      </c>
    </row>
    <row r="465" spans="2:8" x14ac:dyDescent="0.3">
      <c r="B465" s="440">
        <v>43192</v>
      </c>
      <c r="C465" s="363">
        <v>10211.799999999999</v>
      </c>
      <c r="D465" s="252">
        <f t="shared" si="14"/>
        <v>9.6997142489887445E-3</v>
      </c>
      <c r="F465" s="440">
        <v>43192</v>
      </c>
      <c r="G465" s="170">
        <v>507.85</v>
      </c>
      <c r="H465" s="252">
        <f t="shared" si="15"/>
        <v>2.5752373257927674E-2</v>
      </c>
    </row>
    <row r="466" spans="2:8" x14ac:dyDescent="0.3">
      <c r="B466" s="440">
        <v>43193</v>
      </c>
      <c r="C466" s="363">
        <v>10245</v>
      </c>
      <c r="D466" s="252">
        <f t="shared" si="14"/>
        <v>3.2511408370710093E-3</v>
      </c>
      <c r="F466" s="440">
        <v>43193</v>
      </c>
      <c r="G466" s="170">
        <v>510</v>
      </c>
      <c r="H466" s="252">
        <f t="shared" si="15"/>
        <v>4.233533523678279E-3</v>
      </c>
    </row>
    <row r="467" spans="2:8" x14ac:dyDescent="0.3">
      <c r="B467" s="440">
        <v>43194</v>
      </c>
      <c r="C467" s="363">
        <v>10128.4</v>
      </c>
      <c r="D467" s="252">
        <f t="shared" si="14"/>
        <v>-1.1381161542215801E-2</v>
      </c>
      <c r="F467" s="440">
        <v>43194</v>
      </c>
      <c r="G467" s="170">
        <v>502.25</v>
      </c>
      <c r="H467" s="252">
        <f t="shared" si="15"/>
        <v>-1.5196078431372495E-2</v>
      </c>
    </row>
    <row r="468" spans="2:8" x14ac:dyDescent="0.3">
      <c r="B468" s="440">
        <v>43195</v>
      </c>
      <c r="C468" s="363">
        <v>10325.15</v>
      </c>
      <c r="D468" s="252">
        <f t="shared" si="14"/>
        <v>1.9425575609178125E-2</v>
      </c>
      <c r="F468" s="440">
        <v>43195</v>
      </c>
      <c r="G468" s="170">
        <v>507.55</v>
      </c>
      <c r="H468" s="252">
        <f t="shared" si="15"/>
        <v>1.0552513688402154E-2</v>
      </c>
    </row>
    <row r="469" spans="2:8" x14ac:dyDescent="0.3">
      <c r="B469" s="440">
        <v>43196</v>
      </c>
      <c r="C469" s="363">
        <v>10331.6</v>
      </c>
      <c r="D469" s="252">
        <f t="shared" si="14"/>
        <v>6.2468826118755594E-4</v>
      </c>
      <c r="F469" s="440">
        <v>43196</v>
      </c>
      <c r="G469" s="170">
        <v>512.6</v>
      </c>
      <c r="H469" s="252">
        <f t="shared" si="15"/>
        <v>9.9497586444685648E-3</v>
      </c>
    </row>
    <row r="470" spans="2:8" x14ac:dyDescent="0.3">
      <c r="B470" s="440">
        <v>43199</v>
      </c>
      <c r="C470" s="363">
        <v>10379.35</v>
      </c>
      <c r="D470" s="252">
        <f t="shared" si="14"/>
        <v>4.6217430020518702E-3</v>
      </c>
      <c r="F470" s="440">
        <v>43199</v>
      </c>
      <c r="G470" s="170">
        <v>510.85</v>
      </c>
      <c r="H470" s="252">
        <f t="shared" si="15"/>
        <v>-3.413968006242718E-3</v>
      </c>
    </row>
    <row r="471" spans="2:8" x14ac:dyDescent="0.3">
      <c r="B471" s="440">
        <v>43200</v>
      </c>
      <c r="C471" s="363">
        <v>10402.25</v>
      </c>
      <c r="D471" s="252">
        <f t="shared" si="14"/>
        <v>2.206303862958725E-3</v>
      </c>
      <c r="F471" s="440">
        <v>43200</v>
      </c>
      <c r="G471" s="170">
        <v>508.25</v>
      </c>
      <c r="H471" s="252">
        <f t="shared" si="15"/>
        <v>-5.0895566213174925E-3</v>
      </c>
    </row>
    <row r="472" spans="2:8" x14ac:dyDescent="0.3">
      <c r="B472" s="440">
        <v>43201</v>
      </c>
      <c r="C472" s="363">
        <v>10417.15</v>
      </c>
      <c r="D472" s="252">
        <f t="shared" si="14"/>
        <v>1.4323824172655097E-3</v>
      </c>
      <c r="F472" s="440">
        <v>43201</v>
      </c>
      <c r="G472" s="170">
        <v>521.45000000000005</v>
      </c>
      <c r="H472" s="252">
        <f t="shared" si="15"/>
        <v>2.5971470732907065E-2</v>
      </c>
    </row>
    <row r="473" spans="2:8" x14ac:dyDescent="0.3">
      <c r="B473" s="440">
        <v>43202</v>
      </c>
      <c r="C473" s="363">
        <v>10458.65</v>
      </c>
      <c r="D473" s="252">
        <f t="shared" si="14"/>
        <v>3.9838151509770103E-3</v>
      </c>
      <c r="F473" s="440">
        <v>43202</v>
      </c>
      <c r="G473" s="170">
        <v>515.9</v>
      </c>
      <c r="H473" s="252">
        <f t="shared" si="15"/>
        <v>-1.0643398216511835E-2</v>
      </c>
    </row>
    <row r="474" spans="2:8" x14ac:dyDescent="0.3">
      <c r="B474" s="440">
        <v>43203</v>
      </c>
      <c r="C474" s="363">
        <v>10480.6</v>
      </c>
      <c r="D474" s="252">
        <f t="shared" si="14"/>
        <v>2.0987412333333122E-3</v>
      </c>
      <c r="F474" s="440">
        <v>43203</v>
      </c>
      <c r="G474" s="170">
        <v>513</v>
      </c>
      <c r="H474" s="252">
        <f t="shared" si="15"/>
        <v>-5.6212444272145667E-3</v>
      </c>
    </row>
    <row r="475" spans="2:8" x14ac:dyDescent="0.3">
      <c r="B475" s="440">
        <v>43206</v>
      </c>
      <c r="C475" s="363">
        <v>10528.35</v>
      </c>
      <c r="D475" s="252">
        <f t="shared" si="14"/>
        <v>4.5560368681183405E-3</v>
      </c>
      <c r="F475" s="440">
        <v>43206</v>
      </c>
      <c r="G475" s="170">
        <v>519.4</v>
      </c>
      <c r="H475" s="252">
        <f t="shared" si="15"/>
        <v>1.2475633528264973E-2</v>
      </c>
    </row>
    <row r="476" spans="2:8" x14ac:dyDescent="0.3">
      <c r="B476" s="440">
        <v>43207</v>
      </c>
      <c r="C476" s="363">
        <v>10548.7</v>
      </c>
      <c r="D476" s="252">
        <f t="shared" si="14"/>
        <v>1.9328764716219915E-3</v>
      </c>
      <c r="F476" s="440">
        <v>43207</v>
      </c>
      <c r="G476" s="170">
        <v>512.15</v>
      </c>
      <c r="H476" s="252">
        <f t="shared" si="15"/>
        <v>-1.3958413554100879E-2</v>
      </c>
    </row>
    <row r="477" spans="2:8" x14ac:dyDescent="0.3">
      <c r="B477" s="440">
        <v>43208</v>
      </c>
      <c r="C477" s="363">
        <v>10526.2</v>
      </c>
      <c r="D477" s="252">
        <f t="shared" si="14"/>
        <v>-2.1329642515190983E-3</v>
      </c>
      <c r="F477" s="440">
        <v>43208</v>
      </c>
      <c r="G477" s="170">
        <v>512</v>
      </c>
      <c r="H477" s="252">
        <f t="shared" si="15"/>
        <v>-2.9288294444984597E-4</v>
      </c>
    </row>
    <row r="478" spans="2:8" x14ac:dyDescent="0.3">
      <c r="B478" s="440">
        <v>43209</v>
      </c>
      <c r="C478" s="363">
        <v>10565.3</v>
      </c>
      <c r="D478" s="252">
        <f t="shared" si="14"/>
        <v>3.7145408599492669E-3</v>
      </c>
      <c r="F478" s="440">
        <v>43209</v>
      </c>
      <c r="G478" s="170">
        <v>509.2</v>
      </c>
      <c r="H478" s="252">
        <f t="shared" si="15"/>
        <v>-5.4687500000000222E-3</v>
      </c>
    </row>
    <row r="479" spans="2:8" x14ac:dyDescent="0.3">
      <c r="B479" s="440">
        <v>43210</v>
      </c>
      <c r="C479" s="363">
        <v>10564.05</v>
      </c>
      <c r="D479" s="252">
        <f t="shared" si="14"/>
        <v>-1.1831183212973606E-4</v>
      </c>
      <c r="F479" s="440">
        <v>43210</v>
      </c>
      <c r="G479" s="170">
        <v>505.3</v>
      </c>
      <c r="H479" s="252">
        <f t="shared" si="15"/>
        <v>-7.6590730557737352E-3</v>
      </c>
    </row>
    <row r="480" spans="2:8" x14ac:dyDescent="0.3">
      <c r="B480" s="440">
        <v>43213</v>
      </c>
      <c r="C480" s="363">
        <v>10584.7</v>
      </c>
      <c r="D480" s="252">
        <f t="shared" si="14"/>
        <v>1.9547427359773994E-3</v>
      </c>
      <c r="F480" s="440">
        <v>43213</v>
      </c>
      <c r="G480" s="170">
        <v>514.25</v>
      </c>
      <c r="H480" s="252">
        <f t="shared" si="15"/>
        <v>1.7712250148426589E-2</v>
      </c>
    </row>
    <row r="481" spans="2:8" x14ac:dyDescent="0.3">
      <c r="B481" s="440">
        <v>43214</v>
      </c>
      <c r="C481" s="363">
        <v>10614.35</v>
      </c>
      <c r="D481" s="252">
        <f t="shared" si="14"/>
        <v>2.8012130716978945E-3</v>
      </c>
      <c r="F481" s="440">
        <v>43214</v>
      </c>
      <c r="G481" s="170">
        <v>517.79999999999995</v>
      </c>
      <c r="H481" s="252">
        <f t="shared" si="15"/>
        <v>6.9032571706366674E-3</v>
      </c>
    </row>
    <row r="482" spans="2:8" x14ac:dyDescent="0.3">
      <c r="B482" s="440">
        <v>43215</v>
      </c>
      <c r="C482" s="363">
        <v>10570.55</v>
      </c>
      <c r="D482" s="252">
        <f t="shared" si="14"/>
        <v>-4.1264891397024828E-3</v>
      </c>
      <c r="F482" s="440">
        <v>43215</v>
      </c>
      <c r="G482" s="170">
        <v>514.04999999999995</v>
      </c>
      <c r="H482" s="252">
        <f t="shared" si="15"/>
        <v>-7.2421784472769257E-3</v>
      </c>
    </row>
    <row r="483" spans="2:8" x14ac:dyDescent="0.3">
      <c r="B483" s="440">
        <v>43216</v>
      </c>
      <c r="C483" s="363">
        <v>10617.8</v>
      </c>
      <c r="D483" s="252">
        <f t="shared" si="14"/>
        <v>4.4699660850191503E-3</v>
      </c>
      <c r="F483" s="440">
        <v>43216</v>
      </c>
      <c r="G483" s="170">
        <v>512.6</v>
      </c>
      <c r="H483" s="252">
        <f t="shared" si="15"/>
        <v>-2.8207372823654264E-3</v>
      </c>
    </row>
    <row r="484" spans="2:8" x14ac:dyDescent="0.3">
      <c r="B484" s="440">
        <v>43217</v>
      </c>
      <c r="C484" s="363">
        <v>10692.3</v>
      </c>
      <c r="D484" s="252">
        <f t="shared" si="14"/>
        <v>7.0165194296369915E-3</v>
      </c>
      <c r="F484" s="440">
        <v>43217</v>
      </c>
      <c r="G484" s="170">
        <v>524.15</v>
      </c>
      <c r="H484" s="252">
        <f t="shared" si="15"/>
        <v>2.2532188841201561E-2</v>
      </c>
    </row>
    <row r="485" spans="2:8" x14ac:dyDescent="0.3">
      <c r="B485" s="440">
        <v>43220</v>
      </c>
      <c r="C485" s="363">
        <v>10739.35</v>
      </c>
      <c r="D485" s="252">
        <f t="shared" si="14"/>
        <v>4.4003628779589743E-3</v>
      </c>
      <c r="F485" s="440">
        <v>43220</v>
      </c>
      <c r="G485" s="170">
        <v>528.4</v>
      </c>
      <c r="H485" s="252">
        <f t="shared" si="15"/>
        <v>8.1083659257845664E-3</v>
      </c>
    </row>
    <row r="486" spans="2:8" x14ac:dyDescent="0.3">
      <c r="B486" s="440">
        <v>43222</v>
      </c>
      <c r="C486" s="363">
        <v>10718.05</v>
      </c>
      <c r="D486" s="252">
        <f t="shared" si="14"/>
        <v>-1.9833602592336241E-3</v>
      </c>
      <c r="F486" s="440">
        <v>43222</v>
      </c>
      <c r="G486" s="170">
        <v>515.20000000000005</v>
      </c>
      <c r="H486" s="252">
        <f t="shared" si="15"/>
        <v>-2.4981074943224657E-2</v>
      </c>
    </row>
    <row r="487" spans="2:8" x14ac:dyDescent="0.3">
      <c r="B487" s="440">
        <v>43223</v>
      </c>
      <c r="C487" s="363">
        <v>10679.65</v>
      </c>
      <c r="D487" s="252">
        <f t="shared" si="14"/>
        <v>-3.5827412635693889E-3</v>
      </c>
      <c r="F487" s="440">
        <v>43223</v>
      </c>
      <c r="G487" s="170">
        <v>536</v>
      </c>
      <c r="H487" s="252">
        <f t="shared" si="15"/>
        <v>4.0372670807453215E-2</v>
      </c>
    </row>
    <row r="488" spans="2:8" x14ac:dyDescent="0.3">
      <c r="B488" s="440">
        <v>43224</v>
      </c>
      <c r="C488" s="363">
        <v>10618.25</v>
      </c>
      <c r="D488" s="252">
        <f t="shared" si="14"/>
        <v>-5.7492520822310933E-3</v>
      </c>
      <c r="F488" s="440">
        <v>43224</v>
      </c>
      <c r="G488" s="170">
        <v>517.95000000000005</v>
      </c>
      <c r="H488" s="252">
        <f t="shared" si="15"/>
        <v>-3.3675373134328224E-2</v>
      </c>
    </row>
    <row r="489" spans="2:8" x14ac:dyDescent="0.3">
      <c r="B489" s="440">
        <v>43227</v>
      </c>
      <c r="C489" s="363">
        <v>10715.5</v>
      </c>
      <c r="D489" s="252">
        <f t="shared" si="14"/>
        <v>9.1587596826219198E-3</v>
      </c>
      <c r="F489" s="440">
        <v>43227</v>
      </c>
      <c r="G489" s="170">
        <v>513.70000000000005</v>
      </c>
      <c r="H489" s="252">
        <f t="shared" si="15"/>
        <v>-8.2054252340959533E-3</v>
      </c>
    </row>
    <row r="490" spans="2:8" x14ac:dyDescent="0.3">
      <c r="B490" s="440">
        <v>43228</v>
      </c>
      <c r="C490" s="363">
        <v>10717.8</v>
      </c>
      <c r="D490" s="252">
        <f t="shared" si="14"/>
        <v>2.1464234053469866E-4</v>
      </c>
      <c r="F490" s="440">
        <v>43228</v>
      </c>
      <c r="G490" s="170">
        <v>511.45</v>
      </c>
      <c r="H490" s="252">
        <f t="shared" si="15"/>
        <v>-4.3799883200312806E-3</v>
      </c>
    </row>
    <row r="491" spans="2:8" x14ac:dyDescent="0.3">
      <c r="B491" s="440">
        <v>43229</v>
      </c>
      <c r="C491" s="363">
        <v>10741.7</v>
      </c>
      <c r="D491" s="252">
        <f t="shared" si="14"/>
        <v>2.2299352479053791E-3</v>
      </c>
      <c r="F491" s="440">
        <v>43229</v>
      </c>
      <c r="G491" s="170">
        <v>506.15</v>
      </c>
      <c r="H491" s="252">
        <f t="shared" si="15"/>
        <v>-1.0362694300518172E-2</v>
      </c>
    </row>
    <row r="492" spans="2:8" x14ac:dyDescent="0.3">
      <c r="B492" s="440">
        <v>43230</v>
      </c>
      <c r="C492" s="363">
        <v>10716.55</v>
      </c>
      <c r="D492" s="252">
        <f t="shared" si="14"/>
        <v>-2.3413426180214358E-3</v>
      </c>
      <c r="F492" s="440">
        <v>43230</v>
      </c>
      <c r="G492" s="170">
        <v>497.2</v>
      </c>
      <c r="H492" s="252">
        <f t="shared" si="15"/>
        <v>-1.7682505186209618E-2</v>
      </c>
    </row>
    <row r="493" spans="2:8" x14ac:dyDescent="0.3">
      <c r="B493" s="440">
        <v>43231</v>
      </c>
      <c r="C493" s="363">
        <v>10806.5</v>
      </c>
      <c r="D493" s="252">
        <f t="shared" si="14"/>
        <v>8.3935594944268832E-3</v>
      </c>
      <c r="F493" s="440">
        <v>43231</v>
      </c>
      <c r="G493" s="170">
        <v>472.05</v>
      </c>
      <c r="H493" s="252">
        <f t="shared" si="15"/>
        <v>-5.0583266291230888E-2</v>
      </c>
    </row>
    <row r="494" spans="2:8" x14ac:dyDescent="0.3">
      <c r="B494" s="440">
        <v>43234</v>
      </c>
      <c r="C494" s="363">
        <v>10806.6</v>
      </c>
      <c r="D494" s="252">
        <f t="shared" si="14"/>
        <v>9.2536899087836133E-6</v>
      </c>
      <c r="F494" s="440">
        <v>43234</v>
      </c>
      <c r="G494" s="170">
        <v>473.8</v>
      </c>
      <c r="H494" s="252">
        <f t="shared" si="15"/>
        <v>3.7072344031352511E-3</v>
      </c>
    </row>
    <row r="495" spans="2:8" x14ac:dyDescent="0.3">
      <c r="B495" s="440">
        <v>43235</v>
      </c>
      <c r="C495" s="363">
        <v>10801.85</v>
      </c>
      <c r="D495" s="252">
        <f t="shared" si="14"/>
        <v>-4.3954620324615501E-4</v>
      </c>
      <c r="F495" s="440">
        <v>43235</v>
      </c>
      <c r="G495" s="170">
        <v>468.65</v>
      </c>
      <c r="H495" s="252">
        <f t="shared" si="15"/>
        <v>-1.0869565217391353E-2</v>
      </c>
    </row>
    <row r="496" spans="2:8" x14ac:dyDescent="0.3">
      <c r="B496" s="440">
        <v>43236</v>
      </c>
      <c r="C496" s="363">
        <v>10741.1</v>
      </c>
      <c r="D496" s="252">
        <f t="shared" si="14"/>
        <v>-5.6240366233561989E-3</v>
      </c>
      <c r="F496" s="440">
        <v>43236</v>
      </c>
      <c r="G496" s="170">
        <v>471.7</v>
      </c>
      <c r="H496" s="252">
        <f t="shared" si="15"/>
        <v>6.5080550517444546E-3</v>
      </c>
    </row>
    <row r="497" spans="2:8" x14ac:dyDescent="0.3">
      <c r="B497" s="440">
        <v>43237</v>
      </c>
      <c r="C497" s="363">
        <v>10682.7</v>
      </c>
      <c r="D497" s="252">
        <f t="shared" si="14"/>
        <v>-5.4370595190436077E-3</v>
      </c>
      <c r="F497" s="440">
        <v>43237</v>
      </c>
      <c r="G497" s="170">
        <v>479.85</v>
      </c>
      <c r="H497" s="252">
        <f t="shared" si="15"/>
        <v>1.7277930888276449E-2</v>
      </c>
    </row>
    <row r="498" spans="2:8" x14ac:dyDescent="0.3">
      <c r="B498" s="440">
        <v>43238</v>
      </c>
      <c r="C498" s="363">
        <v>10596.4</v>
      </c>
      <c r="D498" s="252">
        <f t="shared" si="14"/>
        <v>-8.0784820316962547E-3</v>
      </c>
      <c r="F498" s="440">
        <v>43238</v>
      </c>
      <c r="G498" s="170">
        <v>464.9</v>
      </c>
      <c r="H498" s="252">
        <f t="shared" si="15"/>
        <v>-3.1155569448786169E-2</v>
      </c>
    </row>
    <row r="499" spans="2:8" x14ac:dyDescent="0.3">
      <c r="B499" s="440">
        <v>43241</v>
      </c>
      <c r="C499" s="363">
        <v>10516.7</v>
      </c>
      <c r="D499" s="252">
        <f t="shared" si="14"/>
        <v>-7.5214223698613081E-3</v>
      </c>
      <c r="F499" s="440">
        <v>43241</v>
      </c>
      <c r="G499" s="170">
        <v>443.75</v>
      </c>
      <c r="H499" s="252">
        <f t="shared" si="15"/>
        <v>-4.5493654549365381E-2</v>
      </c>
    </row>
    <row r="500" spans="2:8" x14ac:dyDescent="0.3">
      <c r="B500" s="440">
        <v>43242</v>
      </c>
      <c r="C500" s="363">
        <v>10536.7</v>
      </c>
      <c r="D500" s="252">
        <f t="shared" si="14"/>
        <v>1.9017372369660723E-3</v>
      </c>
      <c r="F500" s="440">
        <v>43242</v>
      </c>
      <c r="G500" s="170">
        <v>453</v>
      </c>
      <c r="H500" s="252">
        <f t="shared" si="15"/>
        <v>2.0845070422535139E-2</v>
      </c>
    </row>
    <row r="501" spans="2:8" x14ac:dyDescent="0.3">
      <c r="B501" s="440">
        <v>43243</v>
      </c>
      <c r="C501" s="363">
        <v>10430.35</v>
      </c>
      <c r="D501" s="252">
        <f t="shared" si="14"/>
        <v>-1.0093292966488643E-2</v>
      </c>
      <c r="F501" s="440">
        <v>43243</v>
      </c>
      <c r="G501" s="170">
        <v>452.25</v>
      </c>
      <c r="H501" s="252">
        <f t="shared" si="15"/>
        <v>-1.6556291390728006E-3</v>
      </c>
    </row>
    <row r="502" spans="2:8" x14ac:dyDescent="0.3">
      <c r="B502" s="440">
        <v>43244</v>
      </c>
      <c r="C502" s="363">
        <v>10513.85</v>
      </c>
      <c r="D502" s="252">
        <f t="shared" si="14"/>
        <v>8.0054839962224733E-3</v>
      </c>
      <c r="F502" s="440">
        <v>43244</v>
      </c>
      <c r="G502" s="170">
        <v>462.85</v>
      </c>
      <c r="H502" s="252">
        <f t="shared" si="15"/>
        <v>2.3438363736871359E-2</v>
      </c>
    </row>
    <row r="503" spans="2:8" x14ac:dyDescent="0.3">
      <c r="B503" s="440">
        <v>43245</v>
      </c>
      <c r="C503" s="363">
        <v>10605.15</v>
      </c>
      <c r="D503" s="252">
        <f t="shared" si="14"/>
        <v>8.6837837709305976E-3</v>
      </c>
      <c r="F503" s="440">
        <v>43245</v>
      </c>
      <c r="G503" s="170">
        <v>466.45</v>
      </c>
      <c r="H503" s="252">
        <f t="shared" si="15"/>
        <v>7.7778978070648375E-3</v>
      </c>
    </row>
    <row r="504" spans="2:8" x14ac:dyDescent="0.3">
      <c r="B504" s="440">
        <v>43248</v>
      </c>
      <c r="C504" s="363">
        <v>10688.65</v>
      </c>
      <c r="D504" s="252">
        <f t="shared" si="14"/>
        <v>7.8735331419168553E-3</v>
      </c>
      <c r="F504" s="440">
        <v>43248</v>
      </c>
      <c r="G504" s="170">
        <v>499.7</v>
      </c>
      <c r="H504" s="252">
        <f t="shared" si="15"/>
        <v>7.1283095723014167E-2</v>
      </c>
    </row>
    <row r="505" spans="2:8" x14ac:dyDescent="0.3">
      <c r="B505" s="440">
        <v>43249</v>
      </c>
      <c r="C505" s="363">
        <v>10633.3</v>
      </c>
      <c r="D505" s="252">
        <f t="shared" si="14"/>
        <v>-5.1783901615265471E-3</v>
      </c>
      <c r="F505" s="440">
        <v>43249</v>
      </c>
      <c r="G505" s="170">
        <v>499.5</v>
      </c>
      <c r="H505" s="252">
        <f t="shared" si="15"/>
        <v>-4.0024014408646114E-4</v>
      </c>
    </row>
    <row r="506" spans="2:8" x14ac:dyDescent="0.3">
      <c r="B506" s="440">
        <v>43250</v>
      </c>
      <c r="C506" s="363">
        <v>10614.35</v>
      </c>
      <c r="D506" s="252">
        <f t="shared" si="14"/>
        <v>-1.7821372480790743E-3</v>
      </c>
      <c r="F506" s="440">
        <v>43250</v>
      </c>
      <c r="G506" s="170">
        <v>494.55</v>
      </c>
      <c r="H506" s="252">
        <f t="shared" si="15"/>
        <v>-9.9099099099099197E-3</v>
      </c>
    </row>
    <row r="507" spans="2:8" x14ac:dyDescent="0.3">
      <c r="B507" s="440">
        <v>43251</v>
      </c>
      <c r="C507" s="363">
        <v>10736.15</v>
      </c>
      <c r="D507" s="252">
        <f t="shared" si="14"/>
        <v>1.147503144328188E-2</v>
      </c>
      <c r="F507" s="440">
        <v>43251</v>
      </c>
      <c r="G507" s="170">
        <v>480.35</v>
      </c>
      <c r="H507" s="252">
        <f t="shared" si="15"/>
        <v>-2.8712971388130559E-2</v>
      </c>
    </row>
    <row r="508" spans="2:8" x14ac:dyDescent="0.3">
      <c r="B508" s="440">
        <v>43252</v>
      </c>
      <c r="C508" s="363">
        <v>10696.2</v>
      </c>
      <c r="D508" s="252">
        <f t="shared" si="14"/>
        <v>-3.7210731966299537E-3</v>
      </c>
      <c r="F508" s="440">
        <v>43252</v>
      </c>
      <c r="G508" s="170">
        <v>484.35</v>
      </c>
      <c r="H508" s="252">
        <f t="shared" si="15"/>
        <v>8.3272613719163058E-3</v>
      </c>
    </row>
    <row r="509" spans="2:8" x14ac:dyDescent="0.3">
      <c r="B509" s="440">
        <v>43255</v>
      </c>
      <c r="C509" s="363">
        <v>10628.5</v>
      </c>
      <c r="D509" s="252">
        <f t="shared" si="14"/>
        <v>-6.3293506104972197E-3</v>
      </c>
      <c r="F509" s="440">
        <v>43255</v>
      </c>
      <c r="G509" s="170">
        <v>478.6</v>
      </c>
      <c r="H509" s="252">
        <f t="shared" si="15"/>
        <v>-1.1871580468669318E-2</v>
      </c>
    </row>
    <row r="510" spans="2:8" x14ac:dyDescent="0.3">
      <c r="B510" s="440">
        <v>43256</v>
      </c>
      <c r="C510" s="363">
        <v>10593.15</v>
      </c>
      <c r="D510" s="252">
        <f t="shared" si="14"/>
        <v>-3.3259632121184213E-3</v>
      </c>
      <c r="F510" s="440">
        <v>43256</v>
      </c>
      <c r="G510" s="170">
        <v>473.5</v>
      </c>
      <c r="H510" s="252">
        <f t="shared" si="15"/>
        <v>-1.0656080234015874E-2</v>
      </c>
    </row>
    <row r="511" spans="2:8" x14ac:dyDescent="0.3">
      <c r="B511" s="440">
        <v>43257</v>
      </c>
      <c r="C511" s="363">
        <v>10684.65</v>
      </c>
      <c r="D511" s="252">
        <f t="shared" si="14"/>
        <v>8.6376573540447588E-3</v>
      </c>
      <c r="F511" s="440">
        <v>43257</v>
      </c>
      <c r="G511" s="170">
        <v>489.85</v>
      </c>
      <c r="H511" s="252">
        <f t="shared" si="15"/>
        <v>3.4530095036958919E-2</v>
      </c>
    </row>
    <row r="512" spans="2:8" x14ac:dyDescent="0.3">
      <c r="B512" s="440">
        <v>43258</v>
      </c>
      <c r="C512" s="363">
        <v>10768.35</v>
      </c>
      <c r="D512" s="252">
        <f t="shared" si="14"/>
        <v>7.833667925482013E-3</v>
      </c>
      <c r="F512" s="440">
        <v>43258</v>
      </c>
      <c r="G512" s="170">
        <v>488.75</v>
      </c>
      <c r="H512" s="252">
        <f t="shared" si="15"/>
        <v>-2.2455853832806794E-3</v>
      </c>
    </row>
    <row r="513" spans="2:8" x14ac:dyDescent="0.3">
      <c r="B513" s="440">
        <v>43259</v>
      </c>
      <c r="C513" s="363">
        <v>10767.65</v>
      </c>
      <c r="D513" s="252">
        <f t="shared" si="14"/>
        <v>-6.5005316506328015E-5</v>
      </c>
      <c r="F513" s="440">
        <v>43259</v>
      </c>
      <c r="G513" s="170">
        <v>528.25</v>
      </c>
      <c r="H513" s="252">
        <f t="shared" si="15"/>
        <v>8.0818414322250565E-2</v>
      </c>
    </row>
    <row r="514" spans="2:8" x14ac:dyDescent="0.3">
      <c r="B514" s="440">
        <v>43262</v>
      </c>
      <c r="C514" s="363">
        <v>10786.95</v>
      </c>
      <c r="D514" s="252">
        <f t="shared" si="14"/>
        <v>1.7924059567315798E-3</v>
      </c>
      <c r="F514" s="440">
        <v>43262</v>
      </c>
      <c r="G514" s="170">
        <v>535.70000000000005</v>
      </c>
      <c r="H514" s="252">
        <f t="shared" si="15"/>
        <v>1.4103170847136859E-2</v>
      </c>
    </row>
    <row r="515" spans="2:8" x14ac:dyDescent="0.3">
      <c r="B515" s="440">
        <v>43263</v>
      </c>
      <c r="C515" s="363">
        <v>10842.85</v>
      </c>
      <c r="D515" s="252">
        <f t="shared" si="14"/>
        <v>5.1821877361071245E-3</v>
      </c>
      <c r="F515" s="440">
        <v>43263</v>
      </c>
      <c r="G515" s="170">
        <v>540.45000000000005</v>
      </c>
      <c r="H515" s="252">
        <f t="shared" si="15"/>
        <v>8.866903117416447E-3</v>
      </c>
    </row>
    <row r="516" spans="2:8" x14ac:dyDescent="0.3">
      <c r="B516" s="440">
        <v>43264</v>
      </c>
      <c r="C516" s="363">
        <v>10856.7</v>
      </c>
      <c r="D516" s="252">
        <f t="shared" si="14"/>
        <v>1.2773394448877262E-3</v>
      </c>
      <c r="F516" s="440">
        <v>43264</v>
      </c>
      <c r="G516" s="170">
        <v>546.29999999999995</v>
      </c>
      <c r="H516" s="252">
        <f t="shared" si="15"/>
        <v>1.0824313072439473E-2</v>
      </c>
    </row>
    <row r="517" spans="2:8" x14ac:dyDescent="0.3">
      <c r="B517" s="440">
        <v>43265</v>
      </c>
      <c r="C517" s="363">
        <v>10808.05</v>
      </c>
      <c r="D517" s="252">
        <f t="shared" si="14"/>
        <v>-4.4811038344986232E-3</v>
      </c>
      <c r="F517" s="440">
        <v>43265</v>
      </c>
      <c r="G517" s="170">
        <v>559.25</v>
      </c>
      <c r="H517" s="252">
        <f t="shared" si="15"/>
        <v>2.3704924034413377E-2</v>
      </c>
    </row>
    <row r="518" spans="2:8" x14ac:dyDescent="0.3">
      <c r="B518" s="440">
        <v>43266</v>
      </c>
      <c r="C518" s="363">
        <v>10817.7</v>
      </c>
      <c r="D518" s="252">
        <f t="shared" si="14"/>
        <v>8.9285301233821279E-4</v>
      </c>
      <c r="F518" s="440">
        <v>43266</v>
      </c>
      <c r="G518" s="170">
        <v>571.29999999999995</v>
      </c>
      <c r="H518" s="252">
        <f t="shared" si="15"/>
        <v>2.1546714349575335E-2</v>
      </c>
    </row>
    <row r="519" spans="2:8" x14ac:dyDescent="0.3">
      <c r="B519" s="440">
        <v>43269</v>
      </c>
      <c r="C519" s="363">
        <v>10799.85</v>
      </c>
      <c r="D519" s="252">
        <f t="shared" si="14"/>
        <v>-1.6500734906681469E-3</v>
      </c>
      <c r="F519" s="440">
        <v>43269</v>
      </c>
      <c r="G519" s="170">
        <v>570.1</v>
      </c>
      <c r="H519" s="252">
        <f t="shared" si="15"/>
        <v>-2.1004726063362789E-3</v>
      </c>
    </row>
    <row r="520" spans="2:8" x14ac:dyDescent="0.3">
      <c r="B520" s="440">
        <v>43270</v>
      </c>
      <c r="C520" s="363">
        <v>10710.45</v>
      </c>
      <c r="D520" s="252">
        <f t="shared" si="14"/>
        <v>-8.2778927485103182E-3</v>
      </c>
      <c r="F520" s="440">
        <v>43270</v>
      </c>
      <c r="G520" s="170">
        <v>559.95000000000005</v>
      </c>
      <c r="H520" s="252">
        <f t="shared" si="15"/>
        <v>-1.7803894053674774E-2</v>
      </c>
    </row>
    <row r="521" spans="2:8" x14ac:dyDescent="0.3">
      <c r="B521" s="440">
        <v>43271</v>
      </c>
      <c r="C521" s="363">
        <v>10772.05</v>
      </c>
      <c r="D521" s="252">
        <f t="shared" si="14"/>
        <v>5.7513923317880078E-3</v>
      </c>
      <c r="F521" s="440">
        <v>43271</v>
      </c>
      <c r="G521" s="170">
        <v>564.1</v>
      </c>
      <c r="H521" s="252">
        <f t="shared" si="15"/>
        <v>7.4113760157157316E-3</v>
      </c>
    </row>
    <row r="522" spans="2:8" x14ac:dyDescent="0.3">
      <c r="B522" s="440">
        <v>43272</v>
      </c>
      <c r="C522" s="363">
        <v>10741.1</v>
      </c>
      <c r="D522" s="252">
        <f t="shared" si="14"/>
        <v>-2.8731764148883787E-3</v>
      </c>
      <c r="F522" s="440">
        <v>43272</v>
      </c>
      <c r="G522" s="170">
        <v>554.5</v>
      </c>
      <c r="H522" s="252">
        <f t="shared" si="15"/>
        <v>-1.7018259173905426E-2</v>
      </c>
    </row>
    <row r="523" spans="2:8" x14ac:dyDescent="0.3">
      <c r="B523" s="440">
        <v>43273</v>
      </c>
      <c r="C523" s="363">
        <v>10821.85</v>
      </c>
      <c r="D523" s="252">
        <f t="shared" ref="D523:D586" si="16">C523/C522-1</f>
        <v>7.5178519890886086E-3</v>
      </c>
      <c r="F523" s="440">
        <v>43273</v>
      </c>
      <c r="G523" s="170">
        <v>577.25</v>
      </c>
      <c r="H523" s="252">
        <f t="shared" ref="H523:H586" si="17">G523/G522-1</f>
        <v>4.1027953110910786E-2</v>
      </c>
    </row>
    <row r="524" spans="2:8" x14ac:dyDescent="0.3">
      <c r="B524" s="440">
        <v>43276</v>
      </c>
      <c r="C524" s="363">
        <v>10762.45</v>
      </c>
      <c r="D524" s="252">
        <f t="shared" si="16"/>
        <v>-5.4888951519379559E-3</v>
      </c>
      <c r="F524" s="440">
        <v>43276</v>
      </c>
      <c r="G524" s="170">
        <v>571.79999999999995</v>
      </c>
      <c r="H524" s="252">
        <f t="shared" si="17"/>
        <v>-9.4413165872673233E-3</v>
      </c>
    </row>
    <row r="525" spans="2:8" x14ac:dyDescent="0.3">
      <c r="B525" s="440">
        <v>43277</v>
      </c>
      <c r="C525" s="363">
        <v>10769.15</v>
      </c>
      <c r="D525" s="252">
        <f t="shared" si="16"/>
        <v>6.2253483175278568E-4</v>
      </c>
      <c r="F525" s="440">
        <v>43277</v>
      </c>
      <c r="G525" s="170">
        <v>572.95000000000005</v>
      </c>
      <c r="H525" s="252">
        <f t="shared" si="17"/>
        <v>2.0111927247290495E-3</v>
      </c>
    </row>
    <row r="526" spans="2:8" x14ac:dyDescent="0.3">
      <c r="B526" s="440">
        <v>43278</v>
      </c>
      <c r="C526" s="363">
        <v>10671.4</v>
      </c>
      <c r="D526" s="252">
        <f t="shared" si="16"/>
        <v>-9.0768537906891211E-3</v>
      </c>
      <c r="F526" s="440">
        <v>43278</v>
      </c>
      <c r="G526" s="170">
        <v>576.9</v>
      </c>
      <c r="H526" s="252">
        <f t="shared" si="17"/>
        <v>6.8941443406926872E-3</v>
      </c>
    </row>
    <row r="527" spans="2:8" x14ac:dyDescent="0.3">
      <c r="B527" s="440">
        <v>43279</v>
      </c>
      <c r="C527" s="363">
        <v>10589.1</v>
      </c>
      <c r="D527" s="252">
        <f t="shared" si="16"/>
        <v>-7.7122027100473556E-3</v>
      </c>
      <c r="F527" s="440">
        <v>43279</v>
      </c>
      <c r="G527" s="170">
        <v>567.29999999999995</v>
      </c>
      <c r="H527" s="252">
        <f t="shared" si="17"/>
        <v>-1.664066562662514E-2</v>
      </c>
    </row>
    <row r="528" spans="2:8" x14ac:dyDescent="0.3">
      <c r="B528" s="440">
        <v>43280</v>
      </c>
      <c r="C528" s="363">
        <v>10714.3</v>
      </c>
      <c r="D528" s="252">
        <f t="shared" si="16"/>
        <v>1.1823478860337522E-2</v>
      </c>
      <c r="F528" s="440">
        <v>43280</v>
      </c>
      <c r="G528" s="170">
        <v>564</v>
      </c>
      <c r="H528" s="252">
        <f t="shared" si="17"/>
        <v>-5.8170280274986164E-3</v>
      </c>
    </row>
    <row r="529" spans="2:8" x14ac:dyDescent="0.3">
      <c r="B529" s="440">
        <v>43283</v>
      </c>
      <c r="C529" s="363">
        <v>10657.3</v>
      </c>
      <c r="D529" s="252">
        <f t="shared" si="16"/>
        <v>-5.3199929066761742E-3</v>
      </c>
      <c r="F529" s="440">
        <v>43283</v>
      </c>
      <c r="G529" s="170">
        <v>563.15</v>
      </c>
      <c r="H529" s="252">
        <f t="shared" si="17"/>
        <v>-1.5070921985815833E-3</v>
      </c>
    </row>
    <row r="530" spans="2:8" x14ac:dyDescent="0.3">
      <c r="B530" s="440">
        <v>43284</v>
      </c>
      <c r="C530" s="363">
        <v>10699.9</v>
      </c>
      <c r="D530" s="252">
        <f t="shared" si="16"/>
        <v>3.9972600940201275E-3</v>
      </c>
      <c r="F530" s="440">
        <v>43284</v>
      </c>
      <c r="G530" s="170">
        <v>573.6</v>
      </c>
      <c r="H530" s="252">
        <f t="shared" si="17"/>
        <v>1.8556334901891125E-2</v>
      </c>
    </row>
    <row r="531" spans="2:8" x14ac:dyDescent="0.3">
      <c r="B531" s="440">
        <v>43285</v>
      </c>
      <c r="C531" s="363">
        <v>10769.9</v>
      </c>
      <c r="D531" s="252">
        <f t="shared" si="16"/>
        <v>6.5421172160486929E-3</v>
      </c>
      <c r="F531" s="440">
        <v>43285</v>
      </c>
      <c r="G531" s="170">
        <v>579.29999999999995</v>
      </c>
      <c r="H531" s="252">
        <f t="shared" si="17"/>
        <v>9.9372384937237435E-3</v>
      </c>
    </row>
    <row r="532" spans="2:8" x14ac:dyDescent="0.3">
      <c r="B532" s="440">
        <v>43286</v>
      </c>
      <c r="C532" s="363">
        <v>10749.75</v>
      </c>
      <c r="D532" s="252">
        <f t="shared" si="16"/>
        <v>-1.8709551620720299E-3</v>
      </c>
      <c r="F532" s="440">
        <v>43286</v>
      </c>
      <c r="G532" s="170">
        <v>566.95000000000005</v>
      </c>
      <c r="H532" s="252">
        <f t="shared" si="17"/>
        <v>-2.1318833074399968E-2</v>
      </c>
    </row>
    <row r="533" spans="2:8" x14ac:dyDescent="0.3">
      <c r="B533" s="440">
        <v>43287</v>
      </c>
      <c r="C533" s="363">
        <v>10772.65</v>
      </c>
      <c r="D533" s="252">
        <f t="shared" si="16"/>
        <v>2.130282099583658E-3</v>
      </c>
      <c r="F533" s="440">
        <v>43287</v>
      </c>
      <c r="G533" s="170">
        <v>558.1</v>
      </c>
      <c r="H533" s="252">
        <f t="shared" si="17"/>
        <v>-1.5609842137754737E-2</v>
      </c>
    </row>
    <row r="534" spans="2:8" x14ac:dyDescent="0.3">
      <c r="B534" s="440">
        <v>43290</v>
      </c>
      <c r="C534" s="363">
        <v>10852.9</v>
      </c>
      <c r="D534" s="252">
        <f t="shared" si="16"/>
        <v>7.4494205232695787E-3</v>
      </c>
      <c r="F534" s="440">
        <v>43290</v>
      </c>
      <c r="G534" s="170">
        <v>568.79999999999995</v>
      </c>
      <c r="H534" s="252">
        <f t="shared" si="17"/>
        <v>1.9172191363554747E-2</v>
      </c>
    </row>
    <row r="535" spans="2:8" x14ac:dyDescent="0.3">
      <c r="B535" s="440">
        <v>43291</v>
      </c>
      <c r="C535" s="363">
        <v>10947.25</v>
      </c>
      <c r="D535" s="252">
        <f t="shared" si="16"/>
        <v>8.6935289185379183E-3</v>
      </c>
      <c r="F535" s="440">
        <v>43291</v>
      </c>
      <c r="G535" s="170">
        <v>563.95000000000005</v>
      </c>
      <c r="H535" s="252">
        <f t="shared" si="17"/>
        <v>-8.5267229254569754E-3</v>
      </c>
    </row>
    <row r="536" spans="2:8" x14ac:dyDescent="0.3">
      <c r="B536" s="440">
        <v>43292</v>
      </c>
      <c r="C536" s="363">
        <v>10948.3</v>
      </c>
      <c r="D536" s="252">
        <f t="shared" si="16"/>
        <v>9.591449907508931E-5</v>
      </c>
      <c r="F536" s="440">
        <v>43292</v>
      </c>
      <c r="G536" s="170">
        <v>560.75</v>
      </c>
      <c r="H536" s="252">
        <f t="shared" si="17"/>
        <v>-5.6742619026510788E-3</v>
      </c>
    </row>
    <row r="537" spans="2:8" x14ac:dyDescent="0.3">
      <c r="B537" s="440">
        <v>43293</v>
      </c>
      <c r="C537" s="363">
        <v>11023.2</v>
      </c>
      <c r="D537" s="252">
        <f t="shared" si="16"/>
        <v>6.8412447594605741E-3</v>
      </c>
      <c r="F537" s="440">
        <v>43293</v>
      </c>
      <c r="G537" s="170">
        <v>564.45000000000005</v>
      </c>
      <c r="H537" s="252">
        <f t="shared" si="17"/>
        <v>6.5983058403924488E-3</v>
      </c>
    </row>
    <row r="538" spans="2:8" x14ac:dyDescent="0.3">
      <c r="B538" s="440">
        <v>43294</v>
      </c>
      <c r="C538" s="363">
        <v>11018.9</v>
      </c>
      <c r="D538" s="252">
        <f t="shared" si="16"/>
        <v>-3.9008636330661872E-4</v>
      </c>
      <c r="F538" s="440">
        <v>43294</v>
      </c>
      <c r="G538" s="170">
        <v>559.75</v>
      </c>
      <c r="H538" s="252">
        <f t="shared" si="17"/>
        <v>-8.3266896979361515E-3</v>
      </c>
    </row>
    <row r="539" spans="2:8" x14ac:dyDescent="0.3">
      <c r="B539" s="440">
        <v>43297</v>
      </c>
      <c r="C539" s="363">
        <v>10936.85</v>
      </c>
      <c r="D539" s="252">
        <f t="shared" si="16"/>
        <v>-7.4462968172865907E-3</v>
      </c>
      <c r="F539" s="440">
        <v>43297</v>
      </c>
      <c r="G539" s="170">
        <v>533.95000000000005</v>
      </c>
      <c r="H539" s="252">
        <f t="shared" si="17"/>
        <v>-4.6092005359535393E-2</v>
      </c>
    </row>
    <row r="540" spans="2:8" x14ac:dyDescent="0.3">
      <c r="B540" s="440">
        <v>43298</v>
      </c>
      <c r="C540" s="363">
        <v>11008.05</v>
      </c>
      <c r="D540" s="252">
        <f t="shared" si="16"/>
        <v>6.5101011717265678E-3</v>
      </c>
      <c r="F540" s="440">
        <v>43298</v>
      </c>
      <c r="G540" s="170">
        <v>548.65</v>
      </c>
      <c r="H540" s="252">
        <f t="shared" si="17"/>
        <v>2.7530667665511599E-2</v>
      </c>
    </row>
    <row r="541" spans="2:8" x14ac:dyDescent="0.3">
      <c r="B541" s="440">
        <v>43299</v>
      </c>
      <c r="C541" s="363">
        <v>10980.45</v>
      </c>
      <c r="D541" s="252">
        <f t="shared" si="16"/>
        <v>-2.5072560535243094E-3</v>
      </c>
      <c r="F541" s="440">
        <v>43299</v>
      </c>
      <c r="G541" s="170">
        <v>549.9</v>
      </c>
      <c r="H541" s="252">
        <f t="shared" si="17"/>
        <v>2.2783195115283483E-3</v>
      </c>
    </row>
    <row r="542" spans="2:8" x14ac:dyDescent="0.3">
      <c r="B542" s="440">
        <v>43300</v>
      </c>
      <c r="C542" s="363">
        <v>10957.1</v>
      </c>
      <c r="D542" s="252">
        <f t="shared" si="16"/>
        <v>-2.1265066550095746E-3</v>
      </c>
      <c r="F542" s="440">
        <v>43300</v>
      </c>
      <c r="G542" s="170">
        <v>544.95000000000005</v>
      </c>
      <c r="H542" s="252">
        <f t="shared" si="17"/>
        <v>-9.0016366612110099E-3</v>
      </c>
    </row>
    <row r="543" spans="2:8" x14ac:dyDescent="0.3">
      <c r="B543" s="440">
        <v>43301</v>
      </c>
      <c r="C543" s="363">
        <v>11010.2</v>
      </c>
      <c r="D543" s="252">
        <f t="shared" si="16"/>
        <v>4.8461728011974792E-3</v>
      </c>
      <c r="F543" s="440">
        <v>43301</v>
      </c>
      <c r="G543" s="170">
        <v>560.1</v>
      </c>
      <c r="H543" s="252">
        <f t="shared" si="17"/>
        <v>2.7800715661987274E-2</v>
      </c>
    </row>
    <row r="544" spans="2:8" x14ac:dyDescent="0.3">
      <c r="B544" s="440">
        <v>43304</v>
      </c>
      <c r="C544" s="363">
        <v>11084.75</v>
      </c>
      <c r="D544" s="252">
        <f t="shared" si="16"/>
        <v>6.770994169043254E-3</v>
      </c>
      <c r="F544" s="440">
        <v>43304</v>
      </c>
      <c r="G544" s="170">
        <v>561.75</v>
      </c>
      <c r="H544" s="252">
        <f t="shared" si="17"/>
        <v>2.9459025174076725E-3</v>
      </c>
    </row>
    <row r="545" spans="2:8" x14ac:dyDescent="0.3">
      <c r="B545" s="440">
        <v>43305</v>
      </c>
      <c r="C545" s="363">
        <v>11134.3</v>
      </c>
      <c r="D545" s="252">
        <f t="shared" si="16"/>
        <v>4.4701053248832334E-3</v>
      </c>
      <c r="F545" s="440">
        <v>43305</v>
      </c>
      <c r="G545" s="170">
        <v>562.70000000000005</v>
      </c>
      <c r="H545" s="252">
        <f t="shared" si="17"/>
        <v>1.6911437472186819E-3</v>
      </c>
    </row>
    <row r="546" spans="2:8" x14ac:dyDescent="0.3">
      <c r="B546" s="440">
        <v>43306</v>
      </c>
      <c r="C546" s="363">
        <v>11132</v>
      </c>
      <c r="D546" s="252">
        <f t="shared" si="16"/>
        <v>-2.0656889072501183E-4</v>
      </c>
      <c r="F546" s="440">
        <v>43306</v>
      </c>
      <c r="G546" s="170">
        <v>558.15</v>
      </c>
      <c r="H546" s="252">
        <f t="shared" si="17"/>
        <v>-8.0860138617381283E-3</v>
      </c>
    </row>
    <row r="547" spans="2:8" x14ac:dyDescent="0.3">
      <c r="B547" s="440">
        <v>43307</v>
      </c>
      <c r="C547" s="363">
        <v>11167.3</v>
      </c>
      <c r="D547" s="252">
        <f t="shared" si="16"/>
        <v>3.1710384477181552E-3</v>
      </c>
      <c r="F547" s="440">
        <v>43307</v>
      </c>
      <c r="G547" s="170">
        <v>555.4</v>
      </c>
      <c r="H547" s="252">
        <f t="shared" si="17"/>
        <v>-4.9269909522530186E-3</v>
      </c>
    </row>
    <row r="548" spans="2:8" x14ac:dyDescent="0.3">
      <c r="B548" s="440">
        <v>43308</v>
      </c>
      <c r="C548" s="363">
        <v>11278.35</v>
      </c>
      <c r="D548" s="252">
        <f t="shared" si="16"/>
        <v>9.9442121193127342E-3</v>
      </c>
      <c r="F548" s="440">
        <v>43308</v>
      </c>
      <c r="G548" s="170">
        <v>557.04999999999995</v>
      </c>
      <c r="H548" s="252">
        <f t="shared" si="17"/>
        <v>2.9708318329131345E-3</v>
      </c>
    </row>
    <row r="549" spans="2:8" x14ac:dyDescent="0.3">
      <c r="B549" s="440">
        <v>43311</v>
      </c>
      <c r="C549" s="363">
        <v>11319.55</v>
      </c>
      <c r="D549" s="252">
        <f t="shared" si="16"/>
        <v>3.6530166203387893E-3</v>
      </c>
      <c r="F549" s="440">
        <v>43311</v>
      </c>
      <c r="G549" s="170">
        <v>562.70000000000005</v>
      </c>
      <c r="H549" s="252">
        <f t="shared" si="17"/>
        <v>1.0142716093707982E-2</v>
      </c>
    </row>
    <row r="550" spans="2:8" x14ac:dyDescent="0.3">
      <c r="B550" s="440">
        <v>43312</v>
      </c>
      <c r="C550" s="363">
        <v>11356.5</v>
      </c>
      <c r="D550" s="252">
        <f t="shared" si="16"/>
        <v>3.2642640387647859E-3</v>
      </c>
      <c r="F550" s="440">
        <v>43312</v>
      </c>
      <c r="G550" s="170">
        <v>568.5</v>
      </c>
      <c r="H550" s="252">
        <f t="shared" si="17"/>
        <v>1.0307446241336393E-2</v>
      </c>
    </row>
    <row r="551" spans="2:8" x14ac:dyDescent="0.3">
      <c r="B551" s="440">
        <v>43313</v>
      </c>
      <c r="C551" s="363">
        <v>11346.2</v>
      </c>
      <c r="D551" s="252">
        <f t="shared" si="16"/>
        <v>-9.0696957689417879E-4</v>
      </c>
      <c r="F551" s="440">
        <v>43313</v>
      </c>
      <c r="G551" s="170">
        <v>574.65</v>
      </c>
      <c r="H551" s="252">
        <f t="shared" si="17"/>
        <v>1.0817941952506516E-2</v>
      </c>
    </row>
    <row r="552" spans="2:8" x14ac:dyDescent="0.3">
      <c r="B552" s="440">
        <v>43314</v>
      </c>
      <c r="C552" s="363">
        <v>11244.7</v>
      </c>
      <c r="D552" s="252">
        <f t="shared" si="16"/>
        <v>-8.9457263224691497E-3</v>
      </c>
      <c r="F552" s="440">
        <v>43314</v>
      </c>
      <c r="G552" s="170">
        <v>580.4</v>
      </c>
      <c r="H552" s="252">
        <f t="shared" si="17"/>
        <v>1.0006090663882361E-2</v>
      </c>
    </row>
    <row r="553" spans="2:8" x14ac:dyDescent="0.3">
      <c r="B553" s="440">
        <v>43315</v>
      </c>
      <c r="C553" s="363">
        <v>11360.8</v>
      </c>
      <c r="D553" s="252">
        <f t="shared" si="16"/>
        <v>1.0324864158225422E-2</v>
      </c>
      <c r="F553" s="440">
        <v>43315</v>
      </c>
      <c r="G553" s="170">
        <v>585.85</v>
      </c>
      <c r="H553" s="252">
        <f t="shared" si="17"/>
        <v>9.3900758097864578E-3</v>
      </c>
    </row>
    <row r="554" spans="2:8" x14ac:dyDescent="0.3">
      <c r="B554" s="440">
        <v>43318</v>
      </c>
      <c r="C554" s="363">
        <v>11387.1</v>
      </c>
      <c r="D554" s="252">
        <f t="shared" si="16"/>
        <v>2.3149778184636816E-3</v>
      </c>
      <c r="F554" s="440">
        <v>43318</v>
      </c>
      <c r="G554" s="170">
        <v>576.15</v>
      </c>
      <c r="H554" s="252">
        <f t="shared" si="17"/>
        <v>-1.6557139199453896E-2</v>
      </c>
    </row>
    <row r="555" spans="2:8" x14ac:dyDescent="0.3">
      <c r="B555" s="440">
        <v>43319</v>
      </c>
      <c r="C555" s="363">
        <v>11389.45</v>
      </c>
      <c r="D555" s="252">
        <f t="shared" si="16"/>
        <v>2.0637387921418338E-4</v>
      </c>
      <c r="F555" s="440">
        <v>43319</v>
      </c>
      <c r="G555" s="170">
        <v>569.70000000000005</v>
      </c>
      <c r="H555" s="252">
        <f t="shared" si="17"/>
        <v>-1.1195001301744223E-2</v>
      </c>
    </row>
    <row r="556" spans="2:8" x14ac:dyDescent="0.3">
      <c r="B556" s="440">
        <v>43320</v>
      </c>
      <c r="C556" s="363">
        <v>11450</v>
      </c>
      <c r="D556" s="252">
        <f t="shared" si="16"/>
        <v>5.3163234396744752E-3</v>
      </c>
      <c r="F556" s="440">
        <v>43320</v>
      </c>
      <c r="G556" s="170">
        <v>574</v>
      </c>
      <c r="H556" s="252">
        <f t="shared" si="17"/>
        <v>7.5478321923818648E-3</v>
      </c>
    </row>
    <row r="557" spans="2:8" x14ac:dyDescent="0.3">
      <c r="B557" s="440">
        <v>43321</v>
      </c>
      <c r="C557" s="363">
        <v>11470.7</v>
      </c>
      <c r="D557" s="252">
        <f t="shared" si="16"/>
        <v>1.8078602620088535E-3</v>
      </c>
      <c r="F557" s="440">
        <v>43321</v>
      </c>
      <c r="G557" s="170">
        <v>571.45000000000005</v>
      </c>
      <c r="H557" s="252">
        <f t="shared" si="17"/>
        <v>-4.4425087108013184E-3</v>
      </c>
    </row>
    <row r="558" spans="2:8" x14ac:dyDescent="0.3">
      <c r="B558" s="440">
        <v>43322</v>
      </c>
      <c r="C558" s="363">
        <v>11429.5</v>
      </c>
      <c r="D558" s="252">
        <f t="shared" si="16"/>
        <v>-3.5917598751602497E-3</v>
      </c>
      <c r="F558" s="440">
        <v>43322</v>
      </c>
      <c r="G558" s="170">
        <v>554</v>
      </c>
      <c r="H558" s="252">
        <f t="shared" si="17"/>
        <v>-3.0536354886691819E-2</v>
      </c>
    </row>
    <row r="559" spans="2:8" x14ac:dyDescent="0.3">
      <c r="B559" s="440">
        <v>43325</v>
      </c>
      <c r="C559" s="363">
        <v>11355.75</v>
      </c>
      <c r="D559" s="252">
        <f t="shared" si="16"/>
        <v>-6.4526007261910268E-3</v>
      </c>
      <c r="F559" s="440">
        <v>43325</v>
      </c>
      <c r="G559" s="170">
        <v>563.9</v>
      </c>
      <c r="H559" s="252">
        <f t="shared" si="17"/>
        <v>1.7870036101083064E-2</v>
      </c>
    </row>
    <row r="560" spans="2:8" x14ac:dyDescent="0.3">
      <c r="B560" s="440">
        <v>43326</v>
      </c>
      <c r="C560" s="363">
        <v>11435.1</v>
      </c>
      <c r="D560" s="252">
        <f t="shared" si="16"/>
        <v>6.9876494287035573E-3</v>
      </c>
      <c r="F560" s="440">
        <v>43326</v>
      </c>
      <c r="G560" s="170">
        <v>601.79999999999995</v>
      </c>
      <c r="H560" s="252">
        <f t="shared" si="17"/>
        <v>6.7210498315304124E-2</v>
      </c>
    </row>
    <row r="561" spans="2:8" x14ac:dyDescent="0.3">
      <c r="B561" s="440">
        <v>43328</v>
      </c>
      <c r="C561" s="363">
        <v>11385.05</v>
      </c>
      <c r="D561" s="252">
        <f t="shared" si="16"/>
        <v>-4.3768747103217764E-3</v>
      </c>
      <c r="F561" s="440">
        <v>43328</v>
      </c>
      <c r="G561" s="170">
        <v>619.70000000000005</v>
      </c>
      <c r="H561" s="252">
        <f t="shared" si="17"/>
        <v>2.9744101030242831E-2</v>
      </c>
    </row>
    <row r="562" spans="2:8" x14ac:dyDescent="0.3">
      <c r="B562" s="440">
        <v>43329</v>
      </c>
      <c r="C562" s="363">
        <v>11470.75</v>
      </c>
      <c r="D562" s="252">
        <f t="shared" si="16"/>
        <v>7.5274153385360698E-3</v>
      </c>
      <c r="F562" s="440">
        <v>43329</v>
      </c>
      <c r="G562" s="170">
        <v>623.5</v>
      </c>
      <c r="H562" s="252">
        <f t="shared" si="17"/>
        <v>6.1319993545263518E-3</v>
      </c>
    </row>
    <row r="563" spans="2:8" x14ac:dyDescent="0.3">
      <c r="B563" s="440">
        <v>43332</v>
      </c>
      <c r="C563" s="363">
        <v>11551.75</v>
      </c>
      <c r="D563" s="252">
        <f t="shared" si="16"/>
        <v>7.061438877143944E-3</v>
      </c>
      <c r="F563" s="440">
        <v>43332</v>
      </c>
      <c r="G563" s="170">
        <v>626.35</v>
      </c>
      <c r="H563" s="252">
        <f t="shared" si="17"/>
        <v>4.5709703287890591E-3</v>
      </c>
    </row>
    <row r="564" spans="2:8" x14ac:dyDescent="0.3">
      <c r="B564" s="440">
        <v>43333</v>
      </c>
      <c r="C564" s="363">
        <v>11570.9</v>
      </c>
      <c r="D564" s="252">
        <f t="shared" si="16"/>
        <v>1.657757482632416E-3</v>
      </c>
      <c r="F564" s="440">
        <v>43333</v>
      </c>
      <c r="G564" s="170">
        <v>635.4</v>
      </c>
      <c r="H564" s="252">
        <f t="shared" si="17"/>
        <v>1.444879061227744E-2</v>
      </c>
    </row>
    <row r="565" spans="2:8" x14ac:dyDescent="0.3">
      <c r="B565" s="440">
        <v>43335</v>
      </c>
      <c r="C565" s="363">
        <v>11582.75</v>
      </c>
      <c r="D565" s="252">
        <f t="shared" si="16"/>
        <v>1.024120854903332E-3</v>
      </c>
      <c r="F565" s="440">
        <v>43335</v>
      </c>
      <c r="G565" s="170">
        <v>639.65</v>
      </c>
      <c r="H565" s="252">
        <f t="shared" si="17"/>
        <v>6.6887000314761469E-3</v>
      </c>
    </row>
    <row r="566" spans="2:8" x14ac:dyDescent="0.3">
      <c r="B566" s="440">
        <v>43336</v>
      </c>
      <c r="C566" s="363">
        <v>11557.1</v>
      </c>
      <c r="D566" s="252">
        <f t="shared" si="16"/>
        <v>-2.214500010791931E-3</v>
      </c>
      <c r="F566" s="440">
        <v>43336</v>
      </c>
      <c r="G566" s="170">
        <v>629.79999999999995</v>
      </c>
      <c r="H566" s="252">
        <f t="shared" si="17"/>
        <v>-1.5399046353474555E-2</v>
      </c>
    </row>
    <row r="567" spans="2:8" x14ac:dyDescent="0.3">
      <c r="B567" s="440">
        <v>43339</v>
      </c>
      <c r="C567" s="363">
        <v>11691.95</v>
      </c>
      <c r="D567" s="252">
        <f t="shared" si="16"/>
        <v>1.1668152045063218E-2</v>
      </c>
      <c r="F567" s="440">
        <v>43339</v>
      </c>
      <c r="G567" s="170">
        <v>621.79999999999995</v>
      </c>
      <c r="H567" s="252">
        <f t="shared" si="17"/>
        <v>-1.2702445220704961E-2</v>
      </c>
    </row>
    <row r="568" spans="2:8" x14ac:dyDescent="0.3">
      <c r="B568" s="440">
        <v>43340</v>
      </c>
      <c r="C568" s="363">
        <v>11738.5</v>
      </c>
      <c r="D568" s="252">
        <f t="shared" si="16"/>
        <v>3.9813717985450747E-3</v>
      </c>
      <c r="F568" s="440">
        <v>43340</v>
      </c>
      <c r="G568" s="170">
        <v>621.20000000000005</v>
      </c>
      <c r="H568" s="252">
        <f t="shared" si="17"/>
        <v>-9.6494049533601967E-4</v>
      </c>
    </row>
    <row r="569" spans="2:8" x14ac:dyDescent="0.3">
      <c r="B569" s="440">
        <v>43341</v>
      </c>
      <c r="C569" s="363">
        <v>11691.9</v>
      </c>
      <c r="D569" s="252">
        <f t="shared" si="16"/>
        <v>-3.9698428248924333E-3</v>
      </c>
      <c r="F569" s="440">
        <v>43341</v>
      </c>
      <c r="G569" s="170">
        <v>621.25</v>
      </c>
      <c r="H569" s="252">
        <f t="shared" si="17"/>
        <v>8.0489375402281738E-5</v>
      </c>
    </row>
    <row r="570" spans="2:8" x14ac:dyDescent="0.3">
      <c r="B570" s="440">
        <v>43342</v>
      </c>
      <c r="C570" s="363">
        <v>11676.8</v>
      </c>
      <c r="D570" s="252">
        <f t="shared" si="16"/>
        <v>-1.2914924007219053E-3</v>
      </c>
      <c r="F570" s="440">
        <v>43342</v>
      </c>
      <c r="G570" s="170">
        <v>639.95000000000005</v>
      </c>
      <c r="H570" s="252">
        <f t="shared" si="17"/>
        <v>3.0100603621730393E-2</v>
      </c>
    </row>
    <row r="571" spans="2:8" x14ac:dyDescent="0.3">
      <c r="B571" s="440">
        <v>43343</v>
      </c>
      <c r="C571" s="363">
        <v>11680.5</v>
      </c>
      <c r="D571" s="252">
        <f t="shared" si="16"/>
        <v>3.1686763496852066E-4</v>
      </c>
      <c r="F571" s="440">
        <v>43343</v>
      </c>
      <c r="G571" s="170">
        <v>652.85</v>
      </c>
      <c r="H571" s="252">
        <f t="shared" si="17"/>
        <v>2.0157824830064897E-2</v>
      </c>
    </row>
    <row r="572" spans="2:8" x14ac:dyDescent="0.3">
      <c r="B572" s="440">
        <v>43346</v>
      </c>
      <c r="C572" s="363">
        <v>11582.35</v>
      </c>
      <c r="D572" s="252">
        <f t="shared" si="16"/>
        <v>-8.4028937117417435E-3</v>
      </c>
      <c r="F572" s="440">
        <v>43346</v>
      </c>
      <c r="G572" s="170">
        <v>656.2</v>
      </c>
      <c r="H572" s="252">
        <f t="shared" si="17"/>
        <v>5.1313471701004421E-3</v>
      </c>
    </row>
    <row r="573" spans="2:8" x14ac:dyDescent="0.3">
      <c r="B573" s="440">
        <v>43347</v>
      </c>
      <c r="C573" s="363">
        <v>11520.3</v>
      </c>
      <c r="D573" s="252">
        <f t="shared" si="16"/>
        <v>-5.3572893238419406E-3</v>
      </c>
      <c r="F573" s="440">
        <v>43347</v>
      </c>
      <c r="G573" s="170">
        <v>655.35</v>
      </c>
      <c r="H573" s="252">
        <f t="shared" si="17"/>
        <v>-1.2953367875647714E-3</v>
      </c>
    </row>
    <row r="574" spans="2:8" x14ac:dyDescent="0.3">
      <c r="B574" s="440">
        <v>43348</v>
      </c>
      <c r="C574" s="363">
        <v>11476.95</v>
      </c>
      <c r="D574" s="252">
        <f t="shared" si="16"/>
        <v>-3.7629228405509085E-3</v>
      </c>
      <c r="F574" s="440">
        <v>43348</v>
      </c>
      <c r="G574" s="170">
        <v>663.75</v>
      </c>
      <c r="H574" s="252">
        <f t="shared" si="17"/>
        <v>1.2817578393224949E-2</v>
      </c>
    </row>
    <row r="575" spans="2:8" x14ac:dyDescent="0.3">
      <c r="B575" s="440">
        <v>43349</v>
      </c>
      <c r="C575" s="363">
        <v>11536.9</v>
      </c>
      <c r="D575" s="252">
        <f t="shared" si="16"/>
        <v>5.2235132156190911E-3</v>
      </c>
      <c r="F575" s="440">
        <v>43349</v>
      </c>
      <c r="G575" s="170">
        <v>677.4</v>
      </c>
      <c r="H575" s="252">
        <f t="shared" si="17"/>
        <v>2.0564971751412475E-2</v>
      </c>
    </row>
    <row r="576" spans="2:8" x14ac:dyDescent="0.3">
      <c r="B576" s="440">
        <v>43350</v>
      </c>
      <c r="C576" s="363">
        <v>11589.1</v>
      </c>
      <c r="D576" s="252">
        <f t="shared" si="16"/>
        <v>4.5246123308688713E-3</v>
      </c>
      <c r="F576" s="440">
        <v>43350</v>
      </c>
      <c r="G576" s="170">
        <v>664.25</v>
      </c>
      <c r="H576" s="252">
        <f t="shared" si="17"/>
        <v>-1.9412459403601923E-2</v>
      </c>
    </row>
    <row r="577" spans="2:8" x14ac:dyDescent="0.3">
      <c r="B577" s="440">
        <v>43353</v>
      </c>
      <c r="C577" s="363">
        <v>11438.1</v>
      </c>
      <c r="D577" s="252">
        <f t="shared" si="16"/>
        <v>-1.3029484601910446E-2</v>
      </c>
      <c r="F577" s="440">
        <v>43353</v>
      </c>
      <c r="G577" s="170">
        <v>638</v>
      </c>
      <c r="H577" s="252">
        <f t="shared" si="17"/>
        <v>-3.9518253669552084E-2</v>
      </c>
    </row>
    <row r="578" spans="2:8" x14ac:dyDescent="0.3">
      <c r="B578" s="440">
        <v>43354</v>
      </c>
      <c r="C578" s="363">
        <v>11287.5</v>
      </c>
      <c r="D578" s="252">
        <f t="shared" si="16"/>
        <v>-1.3166522411939052E-2</v>
      </c>
      <c r="F578" s="440">
        <v>43354</v>
      </c>
      <c r="G578" s="170">
        <v>630.4</v>
      </c>
      <c r="H578" s="252">
        <f t="shared" si="17"/>
        <v>-1.1912225705329238E-2</v>
      </c>
    </row>
    <row r="579" spans="2:8" x14ac:dyDescent="0.3">
      <c r="B579" s="440">
        <v>43355</v>
      </c>
      <c r="C579" s="363">
        <v>11369.9</v>
      </c>
      <c r="D579" s="252">
        <f t="shared" si="16"/>
        <v>7.300110741971233E-3</v>
      </c>
      <c r="F579" s="440">
        <v>43355</v>
      </c>
      <c r="G579" s="170">
        <v>649.9</v>
      </c>
      <c r="H579" s="252">
        <f t="shared" si="17"/>
        <v>3.0932741116751261E-2</v>
      </c>
    </row>
    <row r="580" spans="2:8" x14ac:dyDescent="0.3">
      <c r="B580" s="440">
        <v>43357</v>
      </c>
      <c r="C580" s="363">
        <v>11515.2</v>
      </c>
      <c r="D580" s="252">
        <f t="shared" si="16"/>
        <v>1.2779356018962407E-2</v>
      </c>
      <c r="F580" s="440">
        <v>43357</v>
      </c>
      <c r="G580" s="170">
        <v>665.25</v>
      </c>
      <c r="H580" s="252">
        <f t="shared" si="17"/>
        <v>2.3619018310509388E-2</v>
      </c>
    </row>
    <row r="581" spans="2:8" x14ac:dyDescent="0.3">
      <c r="B581" s="440">
        <v>43360</v>
      </c>
      <c r="C581" s="363">
        <v>11377.75</v>
      </c>
      <c r="D581" s="252">
        <f t="shared" si="16"/>
        <v>-1.1936397109907015E-2</v>
      </c>
      <c r="F581" s="440">
        <v>43360</v>
      </c>
      <c r="G581" s="170">
        <v>646.20000000000005</v>
      </c>
      <c r="H581" s="252">
        <f t="shared" si="17"/>
        <v>-2.8635851183765437E-2</v>
      </c>
    </row>
    <row r="582" spans="2:8" x14ac:dyDescent="0.3">
      <c r="B582" s="440">
        <v>43361</v>
      </c>
      <c r="C582" s="363">
        <v>11278.9</v>
      </c>
      <c r="D582" s="252">
        <f t="shared" si="16"/>
        <v>-8.6880094922107132E-3</v>
      </c>
      <c r="F582" s="440">
        <v>43361</v>
      </c>
      <c r="G582" s="170">
        <v>642.5</v>
      </c>
      <c r="H582" s="252">
        <f t="shared" si="17"/>
        <v>-5.7257814917982541E-3</v>
      </c>
    </row>
    <row r="583" spans="2:8" x14ac:dyDescent="0.3">
      <c r="B583" s="440">
        <v>43362</v>
      </c>
      <c r="C583" s="363">
        <v>11234.35</v>
      </c>
      <c r="D583" s="252">
        <f t="shared" si="16"/>
        <v>-3.9498532658326369E-3</v>
      </c>
      <c r="F583" s="440">
        <v>43362</v>
      </c>
      <c r="G583" s="170">
        <v>648.85</v>
      </c>
      <c r="H583" s="252">
        <f t="shared" si="17"/>
        <v>9.8832684824903261E-3</v>
      </c>
    </row>
    <row r="584" spans="2:8" x14ac:dyDescent="0.3">
      <c r="B584" s="440">
        <v>43364</v>
      </c>
      <c r="C584" s="363">
        <v>11143.1</v>
      </c>
      <c r="D584" s="252">
        <f t="shared" si="16"/>
        <v>-8.1224102863094449E-3</v>
      </c>
      <c r="F584" s="440">
        <v>43364</v>
      </c>
      <c r="G584" s="170">
        <v>634.9</v>
      </c>
      <c r="H584" s="252">
        <f t="shared" si="17"/>
        <v>-2.1499576173229618E-2</v>
      </c>
    </row>
    <row r="585" spans="2:8" x14ac:dyDescent="0.3">
      <c r="B585" s="440">
        <v>43367</v>
      </c>
      <c r="C585" s="363">
        <v>10967.4</v>
      </c>
      <c r="D585" s="252">
        <f t="shared" si="16"/>
        <v>-1.5767605065017842E-2</v>
      </c>
      <c r="F585" s="440">
        <v>43367</v>
      </c>
      <c r="G585" s="170">
        <v>624</v>
      </c>
      <c r="H585" s="252">
        <f t="shared" si="17"/>
        <v>-1.7168057961883698E-2</v>
      </c>
    </row>
    <row r="586" spans="2:8" x14ac:dyDescent="0.3">
      <c r="B586" s="440">
        <v>43368</v>
      </c>
      <c r="C586" s="363">
        <v>11067.45</v>
      </c>
      <c r="D586" s="252">
        <f t="shared" si="16"/>
        <v>9.1224902894031512E-3</v>
      </c>
      <c r="F586" s="440">
        <v>43368</v>
      </c>
      <c r="G586" s="170">
        <v>641.1</v>
      </c>
      <c r="H586" s="252">
        <f t="shared" si="17"/>
        <v>2.7403846153846168E-2</v>
      </c>
    </row>
    <row r="587" spans="2:8" x14ac:dyDescent="0.3">
      <c r="B587" s="440">
        <v>43369</v>
      </c>
      <c r="C587" s="363">
        <v>11053.8</v>
      </c>
      <c r="D587" s="252">
        <f t="shared" ref="D587:D650" si="18">C587/C586-1</f>
        <v>-1.233346434815763E-3</v>
      </c>
      <c r="F587" s="440">
        <v>43369</v>
      </c>
      <c r="G587" s="170">
        <v>639.85</v>
      </c>
      <c r="H587" s="252">
        <f t="shared" ref="H587:H650" si="19">G587/G586-1</f>
        <v>-1.9497738262361786E-3</v>
      </c>
    </row>
    <row r="588" spans="2:8" x14ac:dyDescent="0.3">
      <c r="B588" s="440">
        <v>43370</v>
      </c>
      <c r="C588" s="363">
        <v>10977.55</v>
      </c>
      <c r="D588" s="252">
        <f t="shared" si="18"/>
        <v>-6.8980802981779554E-3</v>
      </c>
      <c r="F588" s="440">
        <v>43370</v>
      </c>
      <c r="G588" s="170">
        <v>631.25</v>
      </c>
      <c r="H588" s="252">
        <f t="shared" si="19"/>
        <v>-1.3440650152379496E-2</v>
      </c>
    </row>
    <row r="589" spans="2:8" x14ac:dyDescent="0.3">
      <c r="B589" s="440">
        <v>43371</v>
      </c>
      <c r="C589" s="363">
        <v>10930.45</v>
      </c>
      <c r="D589" s="252">
        <f t="shared" si="18"/>
        <v>-4.2905748550449152E-3</v>
      </c>
      <c r="F589" s="440">
        <v>43371</v>
      </c>
      <c r="G589" s="170">
        <v>623.25</v>
      </c>
      <c r="H589" s="252">
        <f t="shared" si="19"/>
        <v>-1.2673267326732685E-2</v>
      </c>
    </row>
    <row r="590" spans="2:8" x14ac:dyDescent="0.3">
      <c r="B590" s="440">
        <v>43374</v>
      </c>
      <c r="C590" s="363">
        <v>11008.3</v>
      </c>
      <c r="D590" s="252">
        <f t="shared" si="18"/>
        <v>7.1223051201001475E-3</v>
      </c>
      <c r="F590" s="440">
        <v>43374</v>
      </c>
      <c r="G590" s="170">
        <v>634.70000000000005</v>
      </c>
      <c r="H590" s="252">
        <f t="shared" si="19"/>
        <v>1.8371440032090014E-2</v>
      </c>
    </row>
    <row r="591" spans="2:8" x14ac:dyDescent="0.3">
      <c r="B591" s="440">
        <v>43376</v>
      </c>
      <c r="C591" s="363">
        <v>10858.25</v>
      </c>
      <c r="D591" s="252">
        <f t="shared" si="18"/>
        <v>-1.3630624165402394E-2</v>
      </c>
      <c r="F591" s="440">
        <v>43376</v>
      </c>
      <c r="G591" s="170">
        <v>620.85</v>
      </c>
      <c r="H591" s="252">
        <f t="shared" si="19"/>
        <v>-2.182133291318733E-2</v>
      </c>
    </row>
    <row r="592" spans="2:8" x14ac:dyDescent="0.3">
      <c r="B592" s="440">
        <v>43377</v>
      </c>
      <c r="C592" s="363">
        <v>10599.25</v>
      </c>
      <c r="D592" s="252">
        <f t="shared" si="18"/>
        <v>-2.3852830796859514E-2</v>
      </c>
      <c r="F592" s="440">
        <v>43377</v>
      </c>
      <c r="G592" s="170">
        <v>599.04999999999995</v>
      </c>
      <c r="H592" s="252">
        <f t="shared" si="19"/>
        <v>-3.5113151324796754E-2</v>
      </c>
    </row>
    <row r="593" spans="2:8" x14ac:dyDescent="0.3">
      <c r="B593" s="440">
        <v>43378</v>
      </c>
      <c r="C593" s="363">
        <v>10316.450000000001</v>
      </c>
      <c r="D593" s="252">
        <f t="shared" si="18"/>
        <v>-2.6681133099039966E-2</v>
      </c>
      <c r="F593" s="440">
        <v>43378</v>
      </c>
      <c r="G593" s="170">
        <v>597.95000000000005</v>
      </c>
      <c r="H593" s="252">
        <f t="shared" si="19"/>
        <v>-1.8362407144644211E-3</v>
      </c>
    </row>
    <row r="594" spans="2:8" x14ac:dyDescent="0.3">
      <c r="B594" s="440">
        <v>43381</v>
      </c>
      <c r="C594" s="363">
        <v>10348.049999999999</v>
      </c>
      <c r="D594" s="252">
        <f t="shared" si="18"/>
        <v>3.0630691759276907E-3</v>
      </c>
      <c r="F594" s="440">
        <v>43381</v>
      </c>
      <c r="G594" s="170">
        <v>604.25</v>
      </c>
      <c r="H594" s="252">
        <f t="shared" si="19"/>
        <v>1.0535997993143198E-2</v>
      </c>
    </row>
    <row r="595" spans="2:8" x14ac:dyDescent="0.3">
      <c r="B595" s="440">
        <v>43382</v>
      </c>
      <c r="C595" s="363">
        <v>10301.049999999999</v>
      </c>
      <c r="D595" s="252">
        <f t="shared" si="18"/>
        <v>-4.5419185257126182E-3</v>
      </c>
      <c r="F595" s="440">
        <v>43382</v>
      </c>
      <c r="G595" s="170">
        <v>609.75</v>
      </c>
      <c r="H595" s="252">
        <f t="shared" si="19"/>
        <v>9.1021928009928921E-3</v>
      </c>
    </row>
    <row r="596" spans="2:8" x14ac:dyDescent="0.3">
      <c r="B596" s="440">
        <v>43383</v>
      </c>
      <c r="C596" s="363">
        <v>10460.1</v>
      </c>
      <c r="D596" s="252">
        <f t="shared" si="18"/>
        <v>1.544017357453864E-2</v>
      </c>
      <c r="F596" s="440">
        <v>43383</v>
      </c>
      <c r="G596" s="170">
        <v>602.95000000000005</v>
      </c>
      <c r="H596" s="252">
        <f t="shared" si="19"/>
        <v>-1.1152111521115171E-2</v>
      </c>
    </row>
    <row r="597" spans="2:8" x14ac:dyDescent="0.3">
      <c r="B597" s="440">
        <v>43384</v>
      </c>
      <c r="C597" s="363">
        <v>10234.65</v>
      </c>
      <c r="D597" s="252">
        <f t="shared" si="18"/>
        <v>-2.1553331230103057E-2</v>
      </c>
      <c r="F597" s="440">
        <v>43384</v>
      </c>
      <c r="G597" s="170">
        <v>586.70000000000005</v>
      </c>
      <c r="H597" s="252">
        <f t="shared" si="19"/>
        <v>-2.6950825109876453E-2</v>
      </c>
    </row>
    <row r="598" spans="2:8" x14ac:dyDescent="0.3">
      <c r="B598" s="440">
        <v>43385</v>
      </c>
      <c r="C598" s="363">
        <v>10472.5</v>
      </c>
      <c r="D598" s="252">
        <f t="shared" si="18"/>
        <v>2.323968088796402E-2</v>
      </c>
      <c r="F598" s="440">
        <v>43385</v>
      </c>
      <c r="G598" s="170">
        <v>590.6</v>
      </c>
      <c r="H598" s="252">
        <f t="shared" si="19"/>
        <v>6.6473495824099782E-3</v>
      </c>
    </row>
    <row r="599" spans="2:8" x14ac:dyDescent="0.3">
      <c r="B599" s="440">
        <v>43388</v>
      </c>
      <c r="C599" s="363">
        <v>10512.5</v>
      </c>
      <c r="D599" s="252">
        <f t="shared" si="18"/>
        <v>3.8195273334924451E-3</v>
      </c>
      <c r="F599" s="440">
        <v>43388</v>
      </c>
      <c r="G599" s="170">
        <v>599.95000000000005</v>
      </c>
      <c r="H599" s="252">
        <f t="shared" si="19"/>
        <v>1.5831357941076929E-2</v>
      </c>
    </row>
    <row r="600" spans="2:8" x14ac:dyDescent="0.3">
      <c r="B600" s="440">
        <v>43389</v>
      </c>
      <c r="C600" s="363">
        <v>10584.75</v>
      </c>
      <c r="D600" s="252">
        <f t="shared" si="18"/>
        <v>6.8727705112960891E-3</v>
      </c>
      <c r="F600" s="440">
        <v>43389</v>
      </c>
      <c r="G600" s="170">
        <v>602.70000000000005</v>
      </c>
      <c r="H600" s="252">
        <f t="shared" si="19"/>
        <v>4.5837153096091043E-3</v>
      </c>
    </row>
    <row r="601" spans="2:8" x14ac:dyDescent="0.3">
      <c r="B601" s="440">
        <v>43390</v>
      </c>
      <c r="C601" s="363">
        <v>10453.049999999999</v>
      </c>
      <c r="D601" s="252">
        <f t="shared" si="18"/>
        <v>-1.2442428966201402E-2</v>
      </c>
      <c r="F601" s="440">
        <v>43390</v>
      </c>
      <c r="G601" s="170">
        <v>593.45000000000005</v>
      </c>
      <c r="H601" s="252">
        <f t="shared" si="19"/>
        <v>-1.5347602455616394E-2</v>
      </c>
    </row>
    <row r="602" spans="2:8" x14ac:dyDescent="0.3">
      <c r="B602" s="440">
        <v>43392</v>
      </c>
      <c r="C602" s="363">
        <v>10303.549999999999</v>
      </c>
      <c r="D602" s="252">
        <f t="shared" si="18"/>
        <v>-1.4302045814379549E-2</v>
      </c>
      <c r="F602" s="440">
        <v>43392</v>
      </c>
      <c r="G602" s="170">
        <v>609.95000000000005</v>
      </c>
      <c r="H602" s="252">
        <f t="shared" si="19"/>
        <v>2.7803521779425466E-2</v>
      </c>
    </row>
    <row r="603" spans="2:8" x14ac:dyDescent="0.3">
      <c r="B603" s="440">
        <v>43395</v>
      </c>
      <c r="C603" s="363">
        <v>10245.25</v>
      </c>
      <c r="D603" s="252">
        <f t="shared" si="18"/>
        <v>-5.6582440032802994E-3</v>
      </c>
      <c r="F603" s="440">
        <v>43395</v>
      </c>
      <c r="G603" s="170">
        <v>606.9</v>
      </c>
      <c r="H603" s="252">
        <f t="shared" si="19"/>
        <v>-5.0004098696615484E-3</v>
      </c>
    </row>
    <row r="604" spans="2:8" x14ac:dyDescent="0.3">
      <c r="B604" s="440">
        <v>43396</v>
      </c>
      <c r="C604" s="363">
        <v>10146.799999999999</v>
      </c>
      <c r="D604" s="252">
        <f t="shared" si="18"/>
        <v>-9.609331153461409E-3</v>
      </c>
      <c r="F604" s="440">
        <v>43396</v>
      </c>
      <c r="G604" s="170">
        <v>575.85</v>
      </c>
      <c r="H604" s="252">
        <f t="shared" si="19"/>
        <v>-5.1161641127039026E-2</v>
      </c>
    </row>
    <row r="605" spans="2:8" x14ac:dyDescent="0.3">
      <c r="B605" s="440">
        <v>43397</v>
      </c>
      <c r="C605" s="363">
        <v>10224.75</v>
      </c>
      <c r="D605" s="252">
        <f t="shared" si="18"/>
        <v>7.682224937911597E-3</v>
      </c>
      <c r="F605" s="440">
        <v>43397</v>
      </c>
      <c r="G605" s="170">
        <v>570.70000000000005</v>
      </c>
      <c r="H605" s="252">
        <f t="shared" si="19"/>
        <v>-8.943301206911447E-3</v>
      </c>
    </row>
    <row r="606" spans="2:8" x14ac:dyDescent="0.3">
      <c r="B606" s="440">
        <v>43398</v>
      </c>
      <c r="C606" s="363">
        <v>10124.9</v>
      </c>
      <c r="D606" s="252">
        <f t="shared" si="18"/>
        <v>-9.76551993936281E-3</v>
      </c>
      <c r="F606" s="440">
        <v>43398</v>
      </c>
      <c r="G606" s="170">
        <v>558.75</v>
      </c>
      <c r="H606" s="252">
        <f t="shared" si="19"/>
        <v>-2.0939197476782967E-2</v>
      </c>
    </row>
    <row r="607" spans="2:8" x14ac:dyDescent="0.3">
      <c r="B607" s="440">
        <v>43399</v>
      </c>
      <c r="C607" s="363">
        <v>10030</v>
      </c>
      <c r="D607" s="252">
        <f t="shared" si="18"/>
        <v>-9.3729320783414449E-3</v>
      </c>
      <c r="F607" s="440">
        <v>43399</v>
      </c>
      <c r="G607" s="170">
        <v>554.04999999999995</v>
      </c>
      <c r="H607" s="252">
        <f t="shared" si="19"/>
        <v>-8.4116331096197872E-3</v>
      </c>
    </row>
    <row r="608" spans="2:8" x14ac:dyDescent="0.3">
      <c r="B608" s="440">
        <v>43402</v>
      </c>
      <c r="C608" s="363">
        <v>10250.85</v>
      </c>
      <c r="D608" s="252">
        <f t="shared" si="18"/>
        <v>2.201894317048847E-2</v>
      </c>
      <c r="F608" s="440">
        <v>43402</v>
      </c>
      <c r="G608" s="170">
        <v>573.6</v>
      </c>
      <c r="H608" s="252">
        <f t="shared" si="19"/>
        <v>3.5285624041151653E-2</v>
      </c>
    </row>
    <row r="609" spans="2:8" x14ac:dyDescent="0.3">
      <c r="B609" s="440">
        <v>43403</v>
      </c>
      <c r="C609" s="363">
        <v>10198.4</v>
      </c>
      <c r="D609" s="252">
        <f t="shared" si="18"/>
        <v>-5.1166488632650164E-3</v>
      </c>
      <c r="F609" s="440">
        <v>43403</v>
      </c>
      <c r="G609" s="170">
        <v>562.04999999999995</v>
      </c>
      <c r="H609" s="252">
        <f t="shared" si="19"/>
        <v>-2.0135983263598445E-2</v>
      </c>
    </row>
    <row r="610" spans="2:8" x14ac:dyDescent="0.3">
      <c r="B610" s="440">
        <v>43404</v>
      </c>
      <c r="C610" s="363">
        <v>10386.6</v>
      </c>
      <c r="D610" s="252">
        <f t="shared" si="18"/>
        <v>1.8453875117665497E-2</v>
      </c>
      <c r="F610" s="440">
        <v>43404</v>
      </c>
      <c r="G610" s="170">
        <v>580.25</v>
      </c>
      <c r="H610" s="252">
        <f t="shared" si="19"/>
        <v>3.2381460724134836E-2</v>
      </c>
    </row>
    <row r="611" spans="2:8" x14ac:dyDescent="0.3">
      <c r="B611" s="440">
        <v>43405</v>
      </c>
      <c r="C611" s="363">
        <v>10380.450000000001</v>
      </c>
      <c r="D611" s="252">
        <f t="shared" si="18"/>
        <v>-5.921090636011872E-4</v>
      </c>
      <c r="F611" s="440">
        <v>43405</v>
      </c>
      <c r="G611" s="170">
        <v>571.85</v>
      </c>
      <c r="H611" s="252">
        <f t="shared" si="19"/>
        <v>-1.4476518741921574E-2</v>
      </c>
    </row>
    <row r="612" spans="2:8" x14ac:dyDescent="0.3">
      <c r="B612" s="440">
        <v>43406</v>
      </c>
      <c r="C612" s="363">
        <v>10553</v>
      </c>
      <c r="D612" s="252">
        <f t="shared" si="18"/>
        <v>1.6622593432847221E-2</v>
      </c>
      <c r="F612" s="440">
        <v>43406</v>
      </c>
      <c r="G612" s="170">
        <v>571.85</v>
      </c>
      <c r="H612" s="252">
        <f t="shared" si="19"/>
        <v>0</v>
      </c>
    </row>
    <row r="613" spans="2:8" x14ac:dyDescent="0.3">
      <c r="B613" s="440">
        <v>43409</v>
      </c>
      <c r="C613" s="363">
        <v>10524</v>
      </c>
      <c r="D613" s="252">
        <f t="shared" si="18"/>
        <v>-2.7480337344830685E-3</v>
      </c>
      <c r="F613" s="440">
        <v>43409</v>
      </c>
      <c r="G613" s="170">
        <v>571.6</v>
      </c>
      <c r="H613" s="252">
        <f t="shared" si="19"/>
        <v>-4.3717758153360986E-4</v>
      </c>
    </row>
    <row r="614" spans="2:8" x14ac:dyDescent="0.3">
      <c r="B614" s="440">
        <v>43410</v>
      </c>
      <c r="C614" s="363">
        <v>10530</v>
      </c>
      <c r="D614" s="252">
        <f t="shared" si="18"/>
        <v>5.7012542759404816E-4</v>
      </c>
      <c r="F614" s="440">
        <v>43410</v>
      </c>
      <c r="G614" s="170">
        <v>579.35</v>
      </c>
      <c r="H614" s="252">
        <f t="shared" si="19"/>
        <v>1.3558432470258897E-2</v>
      </c>
    </row>
    <row r="615" spans="2:8" x14ac:dyDescent="0.3">
      <c r="B615" s="440">
        <v>43411</v>
      </c>
      <c r="C615" s="363">
        <v>10598.85</v>
      </c>
      <c r="D615" s="252">
        <f t="shared" si="18"/>
        <v>6.5384615384616041E-3</v>
      </c>
      <c r="F615" s="440">
        <v>43411</v>
      </c>
      <c r="G615" s="170">
        <v>582.29999999999995</v>
      </c>
      <c r="H615" s="252">
        <f t="shared" si="19"/>
        <v>5.0919133511693193E-3</v>
      </c>
    </row>
    <row r="616" spans="2:8" x14ac:dyDescent="0.3">
      <c r="B616" s="440">
        <v>43413</v>
      </c>
      <c r="C616" s="363">
        <v>10585.2</v>
      </c>
      <c r="D616" s="252">
        <f t="shared" si="18"/>
        <v>-1.287875571406305E-3</v>
      </c>
      <c r="F616" s="440">
        <v>43413</v>
      </c>
      <c r="G616" s="170">
        <v>597.45000000000005</v>
      </c>
      <c r="H616" s="252">
        <f t="shared" si="19"/>
        <v>2.6017516743946478E-2</v>
      </c>
    </row>
    <row r="617" spans="2:8" x14ac:dyDescent="0.3">
      <c r="B617" s="440">
        <v>43416</v>
      </c>
      <c r="C617" s="363">
        <v>10482.200000000001</v>
      </c>
      <c r="D617" s="252">
        <f t="shared" si="18"/>
        <v>-9.7305672070437943E-3</v>
      </c>
      <c r="F617" s="440">
        <v>43416</v>
      </c>
      <c r="G617" s="170">
        <v>589.5</v>
      </c>
      <c r="H617" s="252">
        <f t="shared" si="19"/>
        <v>-1.3306552849610909E-2</v>
      </c>
    </row>
    <row r="618" spans="2:8" x14ac:dyDescent="0.3">
      <c r="B618" s="440">
        <v>43417</v>
      </c>
      <c r="C618" s="363">
        <v>10582.5</v>
      </c>
      <c r="D618" s="252">
        <f t="shared" si="18"/>
        <v>9.56860201102816E-3</v>
      </c>
      <c r="F618" s="440">
        <v>43417</v>
      </c>
      <c r="G618" s="170">
        <v>561.75</v>
      </c>
      <c r="H618" s="252">
        <f t="shared" si="19"/>
        <v>-4.7073791348600458E-2</v>
      </c>
    </row>
    <row r="619" spans="2:8" x14ac:dyDescent="0.3">
      <c r="B619" s="440">
        <v>43418</v>
      </c>
      <c r="C619" s="363">
        <v>10576.3</v>
      </c>
      <c r="D619" s="252">
        <f t="shared" si="18"/>
        <v>-5.8587290337830389E-4</v>
      </c>
      <c r="F619" s="440">
        <v>43418</v>
      </c>
      <c r="G619" s="170">
        <v>520.1</v>
      </c>
      <c r="H619" s="252">
        <f t="shared" si="19"/>
        <v>-7.4143302180685322E-2</v>
      </c>
    </row>
    <row r="620" spans="2:8" x14ac:dyDescent="0.3">
      <c r="B620" s="440">
        <v>43419</v>
      </c>
      <c r="C620" s="363">
        <v>10616.7</v>
      </c>
      <c r="D620" s="252">
        <f t="shared" si="18"/>
        <v>3.8198613881983423E-3</v>
      </c>
      <c r="F620" s="440">
        <v>43419</v>
      </c>
      <c r="G620" s="170">
        <v>515.1</v>
      </c>
      <c r="H620" s="252">
        <f t="shared" si="19"/>
        <v>-9.6135358584887864E-3</v>
      </c>
    </row>
    <row r="621" spans="2:8" x14ac:dyDescent="0.3">
      <c r="B621" s="440">
        <v>43420</v>
      </c>
      <c r="C621" s="363">
        <v>10682.2</v>
      </c>
      <c r="D621" s="252">
        <f t="shared" si="18"/>
        <v>6.1695253704070474E-3</v>
      </c>
      <c r="F621" s="440">
        <v>43420</v>
      </c>
      <c r="G621" s="170">
        <v>519.75</v>
      </c>
      <c r="H621" s="252">
        <f t="shared" si="19"/>
        <v>9.0273733255679112E-3</v>
      </c>
    </row>
    <row r="622" spans="2:8" x14ac:dyDescent="0.3">
      <c r="B622" s="440">
        <v>43423</v>
      </c>
      <c r="C622" s="363">
        <v>10763.4</v>
      </c>
      <c r="D622" s="252">
        <f t="shared" si="18"/>
        <v>7.6014304169551572E-3</v>
      </c>
      <c r="F622" s="440">
        <v>43423</v>
      </c>
      <c r="G622" s="170">
        <v>531.54999999999995</v>
      </c>
      <c r="H622" s="252">
        <f t="shared" si="19"/>
        <v>2.270322270322267E-2</v>
      </c>
    </row>
    <row r="623" spans="2:8" x14ac:dyDescent="0.3">
      <c r="B623" s="440">
        <v>43424</v>
      </c>
      <c r="C623" s="363">
        <v>10656.2</v>
      </c>
      <c r="D623" s="252">
        <f t="shared" si="18"/>
        <v>-9.9596781686083213E-3</v>
      </c>
      <c r="F623" s="440">
        <v>43424</v>
      </c>
      <c r="G623" s="170">
        <v>525.45000000000005</v>
      </c>
      <c r="H623" s="252">
        <f t="shared" si="19"/>
        <v>-1.1475872448499458E-2</v>
      </c>
    </row>
    <row r="624" spans="2:8" x14ac:dyDescent="0.3">
      <c r="B624" s="440">
        <v>43425</v>
      </c>
      <c r="C624" s="363">
        <v>10600.05</v>
      </c>
      <c r="D624" s="252">
        <f t="shared" si="18"/>
        <v>-5.2692329348174027E-3</v>
      </c>
      <c r="F624" s="440">
        <v>43425</v>
      </c>
      <c r="G624" s="170">
        <v>532.85</v>
      </c>
      <c r="H624" s="252">
        <f t="shared" si="19"/>
        <v>1.4083166809401471E-2</v>
      </c>
    </row>
    <row r="625" spans="2:8" x14ac:dyDescent="0.3">
      <c r="B625" s="440">
        <v>43426</v>
      </c>
      <c r="C625" s="363">
        <v>10526.75</v>
      </c>
      <c r="D625" s="252">
        <f t="shared" si="18"/>
        <v>-6.9150617214068788E-3</v>
      </c>
      <c r="F625" s="440">
        <v>43426</v>
      </c>
      <c r="G625" s="170">
        <v>525.95000000000005</v>
      </c>
      <c r="H625" s="252">
        <f t="shared" si="19"/>
        <v>-1.2949235244440249E-2</v>
      </c>
    </row>
    <row r="626" spans="2:8" x14ac:dyDescent="0.3">
      <c r="B626" s="440">
        <v>43430</v>
      </c>
      <c r="C626" s="363">
        <v>10628.6</v>
      </c>
      <c r="D626" s="252">
        <f t="shared" si="18"/>
        <v>9.6753508917757358E-3</v>
      </c>
      <c r="F626" s="440">
        <v>43430</v>
      </c>
      <c r="G626" s="170">
        <v>510.75</v>
      </c>
      <c r="H626" s="252">
        <f t="shared" si="19"/>
        <v>-2.8900085559463884E-2</v>
      </c>
    </row>
    <row r="627" spans="2:8" x14ac:dyDescent="0.3">
      <c r="B627" s="440">
        <v>43431</v>
      </c>
      <c r="C627" s="363">
        <v>10685.6</v>
      </c>
      <c r="D627" s="252">
        <f t="shared" si="18"/>
        <v>5.3628888094385818E-3</v>
      </c>
      <c r="F627" s="440">
        <v>43431</v>
      </c>
      <c r="G627" s="170">
        <v>493.85</v>
      </c>
      <c r="H627" s="252">
        <f t="shared" si="19"/>
        <v>-3.3088595203132565E-2</v>
      </c>
    </row>
    <row r="628" spans="2:8" x14ac:dyDescent="0.3">
      <c r="B628" s="440">
        <v>43432</v>
      </c>
      <c r="C628" s="363">
        <v>10728.85</v>
      </c>
      <c r="D628" s="252">
        <f t="shared" si="18"/>
        <v>4.0475031818523188E-3</v>
      </c>
      <c r="F628" s="440">
        <v>43432</v>
      </c>
      <c r="G628" s="170">
        <v>486</v>
      </c>
      <c r="H628" s="252">
        <f t="shared" si="19"/>
        <v>-1.5895514832439006E-2</v>
      </c>
    </row>
    <row r="629" spans="2:8" x14ac:dyDescent="0.3">
      <c r="B629" s="440">
        <v>43433</v>
      </c>
      <c r="C629" s="363">
        <v>10858.7</v>
      </c>
      <c r="D629" s="252">
        <f t="shared" si="18"/>
        <v>1.21028814831039E-2</v>
      </c>
      <c r="F629" s="440">
        <v>43433</v>
      </c>
      <c r="G629" s="170">
        <v>484.4</v>
      </c>
      <c r="H629" s="252">
        <f t="shared" si="19"/>
        <v>-3.2921810699588772E-3</v>
      </c>
    </row>
    <row r="630" spans="2:8" x14ac:dyDescent="0.3">
      <c r="B630" s="440">
        <v>43434</v>
      </c>
      <c r="C630" s="363">
        <v>10876.75</v>
      </c>
      <c r="D630" s="252">
        <f t="shared" si="18"/>
        <v>1.6622615966919163E-3</v>
      </c>
      <c r="F630" s="440">
        <v>43434</v>
      </c>
      <c r="G630" s="170">
        <v>492.6</v>
      </c>
      <c r="H630" s="252">
        <f t="shared" si="19"/>
        <v>1.6928158546655858E-2</v>
      </c>
    </row>
    <row r="631" spans="2:8" x14ac:dyDescent="0.3">
      <c r="B631" s="440">
        <v>43437</v>
      </c>
      <c r="C631" s="363">
        <v>10883.75</v>
      </c>
      <c r="D631" s="252">
        <f t="shared" si="18"/>
        <v>6.4357459719133203E-4</v>
      </c>
      <c r="F631" s="440">
        <v>43437</v>
      </c>
      <c r="G631" s="170">
        <v>455.4</v>
      </c>
      <c r="H631" s="252">
        <f t="shared" si="19"/>
        <v>-7.551766138855065E-2</v>
      </c>
    </row>
    <row r="632" spans="2:8" x14ac:dyDescent="0.3">
      <c r="B632" s="440">
        <v>43438</v>
      </c>
      <c r="C632" s="363">
        <v>10869.5</v>
      </c>
      <c r="D632" s="252">
        <f t="shared" si="18"/>
        <v>-1.3092913747559942E-3</v>
      </c>
      <c r="F632" s="440">
        <v>43438</v>
      </c>
      <c r="G632" s="170">
        <v>442.9</v>
      </c>
      <c r="H632" s="252">
        <f t="shared" si="19"/>
        <v>-2.7448397013614456E-2</v>
      </c>
    </row>
    <row r="633" spans="2:8" x14ac:dyDescent="0.3">
      <c r="B633" s="440">
        <v>43439</v>
      </c>
      <c r="C633" s="363">
        <v>10782.9</v>
      </c>
      <c r="D633" s="252">
        <f t="shared" si="18"/>
        <v>-7.9672478034868988E-3</v>
      </c>
      <c r="F633" s="440">
        <v>43439</v>
      </c>
      <c r="G633" s="170">
        <v>412.95</v>
      </c>
      <c r="H633" s="252">
        <f t="shared" si="19"/>
        <v>-6.7622488146308446E-2</v>
      </c>
    </row>
    <row r="634" spans="2:8" x14ac:dyDescent="0.3">
      <c r="B634" s="440">
        <v>43440</v>
      </c>
      <c r="C634" s="363">
        <v>10601.15</v>
      </c>
      <c r="D634" s="252">
        <f t="shared" si="18"/>
        <v>-1.6855391406764397E-2</v>
      </c>
      <c r="F634" s="440">
        <v>43440</v>
      </c>
      <c r="G634" s="170">
        <v>420.15</v>
      </c>
      <c r="H634" s="252">
        <f t="shared" si="19"/>
        <v>1.7435524881946884E-2</v>
      </c>
    </row>
    <row r="635" spans="2:8" x14ac:dyDescent="0.3">
      <c r="B635" s="440">
        <v>43441</v>
      </c>
      <c r="C635" s="363">
        <v>10693.7</v>
      </c>
      <c r="D635" s="252">
        <f t="shared" si="18"/>
        <v>8.7301849327667824E-3</v>
      </c>
      <c r="F635" s="440">
        <v>43441</v>
      </c>
      <c r="G635" s="170">
        <v>411.25</v>
      </c>
      <c r="H635" s="252">
        <f t="shared" si="19"/>
        <v>-2.1182910865167104E-2</v>
      </c>
    </row>
    <row r="636" spans="2:8" x14ac:dyDescent="0.3">
      <c r="B636" s="440">
        <v>43444</v>
      </c>
      <c r="C636" s="363">
        <v>10488.45</v>
      </c>
      <c r="D636" s="252">
        <f t="shared" si="18"/>
        <v>-1.919354386227401E-2</v>
      </c>
      <c r="F636" s="440">
        <v>43444</v>
      </c>
      <c r="G636" s="170">
        <v>399</v>
      </c>
      <c r="H636" s="252">
        <f t="shared" si="19"/>
        <v>-2.9787234042553234E-2</v>
      </c>
    </row>
    <row r="637" spans="2:8" x14ac:dyDescent="0.3">
      <c r="B637" s="440">
        <v>43445</v>
      </c>
      <c r="C637" s="363">
        <v>10549.15</v>
      </c>
      <c r="D637" s="252">
        <f t="shared" si="18"/>
        <v>5.7873184312267067E-3</v>
      </c>
      <c r="F637" s="440">
        <v>43445</v>
      </c>
      <c r="G637" s="170">
        <v>422.3</v>
      </c>
      <c r="H637" s="252">
        <f t="shared" si="19"/>
        <v>5.8395989974937335E-2</v>
      </c>
    </row>
    <row r="638" spans="2:8" x14ac:dyDescent="0.3">
      <c r="B638" s="440">
        <v>43446</v>
      </c>
      <c r="C638" s="363">
        <v>10737.6</v>
      </c>
      <c r="D638" s="252">
        <f t="shared" si="18"/>
        <v>1.7863998521207902E-2</v>
      </c>
      <c r="F638" s="440">
        <v>43446</v>
      </c>
      <c r="G638" s="170">
        <v>431.45</v>
      </c>
      <c r="H638" s="252">
        <f t="shared" si="19"/>
        <v>2.1667061330807424E-2</v>
      </c>
    </row>
    <row r="639" spans="2:8" x14ac:dyDescent="0.3">
      <c r="B639" s="440">
        <v>43447</v>
      </c>
      <c r="C639" s="363">
        <v>10791.55</v>
      </c>
      <c r="D639" s="252">
        <f t="shared" si="18"/>
        <v>5.0244002384145503E-3</v>
      </c>
      <c r="F639" s="440">
        <v>43447</v>
      </c>
      <c r="G639" s="170">
        <v>422.1</v>
      </c>
      <c r="H639" s="252">
        <f t="shared" si="19"/>
        <v>-2.1671109050874882E-2</v>
      </c>
    </row>
    <row r="640" spans="2:8" x14ac:dyDescent="0.3">
      <c r="B640" s="440">
        <v>43448</v>
      </c>
      <c r="C640" s="363">
        <v>10805.45</v>
      </c>
      <c r="D640" s="252">
        <f t="shared" si="18"/>
        <v>1.2880448128398392E-3</v>
      </c>
      <c r="F640" s="440">
        <v>43448</v>
      </c>
      <c r="G640" s="170">
        <v>420.65</v>
      </c>
      <c r="H640" s="252">
        <f t="shared" si="19"/>
        <v>-3.4352049277422969E-3</v>
      </c>
    </row>
    <row r="641" spans="2:8" x14ac:dyDescent="0.3">
      <c r="B641" s="440">
        <v>43451</v>
      </c>
      <c r="C641" s="363">
        <v>10888.35</v>
      </c>
      <c r="D641" s="252">
        <f t="shared" si="18"/>
        <v>7.6720543799655427E-3</v>
      </c>
      <c r="F641" s="440">
        <v>43451</v>
      </c>
      <c r="G641" s="170">
        <v>420.95</v>
      </c>
      <c r="H641" s="252">
        <f t="shared" si="19"/>
        <v>7.1318198026859569E-4</v>
      </c>
    </row>
    <row r="642" spans="2:8" x14ac:dyDescent="0.3">
      <c r="B642" s="440">
        <v>43452</v>
      </c>
      <c r="C642" s="363">
        <v>10908.7</v>
      </c>
      <c r="D642" s="252">
        <f t="shared" si="18"/>
        <v>1.8689700459666447E-3</v>
      </c>
      <c r="F642" s="440">
        <v>43452</v>
      </c>
      <c r="G642" s="170">
        <v>433.45</v>
      </c>
      <c r="H642" s="252">
        <f t="shared" si="19"/>
        <v>2.9694738092409967E-2</v>
      </c>
    </row>
    <row r="643" spans="2:8" x14ac:dyDescent="0.3">
      <c r="B643" s="440">
        <v>43453</v>
      </c>
      <c r="C643" s="363">
        <v>10967.3</v>
      </c>
      <c r="D643" s="252">
        <f t="shared" si="18"/>
        <v>5.3718591582863073E-3</v>
      </c>
      <c r="F643" s="440">
        <v>43453</v>
      </c>
      <c r="G643" s="170">
        <v>423.8</v>
      </c>
      <c r="H643" s="252">
        <f t="shared" si="19"/>
        <v>-2.2263236820855847E-2</v>
      </c>
    </row>
    <row r="644" spans="2:8" x14ac:dyDescent="0.3">
      <c r="B644" s="440">
        <v>43454</v>
      </c>
      <c r="C644" s="363">
        <v>10951.7</v>
      </c>
      <c r="D644" s="252">
        <f t="shared" si="18"/>
        <v>-1.4224102559425855E-3</v>
      </c>
      <c r="F644" s="440">
        <v>43454</v>
      </c>
      <c r="G644" s="170">
        <v>429.05</v>
      </c>
      <c r="H644" s="252">
        <f t="shared" si="19"/>
        <v>1.2387918829636524E-2</v>
      </c>
    </row>
    <row r="645" spans="2:8" x14ac:dyDescent="0.3">
      <c r="B645" s="440">
        <v>43455</v>
      </c>
      <c r="C645" s="363">
        <v>10754</v>
      </c>
      <c r="D645" s="252">
        <f t="shared" si="18"/>
        <v>-1.8051991928193845E-2</v>
      </c>
      <c r="F645" s="440">
        <v>43455</v>
      </c>
      <c r="G645" s="170">
        <v>425.3</v>
      </c>
      <c r="H645" s="252">
        <f t="shared" si="19"/>
        <v>-8.7402400652604184E-3</v>
      </c>
    </row>
    <row r="646" spans="2:8" x14ac:dyDescent="0.3">
      <c r="B646" s="440">
        <v>43458</v>
      </c>
      <c r="C646" s="363">
        <v>10663.5</v>
      </c>
      <c r="D646" s="252">
        <f t="shared" si="18"/>
        <v>-8.4154733122558945E-3</v>
      </c>
      <c r="F646" s="440">
        <v>43458</v>
      </c>
      <c r="G646" s="170">
        <v>424.35</v>
      </c>
      <c r="H646" s="252">
        <f t="shared" si="19"/>
        <v>-2.2337173759698903E-3</v>
      </c>
    </row>
    <row r="647" spans="2:8" x14ac:dyDescent="0.3">
      <c r="B647" s="440">
        <v>43460</v>
      </c>
      <c r="C647" s="363">
        <v>10729.85</v>
      </c>
      <c r="D647" s="252">
        <f t="shared" si="18"/>
        <v>6.2221597036620224E-3</v>
      </c>
      <c r="F647" s="440">
        <v>43460</v>
      </c>
      <c r="G647" s="170">
        <v>413.65</v>
      </c>
      <c r="H647" s="252">
        <f t="shared" si="19"/>
        <v>-2.5215034759043298E-2</v>
      </c>
    </row>
    <row r="648" spans="2:8" x14ac:dyDescent="0.3">
      <c r="B648" s="440">
        <v>43461</v>
      </c>
      <c r="C648" s="363">
        <v>10779.8</v>
      </c>
      <c r="D648" s="252">
        <f t="shared" si="18"/>
        <v>4.6552374916704053E-3</v>
      </c>
      <c r="F648" s="440">
        <v>43461</v>
      </c>
      <c r="G648" s="170">
        <v>411.15</v>
      </c>
      <c r="H648" s="252">
        <f t="shared" si="19"/>
        <v>-6.0437567992264185E-3</v>
      </c>
    </row>
    <row r="649" spans="2:8" x14ac:dyDescent="0.3">
      <c r="B649" s="440">
        <v>43462</v>
      </c>
      <c r="C649" s="363">
        <v>10859.9</v>
      </c>
      <c r="D649" s="252">
        <f t="shared" si="18"/>
        <v>7.4305645744818793E-3</v>
      </c>
      <c r="F649" s="440">
        <v>43462</v>
      </c>
      <c r="G649" s="170">
        <v>425.2</v>
      </c>
      <c r="H649" s="252">
        <f t="shared" si="19"/>
        <v>3.417244314726986E-2</v>
      </c>
    </row>
    <row r="650" spans="2:8" x14ac:dyDescent="0.3">
      <c r="B650" s="440">
        <v>43465</v>
      </c>
      <c r="C650" s="363">
        <v>10862.55</v>
      </c>
      <c r="D650" s="252">
        <f t="shared" si="18"/>
        <v>2.4401697989850923E-4</v>
      </c>
      <c r="F650" s="440">
        <v>43465</v>
      </c>
      <c r="G650" s="170">
        <v>430.5</v>
      </c>
      <c r="H650" s="252">
        <f t="shared" si="19"/>
        <v>1.2464722483537249E-2</v>
      </c>
    </row>
    <row r="651" spans="2:8" x14ac:dyDescent="0.3">
      <c r="B651" s="440">
        <v>43466</v>
      </c>
      <c r="C651" s="363">
        <v>10910.1</v>
      </c>
      <c r="D651" s="252">
        <f t="shared" ref="D651:D714" si="20">C651/C650-1</f>
        <v>4.3774251902177763E-3</v>
      </c>
      <c r="F651" s="440">
        <v>43466</v>
      </c>
      <c r="G651" s="170">
        <v>433.55</v>
      </c>
      <c r="H651" s="252">
        <f t="shared" ref="H651:H714" si="21">G651/G650-1</f>
        <v>7.0847851335655854E-3</v>
      </c>
    </row>
    <row r="652" spans="2:8" x14ac:dyDescent="0.3">
      <c r="B652" s="440">
        <v>43467</v>
      </c>
      <c r="C652" s="363">
        <v>10792.5</v>
      </c>
      <c r="D652" s="252">
        <f t="shared" si="20"/>
        <v>-1.0779002942227889E-2</v>
      </c>
      <c r="F652" s="440">
        <v>43467</v>
      </c>
      <c r="G652" s="170">
        <v>440.05</v>
      </c>
      <c r="H652" s="252">
        <f t="shared" si="21"/>
        <v>1.4992503748125996E-2</v>
      </c>
    </row>
    <row r="653" spans="2:8" x14ac:dyDescent="0.3">
      <c r="B653" s="440">
        <v>43468</v>
      </c>
      <c r="C653" s="363">
        <v>10672.25</v>
      </c>
      <c r="D653" s="252">
        <f t="shared" si="20"/>
        <v>-1.1141996757007222E-2</v>
      </c>
      <c r="F653" s="440">
        <v>43468</v>
      </c>
      <c r="G653" s="170">
        <v>436.1</v>
      </c>
      <c r="H653" s="252">
        <f t="shared" si="21"/>
        <v>-8.9762526985569524E-3</v>
      </c>
    </row>
    <row r="654" spans="2:8" x14ac:dyDescent="0.3">
      <c r="B654" s="440">
        <v>43469</v>
      </c>
      <c r="C654" s="363">
        <v>10727.35</v>
      </c>
      <c r="D654" s="252">
        <f t="shared" si="20"/>
        <v>5.1629225327367578E-3</v>
      </c>
      <c r="F654" s="440">
        <v>43469</v>
      </c>
      <c r="G654" s="170">
        <v>433.8</v>
      </c>
      <c r="H654" s="252">
        <f t="shared" si="21"/>
        <v>-5.274019720247658E-3</v>
      </c>
    </row>
    <row r="655" spans="2:8" x14ac:dyDescent="0.3">
      <c r="B655" s="440">
        <v>43472</v>
      </c>
      <c r="C655" s="363">
        <v>10771.8</v>
      </c>
      <c r="D655" s="252">
        <f t="shared" si="20"/>
        <v>4.1436142197279757E-3</v>
      </c>
      <c r="F655" s="440">
        <v>43472</v>
      </c>
      <c r="G655" s="170">
        <v>430.8</v>
      </c>
      <c r="H655" s="252">
        <f t="shared" si="21"/>
        <v>-6.9156293222683018E-3</v>
      </c>
    </row>
    <row r="656" spans="2:8" x14ac:dyDescent="0.3">
      <c r="B656" s="440">
        <v>43473</v>
      </c>
      <c r="C656" s="363">
        <v>10802.15</v>
      </c>
      <c r="D656" s="252">
        <f t="shared" si="20"/>
        <v>2.8175421006702006E-3</v>
      </c>
      <c r="F656" s="440">
        <v>43473</v>
      </c>
      <c r="G656" s="170">
        <v>448.05</v>
      </c>
      <c r="H656" s="252">
        <f t="shared" si="21"/>
        <v>4.0041782729804964E-2</v>
      </c>
    </row>
    <row r="657" spans="2:8" x14ac:dyDescent="0.3">
      <c r="B657" s="440">
        <v>43474</v>
      </c>
      <c r="C657" s="363">
        <v>10855.15</v>
      </c>
      <c r="D657" s="252">
        <f t="shared" si="20"/>
        <v>4.9064306642658817E-3</v>
      </c>
      <c r="F657" s="440">
        <v>43474</v>
      </c>
      <c r="G657" s="170">
        <v>448.75</v>
      </c>
      <c r="H657" s="252">
        <f t="shared" si="21"/>
        <v>1.5623256332997215E-3</v>
      </c>
    </row>
    <row r="658" spans="2:8" x14ac:dyDescent="0.3">
      <c r="B658" s="440">
        <v>43475</v>
      </c>
      <c r="C658" s="363">
        <v>10821.6</v>
      </c>
      <c r="D658" s="252">
        <f t="shared" si="20"/>
        <v>-3.0906988848610206E-3</v>
      </c>
      <c r="F658" s="440">
        <v>43475</v>
      </c>
      <c r="G658" s="170">
        <v>444.6</v>
      </c>
      <c r="H658" s="252">
        <f t="shared" si="21"/>
        <v>-9.247910863509734E-3</v>
      </c>
    </row>
    <row r="659" spans="2:8" x14ac:dyDescent="0.3">
      <c r="B659" s="440">
        <v>43476</v>
      </c>
      <c r="C659" s="363">
        <v>10794.95</v>
      </c>
      <c r="D659" s="252">
        <f t="shared" si="20"/>
        <v>-2.4626672580764231E-3</v>
      </c>
      <c r="F659" s="440">
        <v>43476</v>
      </c>
      <c r="G659" s="170">
        <v>444.4</v>
      </c>
      <c r="H659" s="252">
        <f t="shared" si="21"/>
        <v>-4.4984255510582827E-4</v>
      </c>
    </row>
    <row r="660" spans="2:8" x14ac:dyDescent="0.3">
      <c r="B660" s="440">
        <v>43479</v>
      </c>
      <c r="C660" s="363">
        <v>10737.6</v>
      </c>
      <c r="D660" s="252">
        <f t="shared" si="20"/>
        <v>-5.3126693500201716E-3</v>
      </c>
      <c r="F660" s="440">
        <v>43479</v>
      </c>
      <c r="G660" s="170">
        <v>450.85</v>
      </c>
      <c r="H660" s="252">
        <f t="shared" si="21"/>
        <v>1.4513951395139557E-2</v>
      </c>
    </row>
    <row r="661" spans="2:8" x14ac:dyDescent="0.3">
      <c r="B661" s="440">
        <v>43480</v>
      </c>
      <c r="C661" s="363">
        <v>10886.8</v>
      </c>
      <c r="D661" s="252">
        <f t="shared" si="20"/>
        <v>1.3895097600953532E-2</v>
      </c>
      <c r="F661" s="440">
        <v>43480</v>
      </c>
      <c r="G661" s="170">
        <v>452.45</v>
      </c>
      <c r="H661" s="252">
        <f t="shared" si="21"/>
        <v>3.548852168126837E-3</v>
      </c>
    </row>
    <row r="662" spans="2:8" x14ac:dyDescent="0.3">
      <c r="B662" s="440">
        <v>43481</v>
      </c>
      <c r="C662" s="363">
        <v>10890.3</v>
      </c>
      <c r="D662" s="252">
        <f t="shared" si="20"/>
        <v>3.2149024506744617E-4</v>
      </c>
      <c r="F662" s="440">
        <v>43481</v>
      </c>
      <c r="G662" s="170">
        <v>453.8</v>
      </c>
      <c r="H662" s="252">
        <f t="shared" si="21"/>
        <v>2.9837551110620808E-3</v>
      </c>
    </row>
    <row r="663" spans="2:8" x14ac:dyDescent="0.3">
      <c r="B663" s="440">
        <v>43482</v>
      </c>
      <c r="C663" s="363">
        <v>10905.2</v>
      </c>
      <c r="D663" s="252">
        <f t="shared" si="20"/>
        <v>1.368190040678563E-3</v>
      </c>
      <c r="F663" s="440">
        <v>43482</v>
      </c>
      <c r="G663" s="170">
        <v>426.55</v>
      </c>
      <c r="H663" s="252">
        <f t="shared" si="21"/>
        <v>-6.0048479506390473E-2</v>
      </c>
    </row>
    <row r="664" spans="2:8" x14ac:dyDescent="0.3">
      <c r="B664" s="440">
        <v>43483</v>
      </c>
      <c r="C664" s="363">
        <v>10906.95</v>
      </c>
      <c r="D664" s="252">
        <f t="shared" si="20"/>
        <v>1.6047390235840453E-4</v>
      </c>
      <c r="F664" s="440">
        <v>43483</v>
      </c>
      <c r="G664" s="170">
        <v>390.75</v>
      </c>
      <c r="H664" s="252">
        <f t="shared" si="21"/>
        <v>-8.3929199390458398E-2</v>
      </c>
    </row>
    <row r="665" spans="2:8" x14ac:dyDescent="0.3">
      <c r="B665" s="440">
        <v>43486</v>
      </c>
      <c r="C665" s="363">
        <v>10961.85</v>
      </c>
      <c r="D665" s="252">
        <f t="shared" si="20"/>
        <v>5.0334878219850943E-3</v>
      </c>
      <c r="F665" s="440">
        <v>43486</v>
      </c>
      <c r="G665" s="170">
        <v>398.3</v>
      </c>
      <c r="H665" s="252">
        <f t="shared" si="21"/>
        <v>1.9321817018554066E-2</v>
      </c>
    </row>
    <row r="666" spans="2:8" x14ac:dyDescent="0.3">
      <c r="B666" s="440">
        <v>43487</v>
      </c>
      <c r="C666" s="363">
        <v>10922.75</v>
      </c>
      <c r="D666" s="252">
        <f t="shared" si="20"/>
        <v>-3.5669161683474782E-3</v>
      </c>
      <c r="F666" s="440">
        <v>43487</v>
      </c>
      <c r="G666" s="170">
        <v>418.95</v>
      </c>
      <c r="H666" s="252">
        <f t="shared" si="21"/>
        <v>5.1845342706502651E-2</v>
      </c>
    </row>
    <row r="667" spans="2:8" x14ac:dyDescent="0.3">
      <c r="B667" s="440">
        <v>43488</v>
      </c>
      <c r="C667" s="363">
        <v>10831.5</v>
      </c>
      <c r="D667" s="252">
        <f t="shared" si="20"/>
        <v>-8.3541232748163274E-3</v>
      </c>
      <c r="F667" s="440">
        <v>43488</v>
      </c>
      <c r="G667" s="170">
        <v>431</v>
      </c>
      <c r="H667" s="252">
        <f t="shared" si="21"/>
        <v>2.8762382145840926E-2</v>
      </c>
    </row>
    <row r="668" spans="2:8" x14ac:dyDescent="0.3">
      <c r="B668" s="440">
        <v>43489</v>
      </c>
      <c r="C668" s="363">
        <v>10849.8</v>
      </c>
      <c r="D668" s="252">
        <f t="shared" si="20"/>
        <v>1.6895166874393297E-3</v>
      </c>
      <c r="F668" s="440">
        <v>43489</v>
      </c>
      <c r="G668" s="170">
        <v>423</v>
      </c>
      <c r="H668" s="252">
        <f t="shared" si="21"/>
        <v>-1.8561484918793503E-2</v>
      </c>
    </row>
    <row r="669" spans="2:8" x14ac:dyDescent="0.3">
      <c r="B669" s="440">
        <v>43490</v>
      </c>
      <c r="C669" s="363">
        <v>10780.55</v>
      </c>
      <c r="D669" s="252">
        <f t="shared" si="20"/>
        <v>-6.3826061309886217E-3</v>
      </c>
      <c r="F669" s="440">
        <v>43490</v>
      </c>
      <c r="G669" s="170">
        <v>422.4</v>
      </c>
      <c r="H669" s="252">
        <f t="shared" si="21"/>
        <v>-1.4184397163120588E-3</v>
      </c>
    </row>
    <row r="670" spans="2:8" x14ac:dyDescent="0.3">
      <c r="B670" s="440">
        <v>43493</v>
      </c>
      <c r="C670" s="363">
        <v>10661.55</v>
      </c>
      <c r="D670" s="252">
        <f t="shared" si="20"/>
        <v>-1.1038397855396953E-2</v>
      </c>
      <c r="F670" s="440">
        <v>43493</v>
      </c>
      <c r="G670" s="170">
        <v>411.75</v>
      </c>
      <c r="H670" s="252">
        <f t="shared" si="21"/>
        <v>-2.5213068181818121E-2</v>
      </c>
    </row>
    <row r="671" spans="2:8" x14ac:dyDescent="0.3">
      <c r="B671" s="440">
        <v>43494</v>
      </c>
      <c r="C671" s="363">
        <v>10652.2</v>
      </c>
      <c r="D671" s="252">
        <f t="shared" si="20"/>
        <v>-8.7698317786799596E-4</v>
      </c>
      <c r="F671" s="440">
        <v>43494</v>
      </c>
      <c r="G671" s="170">
        <v>422.4</v>
      </c>
      <c r="H671" s="252">
        <f t="shared" si="21"/>
        <v>2.5865209471766848E-2</v>
      </c>
    </row>
    <row r="672" spans="2:8" x14ac:dyDescent="0.3">
      <c r="B672" s="440">
        <v>43495</v>
      </c>
      <c r="C672" s="363">
        <v>10651.8</v>
      </c>
      <c r="D672" s="252">
        <f t="shared" si="20"/>
        <v>-3.7550928446816734E-5</v>
      </c>
      <c r="F672" s="440">
        <v>43495</v>
      </c>
      <c r="G672" s="170">
        <v>417.95</v>
      </c>
      <c r="H672" s="252">
        <f t="shared" si="21"/>
        <v>-1.0535037878787845E-2</v>
      </c>
    </row>
    <row r="673" spans="2:8" x14ac:dyDescent="0.3">
      <c r="B673" s="440">
        <v>43496</v>
      </c>
      <c r="C673" s="363">
        <v>10830.95</v>
      </c>
      <c r="D673" s="252">
        <f t="shared" si="20"/>
        <v>1.6818753637882988E-2</v>
      </c>
      <c r="F673" s="440">
        <v>43496</v>
      </c>
      <c r="G673" s="170">
        <v>423.45</v>
      </c>
      <c r="H673" s="252">
        <f t="shared" si="21"/>
        <v>1.3159468835985066E-2</v>
      </c>
    </row>
    <row r="674" spans="2:8" x14ac:dyDescent="0.3">
      <c r="B674" s="440">
        <v>43497</v>
      </c>
      <c r="C674" s="363">
        <v>10893.65</v>
      </c>
      <c r="D674" s="252">
        <f t="shared" si="20"/>
        <v>5.7889658801857369E-3</v>
      </c>
      <c r="F674" s="440">
        <v>43497</v>
      </c>
      <c r="G674" s="170">
        <v>423.25</v>
      </c>
      <c r="H674" s="252">
        <f t="shared" si="21"/>
        <v>-4.7231078049358999E-4</v>
      </c>
    </row>
    <row r="675" spans="2:8" x14ac:dyDescent="0.3">
      <c r="B675" s="440">
        <v>43500</v>
      </c>
      <c r="C675" s="363">
        <v>10912.25</v>
      </c>
      <c r="D675" s="252">
        <f t="shared" si="20"/>
        <v>1.7074167060626699E-3</v>
      </c>
      <c r="F675" s="440">
        <v>43500</v>
      </c>
      <c r="G675" s="170">
        <v>414.8</v>
      </c>
      <c r="H675" s="252">
        <f t="shared" si="21"/>
        <v>-1.9964559952746597E-2</v>
      </c>
    </row>
    <row r="676" spans="2:8" x14ac:dyDescent="0.3">
      <c r="B676" s="440">
        <v>43501</v>
      </c>
      <c r="C676" s="363">
        <v>10934.35</v>
      </c>
      <c r="D676" s="252">
        <f t="shared" si="20"/>
        <v>2.0252468555981284E-3</v>
      </c>
      <c r="F676" s="440">
        <v>43501</v>
      </c>
      <c r="G676" s="170">
        <v>409.9</v>
      </c>
      <c r="H676" s="252">
        <f t="shared" si="21"/>
        <v>-1.1812921890067551E-2</v>
      </c>
    </row>
    <row r="677" spans="2:8" x14ac:dyDescent="0.3">
      <c r="B677" s="440">
        <v>43502</v>
      </c>
      <c r="C677" s="363">
        <v>11062.45</v>
      </c>
      <c r="D677" s="252">
        <f t="shared" si="20"/>
        <v>1.1715374027720049E-2</v>
      </c>
      <c r="F677" s="440">
        <v>43502</v>
      </c>
      <c r="G677" s="170">
        <v>416.6</v>
      </c>
      <c r="H677" s="252">
        <f t="shared" si="21"/>
        <v>1.6345450109783055E-2</v>
      </c>
    </row>
    <row r="678" spans="2:8" x14ac:dyDescent="0.3">
      <c r="B678" s="440">
        <v>43503</v>
      </c>
      <c r="C678" s="363">
        <v>11069.4</v>
      </c>
      <c r="D678" s="252">
        <f t="shared" si="20"/>
        <v>6.2825142712497062E-4</v>
      </c>
      <c r="F678" s="440">
        <v>43503</v>
      </c>
      <c r="G678" s="170">
        <v>434.9</v>
      </c>
      <c r="H678" s="252">
        <f t="shared" si="21"/>
        <v>4.392702832453188E-2</v>
      </c>
    </row>
    <row r="679" spans="2:8" x14ac:dyDescent="0.3">
      <c r="B679" s="440">
        <v>43504</v>
      </c>
      <c r="C679" s="363">
        <v>10943.6</v>
      </c>
      <c r="D679" s="252">
        <f t="shared" si="20"/>
        <v>-1.1364662944694293E-2</v>
      </c>
      <c r="F679" s="440">
        <v>43504</v>
      </c>
      <c r="G679" s="170">
        <v>431.05</v>
      </c>
      <c r="H679" s="252">
        <f t="shared" si="21"/>
        <v>-8.8526097953551819E-3</v>
      </c>
    </row>
    <row r="680" spans="2:8" x14ac:dyDescent="0.3">
      <c r="B680" s="440">
        <v>43507</v>
      </c>
      <c r="C680" s="363">
        <v>10888.8</v>
      </c>
      <c r="D680" s="252">
        <f t="shared" si="20"/>
        <v>-5.0074929639242205E-3</v>
      </c>
      <c r="F680" s="440">
        <v>43507</v>
      </c>
      <c r="G680" s="170">
        <v>428.55</v>
      </c>
      <c r="H680" s="252">
        <f t="shared" si="21"/>
        <v>-5.7997912075165026E-3</v>
      </c>
    </row>
    <row r="681" spans="2:8" x14ac:dyDescent="0.3">
      <c r="B681" s="440">
        <v>43508</v>
      </c>
      <c r="C681" s="363">
        <v>10831.4</v>
      </c>
      <c r="D681" s="252">
        <f t="shared" si="20"/>
        <v>-5.2714716038497755E-3</v>
      </c>
      <c r="F681" s="440">
        <v>43508</v>
      </c>
      <c r="G681" s="170">
        <v>436.6</v>
      </c>
      <c r="H681" s="252">
        <f t="shared" si="21"/>
        <v>1.878427254696069E-2</v>
      </c>
    </row>
    <row r="682" spans="2:8" x14ac:dyDescent="0.3">
      <c r="B682" s="440">
        <v>43509</v>
      </c>
      <c r="C682" s="363">
        <v>10793.65</v>
      </c>
      <c r="D682" s="252">
        <f t="shared" si="20"/>
        <v>-3.485237365437488E-3</v>
      </c>
      <c r="F682" s="440">
        <v>43509</v>
      </c>
      <c r="G682" s="170">
        <v>431.25</v>
      </c>
      <c r="H682" s="252">
        <f t="shared" si="21"/>
        <v>-1.2253779202931803E-2</v>
      </c>
    </row>
    <row r="683" spans="2:8" x14ac:dyDescent="0.3">
      <c r="B683" s="440">
        <v>43510</v>
      </c>
      <c r="C683" s="363">
        <v>10746.05</v>
      </c>
      <c r="D683" s="252">
        <f t="shared" si="20"/>
        <v>-4.4100003242647512E-3</v>
      </c>
      <c r="F683" s="440">
        <v>43510</v>
      </c>
      <c r="G683" s="170">
        <v>440.9</v>
      </c>
      <c r="H683" s="252">
        <f t="shared" si="21"/>
        <v>2.2376811594202906E-2</v>
      </c>
    </row>
    <row r="684" spans="2:8" x14ac:dyDescent="0.3">
      <c r="B684" s="440">
        <v>43511</v>
      </c>
      <c r="C684" s="363">
        <v>10724.4</v>
      </c>
      <c r="D684" s="252">
        <f t="shared" si="20"/>
        <v>-2.0146937711996715E-3</v>
      </c>
      <c r="F684" s="440">
        <v>43511</v>
      </c>
      <c r="G684" s="170">
        <v>422.9</v>
      </c>
      <c r="H684" s="252">
        <f t="shared" si="21"/>
        <v>-4.0825584032660456E-2</v>
      </c>
    </row>
    <row r="685" spans="2:8" x14ac:dyDescent="0.3">
      <c r="B685" s="440">
        <v>43514</v>
      </c>
      <c r="C685" s="363">
        <v>10640.95</v>
      </c>
      <c r="D685" s="252">
        <f t="shared" si="20"/>
        <v>-7.7813210995485438E-3</v>
      </c>
      <c r="F685" s="440">
        <v>43514</v>
      </c>
      <c r="G685" s="170">
        <v>414.65</v>
      </c>
      <c r="H685" s="252">
        <f t="shared" si="21"/>
        <v>-1.9508157956963812E-2</v>
      </c>
    </row>
    <row r="686" spans="2:8" x14ac:dyDescent="0.3">
      <c r="B686" s="440">
        <v>43515</v>
      </c>
      <c r="C686" s="363">
        <v>10604.35</v>
      </c>
      <c r="D686" s="252">
        <f t="shared" si="20"/>
        <v>-3.4395425220492548E-3</v>
      </c>
      <c r="F686" s="440">
        <v>43515</v>
      </c>
      <c r="G686" s="170">
        <v>413.65</v>
      </c>
      <c r="H686" s="252">
        <f t="shared" si="21"/>
        <v>-2.4116724948751722E-3</v>
      </c>
    </row>
    <row r="687" spans="2:8" x14ac:dyDescent="0.3">
      <c r="B687" s="440">
        <v>43516</v>
      </c>
      <c r="C687" s="363">
        <v>10735.45</v>
      </c>
      <c r="D687" s="252">
        <f t="shared" si="20"/>
        <v>1.2362851094126492E-2</v>
      </c>
      <c r="F687" s="440">
        <v>43516</v>
      </c>
      <c r="G687" s="170">
        <v>422.35</v>
      </c>
      <c r="H687" s="252">
        <f t="shared" si="21"/>
        <v>2.1032273661307999E-2</v>
      </c>
    </row>
    <row r="688" spans="2:8" x14ac:dyDescent="0.3">
      <c r="B688" s="440">
        <v>43517</v>
      </c>
      <c r="C688" s="363">
        <v>10789.85</v>
      </c>
      <c r="D688" s="252">
        <f t="shared" si="20"/>
        <v>5.0673236799574362E-3</v>
      </c>
      <c r="F688" s="440">
        <v>43517</v>
      </c>
      <c r="G688" s="170">
        <v>429.7</v>
      </c>
      <c r="H688" s="252">
        <f t="shared" si="21"/>
        <v>1.740262815200655E-2</v>
      </c>
    </row>
    <row r="689" spans="2:8" x14ac:dyDescent="0.3">
      <c r="B689" s="440">
        <v>43518</v>
      </c>
      <c r="C689" s="363">
        <v>10791.65</v>
      </c>
      <c r="D689" s="252">
        <f t="shared" si="20"/>
        <v>1.6682344981622244E-4</v>
      </c>
      <c r="F689" s="440">
        <v>43518</v>
      </c>
      <c r="G689" s="170">
        <v>430.5</v>
      </c>
      <c r="H689" s="252">
        <f t="shared" si="21"/>
        <v>1.8617640214102504E-3</v>
      </c>
    </row>
    <row r="690" spans="2:8" x14ac:dyDescent="0.3">
      <c r="B690" s="440">
        <v>43521</v>
      </c>
      <c r="C690" s="363">
        <v>10880.1</v>
      </c>
      <c r="D690" s="252">
        <f t="shared" si="20"/>
        <v>8.1961516542883306E-3</v>
      </c>
      <c r="F690" s="440">
        <v>43521</v>
      </c>
      <c r="G690" s="170">
        <v>436.1</v>
      </c>
      <c r="H690" s="252">
        <f t="shared" si="21"/>
        <v>1.3008130081300973E-2</v>
      </c>
    </row>
    <row r="691" spans="2:8" x14ac:dyDescent="0.3">
      <c r="B691" s="440">
        <v>43522</v>
      </c>
      <c r="C691" s="363">
        <v>10835.3</v>
      </c>
      <c r="D691" s="252">
        <f t="shared" si="20"/>
        <v>-4.1176092131507414E-3</v>
      </c>
      <c r="F691" s="440">
        <v>43522</v>
      </c>
      <c r="G691" s="170">
        <v>435.75</v>
      </c>
      <c r="H691" s="252">
        <f t="shared" si="21"/>
        <v>-8.0256821829860492E-4</v>
      </c>
    </row>
    <row r="692" spans="2:8" x14ac:dyDescent="0.3">
      <c r="B692" s="440">
        <v>43523</v>
      </c>
      <c r="C692" s="363">
        <v>10806.65</v>
      </c>
      <c r="D692" s="252">
        <f t="shared" si="20"/>
        <v>-2.6441353723477556E-3</v>
      </c>
      <c r="F692" s="440">
        <v>43523</v>
      </c>
      <c r="G692" s="170">
        <v>442.7</v>
      </c>
      <c r="H692" s="252">
        <f t="shared" si="21"/>
        <v>1.5949512335054372E-2</v>
      </c>
    </row>
    <row r="693" spans="2:8" x14ac:dyDescent="0.3">
      <c r="B693" s="440">
        <v>43524</v>
      </c>
      <c r="C693" s="363">
        <v>10792.5</v>
      </c>
      <c r="D693" s="252">
        <f t="shared" si="20"/>
        <v>-1.3093789472222728E-3</v>
      </c>
      <c r="F693" s="440">
        <v>43524</v>
      </c>
      <c r="G693" s="170">
        <v>445.15</v>
      </c>
      <c r="H693" s="252">
        <f t="shared" si="21"/>
        <v>5.5342218206460014E-3</v>
      </c>
    </row>
    <row r="694" spans="2:8" x14ac:dyDescent="0.3">
      <c r="B694" s="440">
        <v>43525</v>
      </c>
      <c r="C694" s="363">
        <v>10863.5</v>
      </c>
      <c r="D694" s="252">
        <f t="shared" si="20"/>
        <v>6.5786425758629363E-3</v>
      </c>
      <c r="F694" s="440">
        <v>43525</v>
      </c>
      <c r="G694" s="170">
        <v>447.35</v>
      </c>
      <c r="H694" s="252">
        <f t="shared" si="21"/>
        <v>4.9421543300012249E-3</v>
      </c>
    </row>
    <row r="695" spans="2:8" x14ac:dyDescent="0.3">
      <c r="B695" s="440">
        <v>43529</v>
      </c>
      <c r="C695" s="363">
        <v>10987.45</v>
      </c>
      <c r="D695" s="252">
        <f t="shared" si="20"/>
        <v>1.1409766649790543E-2</v>
      </c>
      <c r="F695" s="440">
        <v>43529</v>
      </c>
      <c r="G695" s="170">
        <v>455.9</v>
      </c>
      <c r="H695" s="252">
        <f t="shared" si="21"/>
        <v>1.9112551693304836E-2</v>
      </c>
    </row>
    <row r="696" spans="2:8" x14ac:dyDescent="0.3">
      <c r="B696" s="440">
        <v>43530</v>
      </c>
      <c r="C696" s="363">
        <v>11053</v>
      </c>
      <c r="D696" s="252">
        <f t="shared" si="20"/>
        <v>5.9658974557335043E-3</v>
      </c>
      <c r="F696" s="440">
        <v>43530</v>
      </c>
      <c r="G696" s="170">
        <v>460.55</v>
      </c>
      <c r="H696" s="252">
        <f t="shared" si="21"/>
        <v>1.0199605176573812E-2</v>
      </c>
    </row>
    <row r="697" spans="2:8" x14ac:dyDescent="0.3">
      <c r="B697" s="440">
        <v>43531</v>
      </c>
      <c r="C697" s="363">
        <v>11058.2</v>
      </c>
      <c r="D697" s="252">
        <f t="shared" si="20"/>
        <v>4.7046050845933607E-4</v>
      </c>
      <c r="F697" s="440">
        <v>43531</v>
      </c>
      <c r="G697" s="170">
        <v>450.9</v>
      </c>
      <c r="H697" s="252">
        <f t="shared" si="21"/>
        <v>-2.095320812072532E-2</v>
      </c>
    </row>
    <row r="698" spans="2:8" x14ac:dyDescent="0.3">
      <c r="B698" s="440">
        <v>43532</v>
      </c>
      <c r="C698" s="363">
        <v>11035.4</v>
      </c>
      <c r="D698" s="252">
        <f t="shared" si="20"/>
        <v>-2.0618183791214495E-3</v>
      </c>
      <c r="F698" s="440">
        <v>43532</v>
      </c>
      <c r="G698" s="170">
        <v>454.95</v>
      </c>
      <c r="H698" s="252">
        <f t="shared" si="21"/>
        <v>8.9820359281438389E-3</v>
      </c>
    </row>
    <row r="699" spans="2:8" x14ac:dyDescent="0.3">
      <c r="B699" s="440">
        <v>43535</v>
      </c>
      <c r="C699" s="363">
        <v>11168.05</v>
      </c>
      <c r="D699" s="252">
        <f t="shared" si="20"/>
        <v>1.2020407053663584E-2</v>
      </c>
      <c r="F699" s="440">
        <v>43535</v>
      </c>
      <c r="G699" s="170">
        <v>459.45</v>
      </c>
      <c r="H699" s="252">
        <f t="shared" si="21"/>
        <v>9.8911968348169843E-3</v>
      </c>
    </row>
    <row r="700" spans="2:8" x14ac:dyDescent="0.3">
      <c r="B700" s="440">
        <v>43536</v>
      </c>
      <c r="C700" s="363">
        <v>11301.2</v>
      </c>
      <c r="D700" s="252">
        <f t="shared" si="20"/>
        <v>1.1922403642534052E-2</v>
      </c>
      <c r="F700" s="440">
        <v>43536</v>
      </c>
      <c r="G700" s="170">
        <v>470.3</v>
      </c>
      <c r="H700" s="252">
        <f t="shared" si="21"/>
        <v>2.3615192077484082E-2</v>
      </c>
    </row>
    <row r="701" spans="2:8" x14ac:dyDescent="0.3">
      <c r="B701" s="440">
        <v>43537</v>
      </c>
      <c r="C701" s="363">
        <v>11341.7</v>
      </c>
      <c r="D701" s="252">
        <f t="shared" si="20"/>
        <v>3.5836902275865334E-3</v>
      </c>
      <c r="F701" s="440">
        <v>43537</v>
      </c>
      <c r="G701" s="170">
        <v>456.5</v>
      </c>
      <c r="H701" s="252">
        <f t="shared" si="21"/>
        <v>-2.9342972570699621E-2</v>
      </c>
    </row>
    <row r="702" spans="2:8" x14ac:dyDescent="0.3">
      <c r="B702" s="440">
        <v>43538</v>
      </c>
      <c r="C702" s="363">
        <v>11343.25</v>
      </c>
      <c r="D702" s="252">
        <f t="shared" si="20"/>
        <v>1.3666381582999598E-4</v>
      </c>
      <c r="F702" s="440">
        <v>43538</v>
      </c>
      <c r="G702" s="170">
        <v>466.15</v>
      </c>
      <c r="H702" s="252">
        <f t="shared" si="21"/>
        <v>2.1139101861993304E-2</v>
      </c>
    </row>
    <row r="703" spans="2:8" x14ac:dyDescent="0.3">
      <c r="B703" s="440">
        <v>43539</v>
      </c>
      <c r="C703" s="363">
        <v>11426.85</v>
      </c>
      <c r="D703" s="252">
        <f t="shared" si="20"/>
        <v>7.3700218191434796E-3</v>
      </c>
      <c r="F703" s="440">
        <v>43539</v>
      </c>
      <c r="G703" s="170">
        <v>464.35</v>
      </c>
      <c r="H703" s="252">
        <f t="shared" si="21"/>
        <v>-3.8614179984982622E-3</v>
      </c>
    </row>
    <row r="704" spans="2:8" x14ac:dyDescent="0.3">
      <c r="B704" s="440">
        <v>43542</v>
      </c>
      <c r="C704" s="363">
        <v>11462.2</v>
      </c>
      <c r="D704" s="252">
        <f t="shared" si="20"/>
        <v>3.0935909721401256E-3</v>
      </c>
      <c r="F704" s="440">
        <v>43542</v>
      </c>
      <c r="G704" s="170">
        <v>465.65</v>
      </c>
      <c r="H704" s="252">
        <f t="shared" si="21"/>
        <v>2.7996123613651669E-3</v>
      </c>
    </row>
    <row r="705" spans="2:8" x14ac:dyDescent="0.3">
      <c r="B705" s="440">
        <v>43543</v>
      </c>
      <c r="C705" s="363">
        <v>11532.4</v>
      </c>
      <c r="D705" s="252">
        <f t="shared" si="20"/>
        <v>6.1244787213623475E-3</v>
      </c>
      <c r="F705" s="440">
        <v>43543</v>
      </c>
      <c r="G705" s="170">
        <v>468.95</v>
      </c>
      <c r="H705" s="252">
        <f t="shared" si="21"/>
        <v>7.0868678191775558E-3</v>
      </c>
    </row>
    <row r="706" spans="2:8" x14ac:dyDescent="0.3">
      <c r="B706" s="440">
        <v>43544</v>
      </c>
      <c r="C706" s="363">
        <v>11521.05</v>
      </c>
      <c r="D706" s="252">
        <f t="shared" si="20"/>
        <v>-9.8418369116581861E-4</v>
      </c>
      <c r="F706" s="440">
        <v>43544</v>
      </c>
      <c r="G706" s="170">
        <v>474.75</v>
      </c>
      <c r="H706" s="252">
        <f t="shared" si="21"/>
        <v>1.2368056295980479E-2</v>
      </c>
    </row>
    <row r="707" spans="2:8" x14ac:dyDescent="0.3">
      <c r="B707" s="440">
        <v>43546</v>
      </c>
      <c r="C707" s="363">
        <v>11456.9</v>
      </c>
      <c r="D707" s="252">
        <f t="shared" si="20"/>
        <v>-5.5680688826105218E-3</v>
      </c>
      <c r="F707" s="440">
        <v>43546</v>
      </c>
      <c r="G707" s="170">
        <v>473.25</v>
      </c>
      <c r="H707" s="252">
        <f t="shared" si="21"/>
        <v>-3.1595576619273258E-3</v>
      </c>
    </row>
    <row r="708" spans="2:8" x14ac:dyDescent="0.3">
      <c r="B708" s="440">
        <v>43549</v>
      </c>
      <c r="C708" s="363">
        <v>11354.25</v>
      </c>
      <c r="D708" s="252">
        <f t="shared" si="20"/>
        <v>-8.9596662273389027E-3</v>
      </c>
      <c r="F708" s="440">
        <v>43549</v>
      </c>
      <c r="G708" s="170">
        <v>464.65</v>
      </c>
      <c r="H708" s="252">
        <f t="shared" si="21"/>
        <v>-1.8172213417855354E-2</v>
      </c>
    </row>
    <row r="709" spans="2:8" x14ac:dyDescent="0.3">
      <c r="B709" s="440">
        <v>43550</v>
      </c>
      <c r="C709" s="363">
        <v>11483.25</v>
      </c>
      <c r="D709" s="252">
        <f t="shared" si="20"/>
        <v>1.1361384503600025E-2</v>
      </c>
      <c r="F709" s="440">
        <v>43550</v>
      </c>
      <c r="G709" s="170">
        <v>469.8</v>
      </c>
      <c r="H709" s="252">
        <f t="shared" si="21"/>
        <v>1.1083611320348741E-2</v>
      </c>
    </row>
    <row r="710" spans="2:8" x14ac:dyDescent="0.3">
      <c r="B710" s="440">
        <v>43551</v>
      </c>
      <c r="C710" s="363">
        <v>11445.05</v>
      </c>
      <c r="D710" s="252">
        <f t="shared" si="20"/>
        <v>-3.3265843728910172E-3</v>
      </c>
      <c r="F710" s="440">
        <v>43551</v>
      </c>
      <c r="G710" s="170">
        <v>464.85</v>
      </c>
      <c r="H710" s="252">
        <f t="shared" si="21"/>
        <v>-1.0536398467432928E-2</v>
      </c>
    </row>
    <row r="711" spans="2:8" x14ac:dyDescent="0.3">
      <c r="B711" s="440">
        <v>43552</v>
      </c>
      <c r="C711" s="363">
        <v>11570</v>
      </c>
      <c r="D711" s="252">
        <f t="shared" si="20"/>
        <v>1.0917383497669464E-2</v>
      </c>
      <c r="F711" s="440">
        <v>43552</v>
      </c>
      <c r="G711" s="170">
        <v>475.45</v>
      </c>
      <c r="H711" s="252">
        <f t="shared" si="21"/>
        <v>2.2803054748843588E-2</v>
      </c>
    </row>
    <row r="712" spans="2:8" x14ac:dyDescent="0.3">
      <c r="B712" s="440">
        <v>43553</v>
      </c>
      <c r="C712" s="363">
        <v>11623.9</v>
      </c>
      <c r="D712" s="252">
        <f t="shared" si="20"/>
        <v>4.6585998271391205E-3</v>
      </c>
      <c r="F712" s="440">
        <v>43553</v>
      </c>
      <c r="G712" s="170">
        <v>478.85</v>
      </c>
      <c r="H712" s="252">
        <f t="shared" si="21"/>
        <v>7.1511199915870183E-3</v>
      </c>
    </row>
    <row r="713" spans="2:8" x14ac:dyDescent="0.3">
      <c r="B713" s="440">
        <v>43556</v>
      </c>
      <c r="C713" s="363">
        <v>11669.15</v>
      </c>
      <c r="D713" s="252">
        <f t="shared" si="20"/>
        <v>3.8928414731715932E-3</v>
      </c>
      <c r="F713" s="440">
        <v>43556</v>
      </c>
      <c r="G713" s="170">
        <v>478.85</v>
      </c>
      <c r="H713" s="252">
        <f t="shared" si="21"/>
        <v>0</v>
      </c>
    </row>
    <row r="714" spans="2:8" x14ac:dyDescent="0.3">
      <c r="B714" s="440">
        <v>43557</v>
      </c>
      <c r="C714" s="363">
        <v>11713.2</v>
      </c>
      <c r="D714" s="252">
        <f t="shared" si="20"/>
        <v>3.7749107689935002E-3</v>
      </c>
      <c r="F714" s="440">
        <v>43557</v>
      </c>
      <c r="G714" s="170">
        <v>469.7</v>
      </c>
      <c r="H714" s="252">
        <f t="shared" si="21"/>
        <v>-1.9108280254777177E-2</v>
      </c>
    </row>
    <row r="715" spans="2:8" x14ac:dyDescent="0.3">
      <c r="B715" s="440">
        <v>43558</v>
      </c>
      <c r="C715" s="363">
        <v>11643.95</v>
      </c>
      <c r="D715" s="252">
        <f t="shared" ref="D715:D778" si="22">C715/C714-1</f>
        <v>-5.9121333196735515E-3</v>
      </c>
      <c r="F715" s="440">
        <v>43558</v>
      </c>
      <c r="G715" s="170">
        <v>462</v>
      </c>
      <c r="H715" s="252">
        <f t="shared" ref="H715:H778" si="23">G715/G714-1</f>
        <v>-1.6393442622950838E-2</v>
      </c>
    </row>
    <row r="716" spans="2:8" x14ac:dyDescent="0.3">
      <c r="B716" s="440">
        <v>43559</v>
      </c>
      <c r="C716" s="363">
        <v>11598</v>
      </c>
      <c r="D716" s="252">
        <f t="shared" si="22"/>
        <v>-3.9462553514916232E-3</v>
      </c>
      <c r="F716" s="440">
        <v>43559</v>
      </c>
      <c r="G716" s="170">
        <v>465.6</v>
      </c>
      <c r="H716" s="252">
        <f t="shared" si="23"/>
        <v>7.7922077922079058E-3</v>
      </c>
    </row>
    <row r="717" spans="2:8" x14ac:dyDescent="0.3">
      <c r="B717" s="440">
        <v>43560</v>
      </c>
      <c r="C717" s="363">
        <v>11665.95</v>
      </c>
      <c r="D717" s="252">
        <f t="shared" si="22"/>
        <v>5.8587687532334343E-3</v>
      </c>
      <c r="F717" s="440">
        <v>43560</v>
      </c>
      <c r="G717" s="170">
        <v>463.15</v>
      </c>
      <c r="H717" s="252">
        <f t="shared" si="23"/>
        <v>-5.262027491409027E-3</v>
      </c>
    </row>
    <row r="718" spans="2:8" x14ac:dyDescent="0.3">
      <c r="B718" s="440">
        <v>43563</v>
      </c>
      <c r="C718" s="363">
        <v>11604.5</v>
      </c>
      <c r="D718" s="252">
        <f t="shared" si="22"/>
        <v>-5.2674664300808027E-3</v>
      </c>
      <c r="F718" s="440">
        <v>43563</v>
      </c>
      <c r="G718" s="170">
        <v>462.45</v>
      </c>
      <c r="H718" s="252">
        <f t="shared" si="23"/>
        <v>-1.5113893986828941E-3</v>
      </c>
    </row>
    <row r="719" spans="2:8" x14ac:dyDescent="0.3">
      <c r="B719" s="440">
        <v>43564</v>
      </c>
      <c r="C719" s="363">
        <v>11671.95</v>
      </c>
      <c r="D719" s="252">
        <f t="shared" si="22"/>
        <v>5.8124003619286491E-3</v>
      </c>
      <c r="F719" s="440">
        <v>43564</v>
      </c>
      <c r="G719" s="170">
        <v>470.95</v>
      </c>
      <c r="H719" s="252">
        <f t="shared" si="23"/>
        <v>1.838036544491306E-2</v>
      </c>
    </row>
    <row r="720" spans="2:8" x14ac:dyDescent="0.3">
      <c r="B720" s="440">
        <v>43565</v>
      </c>
      <c r="C720" s="363">
        <v>11584.3</v>
      </c>
      <c r="D720" s="252">
        <f t="shared" si="22"/>
        <v>-7.5094564318731738E-3</v>
      </c>
      <c r="F720" s="440">
        <v>43565</v>
      </c>
      <c r="G720" s="170">
        <v>471.95</v>
      </c>
      <c r="H720" s="252">
        <f t="shared" si="23"/>
        <v>2.1233676611105423E-3</v>
      </c>
    </row>
    <row r="721" spans="2:8" x14ac:dyDescent="0.3">
      <c r="B721" s="440">
        <v>43566</v>
      </c>
      <c r="C721" s="363">
        <v>11596.7</v>
      </c>
      <c r="D721" s="252">
        <f t="shared" si="22"/>
        <v>1.0704142675863615E-3</v>
      </c>
      <c r="F721" s="440">
        <v>43566</v>
      </c>
      <c r="G721" s="170">
        <v>465.55</v>
      </c>
      <c r="H721" s="252">
        <f t="shared" si="23"/>
        <v>-1.3560758554931662E-2</v>
      </c>
    </row>
    <row r="722" spans="2:8" x14ac:dyDescent="0.3">
      <c r="B722" s="440">
        <v>43567</v>
      </c>
      <c r="C722" s="363">
        <v>11643.45</v>
      </c>
      <c r="D722" s="252">
        <f t="shared" si="22"/>
        <v>4.0313192546155285E-3</v>
      </c>
      <c r="F722" s="440">
        <v>43567</v>
      </c>
      <c r="G722" s="170">
        <v>465.05</v>
      </c>
      <c r="H722" s="252">
        <f t="shared" si="23"/>
        <v>-1.0739984964021065E-3</v>
      </c>
    </row>
    <row r="723" spans="2:8" x14ac:dyDescent="0.3">
      <c r="B723" s="440">
        <v>43570</v>
      </c>
      <c r="C723" s="363">
        <v>11690.35</v>
      </c>
      <c r="D723" s="252">
        <f t="shared" si="22"/>
        <v>4.0280157513450376E-3</v>
      </c>
      <c r="F723" s="440">
        <v>43570</v>
      </c>
      <c r="G723" s="170">
        <v>458.65</v>
      </c>
      <c r="H723" s="252">
        <f t="shared" si="23"/>
        <v>-1.3761961079453933E-2</v>
      </c>
    </row>
    <row r="724" spans="2:8" x14ac:dyDescent="0.3">
      <c r="B724" s="440">
        <v>43571</v>
      </c>
      <c r="C724" s="363">
        <v>11787.15</v>
      </c>
      <c r="D724" s="252">
        <f t="shared" si="22"/>
        <v>8.2803337795702703E-3</v>
      </c>
      <c r="F724" s="440">
        <v>43571</v>
      </c>
      <c r="G724" s="170">
        <v>462.55</v>
      </c>
      <c r="H724" s="252">
        <f t="shared" si="23"/>
        <v>8.5032159598823487E-3</v>
      </c>
    </row>
    <row r="725" spans="2:8" x14ac:dyDescent="0.3">
      <c r="B725" s="440">
        <v>43573</v>
      </c>
      <c r="C725" s="363">
        <v>11752.8</v>
      </c>
      <c r="D725" s="252">
        <f t="shared" si="22"/>
        <v>-2.9141904531629903E-3</v>
      </c>
      <c r="F725" s="440">
        <v>43573</v>
      </c>
      <c r="G725" s="170">
        <v>463.2</v>
      </c>
      <c r="H725" s="252">
        <f t="shared" si="23"/>
        <v>1.4052534861095367E-3</v>
      </c>
    </row>
    <row r="726" spans="2:8" x14ac:dyDescent="0.3">
      <c r="B726" s="440">
        <v>43577</v>
      </c>
      <c r="C726" s="363">
        <v>11594.45</v>
      </c>
      <c r="D726" s="252">
        <f t="shared" si="22"/>
        <v>-1.3473385065686405E-2</v>
      </c>
      <c r="F726" s="440">
        <v>43577</v>
      </c>
      <c r="G726" s="170">
        <v>454.5</v>
      </c>
      <c r="H726" s="252">
        <f t="shared" si="23"/>
        <v>-1.8782383419689075E-2</v>
      </c>
    </row>
    <row r="727" spans="2:8" x14ac:dyDescent="0.3">
      <c r="B727" s="440">
        <v>43578</v>
      </c>
      <c r="C727" s="363">
        <v>11575.95</v>
      </c>
      <c r="D727" s="252">
        <f t="shared" si="22"/>
        <v>-1.5955909939668889E-3</v>
      </c>
      <c r="F727" s="440">
        <v>43578</v>
      </c>
      <c r="G727" s="170">
        <v>468.55</v>
      </c>
      <c r="H727" s="252">
        <f t="shared" si="23"/>
        <v>3.0913091309130891E-2</v>
      </c>
    </row>
    <row r="728" spans="2:8" x14ac:dyDescent="0.3">
      <c r="B728" s="440">
        <v>43579</v>
      </c>
      <c r="C728" s="363">
        <v>11726.15</v>
      </c>
      <c r="D728" s="252">
        <f t="shared" si="22"/>
        <v>1.2975176983314407E-2</v>
      </c>
      <c r="F728" s="440">
        <v>43579</v>
      </c>
      <c r="G728" s="170">
        <v>469.35</v>
      </c>
      <c r="H728" s="252">
        <f t="shared" si="23"/>
        <v>1.7073951552661892E-3</v>
      </c>
    </row>
    <row r="729" spans="2:8" x14ac:dyDescent="0.3">
      <c r="B729" s="440">
        <v>43580</v>
      </c>
      <c r="C729" s="363">
        <v>11641.8</v>
      </c>
      <c r="D729" s="252">
        <f t="shared" si="22"/>
        <v>-7.1933243221347087E-3</v>
      </c>
      <c r="F729" s="440">
        <v>43580</v>
      </c>
      <c r="G729" s="170">
        <v>461</v>
      </c>
      <c r="H729" s="252">
        <f t="shared" si="23"/>
        <v>-1.7790561414722572E-2</v>
      </c>
    </row>
    <row r="730" spans="2:8" x14ac:dyDescent="0.3">
      <c r="B730" s="440">
        <v>43581</v>
      </c>
      <c r="C730" s="363">
        <v>11754.65</v>
      </c>
      <c r="D730" s="252">
        <f t="shared" si="22"/>
        <v>9.6935181844732821E-3</v>
      </c>
      <c r="F730" s="440">
        <v>43581</v>
      </c>
      <c r="G730" s="170">
        <v>464.1</v>
      </c>
      <c r="H730" s="252">
        <f t="shared" si="23"/>
        <v>6.7245119305856527E-3</v>
      </c>
    </row>
    <row r="731" spans="2:8" x14ac:dyDescent="0.3">
      <c r="B731" s="440">
        <v>43585</v>
      </c>
      <c r="C731" s="363">
        <v>11748.15</v>
      </c>
      <c r="D731" s="252">
        <f t="shared" si="22"/>
        <v>-5.5297265337550527E-4</v>
      </c>
      <c r="F731" s="440">
        <v>43585</v>
      </c>
      <c r="G731" s="170">
        <v>457.65</v>
      </c>
      <c r="H731" s="252">
        <f t="shared" si="23"/>
        <v>-1.3897866839043371E-2</v>
      </c>
    </row>
    <row r="732" spans="2:8" x14ac:dyDescent="0.3">
      <c r="B732" s="440">
        <v>43587</v>
      </c>
      <c r="C732" s="363">
        <v>11724.75</v>
      </c>
      <c r="D732" s="252">
        <f t="shared" si="22"/>
        <v>-1.9918029647221225E-3</v>
      </c>
      <c r="F732" s="440">
        <v>43587</v>
      </c>
      <c r="G732" s="170">
        <v>452.2</v>
      </c>
      <c r="H732" s="252">
        <f t="shared" si="23"/>
        <v>-1.1908663826067922E-2</v>
      </c>
    </row>
    <row r="733" spans="2:8" x14ac:dyDescent="0.3">
      <c r="B733" s="440">
        <v>43588</v>
      </c>
      <c r="C733" s="363">
        <v>11712.25</v>
      </c>
      <c r="D733" s="252">
        <f t="shared" si="22"/>
        <v>-1.0661208128105448E-3</v>
      </c>
      <c r="F733" s="440">
        <v>43588</v>
      </c>
      <c r="G733" s="170">
        <v>453.25</v>
      </c>
      <c r="H733" s="252">
        <f t="shared" si="23"/>
        <v>2.3219814241486336E-3</v>
      </c>
    </row>
    <row r="734" spans="2:8" x14ac:dyDescent="0.3">
      <c r="B734" s="440">
        <v>43591</v>
      </c>
      <c r="C734" s="363">
        <v>11598.25</v>
      </c>
      <c r="D734" s="252">
        <f t="shared" si="22"/>
        <v>-9.7333987918631903E-3</v>
      </c>
      <c r="F734" s="440">
        <v>43591</v>
      </c>
      <c r="G734" s="170">
        <v>453.15</v>
      </c>
      <c r="H734" s="252">
        <f t="shared" si="23"/>
        <v>-2.2062879205742014E-4</v>
      </c>
    </row>
    <row r="735" spans="2:8" x14ac:dyDescent="0.3">
      <c r="B735" s="440">
        <v>43592</v>
      </c>
      <c r="C735" s="363">
        <v>11497.9</v>
      </c>
      <c r="D735" s="252">
        <f t="shared" si="22"/>
        <v>-8.652167352833473E-3</v>
      </c>
      <c r="F735" s="440">
        <v>43592</v>
      </c>
      <c r="G735" s="170">
        <v>448.2</v>
      </c>
      <c r="H735" s="252">
        <f t="shared" si="23"/>
        <v>-1.0923535253227423E-2</v>
      </c>
    </row>
    <row r="736" spans="2:8" x14ac:dyDescent="0.3">
      <c r="B736" s="440">
        <v>43593</v>
      </c>
      <c r="C736" s="363">
        <v>11359.45</v>
      </c>
      <c r="D736" s="252">
        <f t="shared" si="22"/>
        <v>-1.2041329286217373E-2</v>
      </c>
      <c r="F736" s="440">
        <v>43593</v>
      </c>
      <c r="G736" s="170">
        <v>439.15</v>
      </c>
      <c r="H736" s="252">
        <f t="shared" si="23"/>
        <v>-2.0191878625613557E-2</v>
      </c>
    </row>
    <row r="737" spans="2:8" x14ac:dyDescent="0.3">
      <c r="B737" s="440">
        <v>43594</v>
      </c>
      <c r="C737" s="363">
        <v>11301.8</v>
      </c>
      <c r="D737" s="252">
        <f t="shared" si="22"/>
        <v>-5.0750696556612906E-3</v>
      </c>
      <c r="F737" s="440">
        <v>43594</v>
      </c>
      <c r="G737" s="170">
        <v>439.35</v>
      </c>
      <c r="H737" s="252">
        <f t="shared" si="23"/>
        <v>4.554252533304215E-4</v>
      </c>
    </row>
    <row r="738" spans="2:8" x14ac:dyDescent="0.3">
      <c r="B738" s="440">
        <v>43595</v>
      </c>
      <c r="C738" s="363">
        <v>11278.9</v>
      </c>
      <c r="D738" s="252">
        <f t="shared" si="22"/>
        <v>-2.0262259109168346E-3</v>
      </c>
      <c r="F738" s="440">
        <v>43595</v>
      </c>
      <c r="G738" s="170">
        <v>437.75</v>
      </c>
      <c r="H738" s="252">
        <f t="shared" si="23"/>
        <v>-3.6417434846933716E-3</v>
      </c>
    </row>
    <row r="739" spans="2:8" x14ac:dyDescent="0.3">
      <c r="B739" s="440">
        <v>43598</v>
      </c>
      <c r="C739" s="363">
        <v>11148.2</v>
      </c>
      <c r="D739" s="252">
        <f t="shared" si="22"/>
        <v>-1.1588009469008398E-2</v>
      </c>
      <c r="F739" s="440">
        <v>43598</v>
      </c>
      <c r="G739" s="170">
        <v>398.1</v>
      </c>
      <c r="H739" s="252">
        <f t="shared" si="23"/>
        <v>-9.0576813249571675E-2</v>
      </c>
    </row>
    <row r="740" spans="2:8" x14ac:dyDescent="0.3">
      <c r="B740" s="440">
        <v>43599</v>
      </c>
      <c r="C740" s="363">
        <v>11222.05</v>
      </c>
      <c r="D740" s="252">
        <f t="shared" si="22"/>
        <v>6.6243877935450168E-3</v>
      </c>
      <c r="F740" s="440">
        <v>43599</v>
      </c>
      <c r="G740" s="170">
        <v>419.45</v>
      </c>
      <c r="H740" s="252">
        <f t="shared" si="23"/>
        <v>5.3629741271037368E-2</v>
      </c>
    </row>
    <row r="741" spans="2:8" x14ac:dyDescent="0.3">
      <c r="B741" s="440">
        <v>43600</v>
      </c>
      <c r="C741" s="363">
        <v>11157</v>
      </c>
      <c r="D741" s="252">
        <f t="shared" si="22"/>
        <v>-5.7966236115504222E-3</v>
      </c>
      <c r="F741" s="440">
        <v>43600</v>
      </c>
      <c r="G741" s="170">
        <v>409.75</v>
      </c>
      <c r="H741" s="252">
        <f t="shared" si="23"/>
        <v>-2.312552151627123E-2</v>
      </c>
    </row>
    <row r="742" spans="2:8" x14ac:dyDescent="0.3">
      <c r="B742" s="440">
        <v>43601</v>
      </c>
      <c r="C742" s="363">
        <v>11257.1</v>
      </c>
      <c r="D742" s="252">
        <f t="shared" si="22"/>
        <v>8.9719458635835192E-3</v>
      </c>
      <c r="F742" s="440">
        <v>43601</v>
      </c>
      <c r="G742" s="170">
        <v>412.4</v>
      </c>
      <c r="H742" s="252">
        <f t="shared" si="23"/>
        <v>6.4673581452103779E-3</v>
      </c>
    </row>
    <row r="743" spans="2:8" x14ac:dyDescent="0.3">
      <c r="B743" s="440">
        <v>43602</v>
      </c>
      <c r="C743" s="363">
        <v>11407.15</v>
      </c>
      <c r="D743" s="252">
        <f t="shared" si="22"/>
        <v>1.3329365467127374E-2</v>
      </c>
      <c r="F743" s="440">
        <v>43602</v>
      </c>
      <c r="G743" s="170">
        <v>409.1</v>
      </c>
      <c r="H743" s="252">
        <f t="shared" si="23"/>
        <v>-8.0019398642093842E-3</v>
      </c>
    </row>
    <row r="744" spans="2:8" x14ac:dyDescent="0.3">
      <c r="B744" s="440">
        <v>43605</v>
      </c>
      <c r="C744" s="363">
        <v>11828.25</v>
      </c>
      <c r="D744" s="252">
        <f t="shared" si="22"/>
        <v>3.691544338419317E-2</v>
      </c>
      <c r="F744" s="440">
        <v>43605</v>
      </c>
      <c r="G744" s="170">
        <v>413.5</v>
      </c>
      <c r="H744" s="252">
        <f t="shared" si="23"/>
        <v>1.0755316548521021E-2</v>
      </c>
    </row>
    <row r="745" spans="2:8" x14ac:dyDescent="0.3">
      <c r="B745" s="440">
        <v>43606</v>
      </c>
      <c r="C745" s="363">
        <v>11709.1</v>
      </c>
      <c r="D745" s="252">
        <f t="shared" si="22"/>
        <v>-1.0073341364952526E-2</v>
      </c>
      <c r="F745" s="440">
        <v>43606</v>
      </c>
      <c r="G745" s="170">
        <v>408.85</v>
      </c>
      <c r="H745" s="252">
        <f t="shared" si="23"/>
        <v>-1.1245465538089472E-2</v>
      </c>
    </row>
    <row r="746" spans="2:8" x14ac:dyDescent="0.3">
      <c r="B746" s="440">
        <v>43607</v>
      </c>
      <c r="C746" s="363">
        <v>11737.9</v>
      </c>
      <c r="D746" s="252">
        <f t="shared" si="22"/>
        <v>2.4596254195454748E-3</v>
      </c>
      <c r="F746" s="440">
        <v>43607</v>
      </c>
      <c r="G746" s="170">
        <v>421.2</v>
      </c>
      <c r="H746" s="252">
        <f t="shared" si="23"/>
        <v>3.0206677265500748E-2</v>
      </c>
    </row>
    <row r="747" spans="2:8" x14ac:dyDescent="0.3">
      <c r="B747" s="440">
        <v>43608</v>
      </c>
      <c r="C747" s="363">
        <v>11657.05</v>
      </c>
      <c r="D747" s="252">
        <f t="shared" si="22"/>
        <v>-6.8879441808160635E-3</v>
      </c>
      <c r="F747" s="440">
        <v>43608</v>
      </c>
      <c r="G747" s="170">
        <v>412.95</v>
      </c>
      <c r="H747" s="252">
        <f t="shared" si="23"/>
        <v>-1.9586894586894554E-2</v>
      </c>
    </row>
    <row r="748" spans="2:8" x14ac:dyDescent="0.3">
      <c r="B748" s="440">
        <v>43609</v>
      </c>
      <c r="C748" s="363">
        <v>11844.1</v>
      </c>
      <c r="D748" s="252">
        <f t="shared" si="22"/>
        <v>1.6046083700421709E-2</v>
      </c>
      <c r="F748" s="440">
        <v>43609</v>
      </c>
      <c r="G748" s="170">
        <v>415.75</v>
      </c>
      <c r="H748" s="252">
        <f t="shared" si="23"/>
        <v>6.7804818985348625E-3</v>
      </c>
    </row>
    <row r="749" spans="2:8" x14ac:dyDescent="0.3">
      <c r="B749" s="440">
        <v>43612</v>
      </c>
      <c r="C749" s="363">
        <v>11924.75</v>
      </c>
      <c r="D749" s="252">
        <f t="shared" si="22"/>
        <v>6.809297456117358E-3</v>
      </c>
      <c r="F749" s="440">
        <v>43612</v>
      </c>
      <c r="G749" s="170">
        <v>414.85</v>
      </c>
      <c r="H749" s="252">
        <f t="shared" si="23"/>
        <v>-2.1647624774503438E-3</v>
      </c>
    </row>
    <row r="750" spans="2:8" x14ac:dyDescent="0.3">
      <c r="B750" s="440">
        <v>43613</v>
      </c>
      <c r="C750" s="363">
        <v>11928.75</v>
      </c>
      <c r="D750" s="252">
        <f t="shared" si="22"/>
        <v>3.3543680161018941E-4</v>
      </c>
      <c r="F750" s="440">
        <v>43613</v>
      </c>
      <c r="G750" s="170">
        <v>412.75</v>
      </c>
      <c r="H750" s="252">
        <f t="shared" si="23"/>
        <v>-5.0620706279378425E-3</v>
      </c>
    </row>
    <row r="751" spans="2:8" x14ac:dyDescent="0.3">
      <c r="B751" s="440">
        <v>43614</v>
      </c>
      <c r="C751" s="363">
        <v>11861.1</v>
      </c>
      <c r="D751" s="252">
        <f t="shared" si="22"/>
        <v>-5.6711725872367058E-3</v>
      </c>
      <c r="F751" s="440">
        <v>43614</v>
      </c>
      <c r="G751" s="170">
        <v>423.8</v>
      </c>
      <c r="H751" s="252">
        <f t="shared" si="23"/>
        <v>2.6771653543307128E-2</v>
      </c>
    </row>
    <row r="752" spans="2:8" x14ac:dyDescent="0.3">
      <c r="B752" s="440">
        <v>43615</v>
      </c>
      <c r="C752" s="363">
        <v>11945.9</v>
      </c>
      <c r="D752" s="252">
        <f t="shared" si="22"/>
        <v>7.1494212172562577E-3</v>
      </c>
      <c r="F752" s="440">
        <v>43615</v>
      </c>
      <c r="G752" s="170">
        <v>412.75</v>
      </c>
      <c r="H752" s="252">
        <f t="shared" si="23"/>
        <v>-2.6073619631901912E-2</v>
      </c>
    </row>
    <row r="753" spans="2:8" x14ac:dyDescent="0.3">
      <c r="B753" s="440">
        <v>43616</v>
      </c>
      <c r="C753" s="363">
        <v>11922.8</v>
      </c>
      <c r="D753" s="252">
        <f t="shared" si="22"/>
        <v>-1.9337178446161563E-3</v>
      </c>
      <c r="F753" s="440">
        <v>43616</v>
      </c>
      <c r="G753" s="170">
        <v>409.85</v>
      </c>
      <c r="H753" s="252">
        <f t="shared" si="23"/>
        <v>-7.0260448213204096E-3</v>
      </c>
    </row>
    <row r="754" spans="2:8" x14ac:dyDescent="0.3">
      <c r="B754" s="440">
        <v>43619</v>
      </c>
      <c r="C754" s="363">
        <v>12088.55</v>
      </c>
      <c r="D754" s="252">
        <f t="shared" si="22"/>
        <v>1.3901935786895692E-2</v>
      </c>
      <c r="F754" s="440">
        <v>43619</v>
      </c>
      <c r="G754" s="170">
        <v>416.8</v>
      </c>
      <c r="H754" s="252">
        <f t="shared" si="23"/>
        <v>1.6957423447602649E-2</v>
      </c>
    </row>
    <row r="755" spans="2:8" x14ac:dyDescent="0.3">
      <c r="B755" s="440">
        <v>43620</v>
      </c>
      <c r="C755" s="363">
        <v>12021.65</v>
      </c>
      <c r="D755" s="252">
        <f t="shared" si="22"/>
        <v>-5.5341624926066313E-3</v>
      </c>
      <c r="F755" s="440">
        <v>43620</v>
      </c>
      <c r="G755" s="170">
        <v>411.15</v>
      </c>
      <c r="H755" s="252">
        <f t="shared" si="23"/>
        <v>-1.3555662188099893E-2</v>
      </c>
    </row>
    <row r="756" spans="2:8" x14ac:dyDescent="0.3">
      <c r="B756" s="440">
        <v>43622</v>
      </c>
      <c r="C756" s="363">
        <v>11843.75</v>
      </c>
      <c r="D756" s="252">
        <f t="shared" si="22"/>
        <v>-1.479830139789462E-2</v>
      </c>
      <c r="F756" s="440">
        <v>43622</v>
      </c>
      <c r="G756" s="170">
        <v>404.15</v>
      </c>
      <c r="H756" s="252">
        <f t="shared" si="23"/>
        <v>-1.7025416514654057E-2</v>
      </c>
    </row>
    <row r="757" spans="2:8" x14ac:dyDescent="0.3">
      <c r="B757" s="440">
        <v>43623</v>
      </c>
      <c r="C757" s="363">
        <v>11870.65</v>
      </c>
      <c r="D757" s="252">
        <f t="shared" si="22"/>
        <v>2.271240105540917E-3</v>
      </c>
      <c r="F757" s="440">
        <v>43623</v>
      </c>
      <c r="G757" s="170">
        <v>399.25</v>
      </c>
      <c r="H757" s="252">
        <f t="shared" si="23"/>
        <v>-1.2124211307682708E-2</v>
      </c>
    </row>
    <row r="758" spans="2:8" x14ac:dyDescent="0.3">
      <c r="B758" s="440">
        <v>43626</v>
      </c>
      <c r="C758" s="363">
        <v>11922.7</v>
      </c>
      <c r="D758" s="252">
        <f t="shared" si="22"/>
        <v>4.3847641030609896E-3</v>
      </c>
      <c r="F758" s="440">
        <v>43626</v>
      </c>
      <c r="G758" s="170">
        <v>402.05</v>
      </c>
      <c r="H758" s="252">
        <f t="shared" si="23"/>
        <v>7.0131496556042894E-3</v>
      </c>
    </row>
    <row r="759" spans="2:8" x14ac:dyDescent="0.3">
      <c r="B759" s="440">
        <v>43627</v>
      </c>
      <c r="C759" s="363">
        <v>11965.6</v>
      </c>
      <c r="D759" s="252">
        <f t="shared" si="22"/>
        <v>3.5981782649903149E-3</v>
      </c>
      <c r="F759" s="440">
        <v>43627</v>
      </c>
      <c r="G759" s="170">
        <v>389.95</v>
      </c>
      <c r="H759" s="252">
        <f t="shared" si="23"/>
        <v>-3.0095759233926156E-2</v>
      </c>
    </row>
    <row r="760" spans="2:8" x14ac:dyDescent="0.3">
      <c r="B760" s="440">
        <v>43628</v>
      </c>
      <c r="C760" s="363">
        <v>11906.2</v>
      </c>
      <c r="D760" s="252">
        <f t="shared" si="22"/>
        <v>-4.9642307949454567E-3</v>
      </c>
      <c r="F760" s="440">
        <v>43628</v>
      </c>
      <c r="G760" s="170">
        <v>391.4</v>
      </c>
      <c r="H760" s="252">
        <f t="shared" si="23"/>
        <v>3.7184254391589011E-3</v>
      </c>
    </row>
    <row r="761" spans="2:8" x14ac:dyDescent="0.3">
      <c r="B761" s="440">
        <v>43629</v>
      </c>
      <c r="C761" s="363">
        <v>11914.05</v>
      </c>
      <c r="D761" s="252">
        <f t="shared" si="22"/>
        <v>6.5932035410121159E-4</v>
      </c>
      <c r="F761" s="440">
        <v>43629</v>
      </c>
      <c r="G761" s="170">
        <v>389.75</v>
      </c>
      <c r="H761" s="252">
        <f t="shared" si="23"/>
        <v>-4.2156361778231677E-3</v>
      </c>
    </row>
    <row r="762" spans="2:8" x14ac:dyDescent="0.3">
      <c r="B762" s="440">
        <v>43630</v>
      </c>
      <c r="C762" s="363">
        <v>11823.3</v>
      </c>
      <c r="D762" s="252">
        <f t="shared" si="22"/>
        <v>-7.6170571719944569E-3</v>
      </c>
      <c r="F762" s="440">
        <v>43630</v>
      </c>
      <c r="G762" s="170">
        <v>392.55</v>
      </c>
      <c r="H762" s="252">
        <f t="shared" si="23"/>
        <v>7.1840923669019841E-3</v>
      </c>
    </row>
    <row r="763" spans="2:8" x14ac:dyDescent="0.3">
      <c r="B763" s="440">
        <v>43633</v>
      </c>
      <c r="C763" s="363">
        <v>11672.15</v>
      </c>
      <c r="D763" s="252">
        <f t="shared" si="22"/>
        <v>-1.2784078895063056E-2</v>
      </c>
      <c r="F763" s="440">
        <v>43633</v>
      </c>
      <c r="G763" s="170">
        <v>382.9</v>
      </c>
      <c r="H763" s="252">
        <f t="shared" si="23"/>
        <v>-2.4582855687173666E-2</v>
      </c>
    </row>
    <row r="764" spans="2:8" x14ac:dyDescent="0.3">
      <c r="B764" s="440">
        <v>43634</v>
      </c>
      <c r="C764" s="363">
        <v>11691.5</v>
      </c>
      <c r="D764" s="252">
        <f t="shared" si="22"/>
        <v>1.657792266206437E-3</v>
      </c>
      <c r="F764" s="440">
        <v>43634</v>
      </c>
      <c r="G764" s="170">
        <v>378.45</v>
      </c>
      <c r="H764" s="252">
        <f t="shared" si="23"/>
        <v>-1.1621833376860735E-2</v>
      </c>
    </row>
    <row r="765" spans="2:8" x14ac:dyDescent="0.3">
      <c r="B765" s="440">
        <v>43635</v>
      </c>
      <c r="C765" s="363">
        <v>11691.45</v>
      </c>
      <c r="D765" s="252">
        <f t="shared" si="22"/>
        <v>-4.2766112131609191E-6</v>
      </c>
      <c r="F765" s="440">
        <v>43635</v>
      </c>
      <c r="G765" s="170">
        <v>375.2</v>
      </c>
      <c r="H765" s="252">
        <f t="shared" si="23"/>
        <v>-8.5876601928920326E-3</v>
      </c>
    </row>
    <row r="766" spans="2:8" x14ac:dyDescent="0.3">
      <c r="B766" s="440">
        <v>43636</v>
      </c>
      <c r="C766" s="363">
        <v>11831.75</v>
      </c>
      <c r="D766" s="252">
        <f t="shared" si="22"/>
        <v>1.2000222384733972E-2</v>
      </c>
      <c r="F766" s="440">
        <v>43636</v>
      </c>
      <c r="G766" s="170">
        <v>390.5</v>
      </c>
      <c r="H766" s="252">
        <f t="shared" si="23"/>
        <v>4.0778251599147053E-2</v>
      </c>
    </row>
    <row r="767" spans="2:8" x14ac:dyDescent="0.3">
      <c r="B767" s="440">
        <v>43637</v>
      </c>
      <c r="C767" s="363">
        <v>11724.1</v>
      </c>
      <c r="D767" s="252">
        <f t="shared" si="22"/>
        <v>-9.098400490206382E-3</v>
      </c>
      <c r="F767" s="440">
        <v>43637</v>
      </c>
      <c r="G767" s="170">
        <v>382.8</v>
      </c>
      <c r="H767" s="252">
        <f t="shared" si="23"/>
        <v>-1.9718309859154903E-2</v>
      </c>
    </row>
    <row r="768" spans="2:8" x14ac:dyDescent="0.3">
      <c r="B768" s="440">
        <v>43640</v>
      </c>
      <c r="C768" s="363">
        <v>11699.65</v>
      </c>
      <c r="D768" s="252">
        <f t="shared" si="22"/>
        <v>-2.0854479235080658E-3</v>
      </c>
      <c r="F768" s="440">
        <v>43640</v>
      </c>
      <c r="G768" s="170">
        <v>383.45</v>
      </c>
      <c r="H768" s="252">
        <f t="shared" si="23"/>
        <v>1.6980146290490605E-3</v>
      </c>
    </row>
    <row r="769" spans="2:8" x14ac:dyDescent="0.3">
      <c r="B769" s="440">
        <v>43641</v>
      </c>
      <c r="C769" s="363">
        <v>11796.45</v>
      </c>
      <c r="D769" s="252">
        <f t="shared" si="22"/>
        <v>8.2737517788995518E-3</v>
      </c>
      <c r="F769" s="440">
        <v>43641</v>
      </c>
      <c r="G769" s="170">
        <v>385.75</v>
      </c>
      <c r="H769" s="252">
        <f t="shared" si="23"/>
        <v>5.9981744686399274E-3</v>
      </c>
    </row>
    <row r="770" spans="2:8" x14ac:dyDescent="0.3">
      <c r="B770" s="440">
        <v>43642</v>
      </c>
      <c r="C770" s="363">
        <v>11847.55</v>
      </c>
      <c r="D770" s="252">
        <f t="shared" si="22"/>
        <v>4.331811689109788E-3</v>
      </c>
      <c r="F770" s="440">
        <v>43642</v>
      </c>
      <c r="G770" s="170">
        <v>399.45</v>
      </c>
      <c r="H770" s="252">
        <f t="shared" si="23"/>
        <v>3.5515230071289761E-2</v>
      </c>
    </row>
    <row r="771" spans="2:8" x14ac:dyDescent="0.3">
      <c r="B771" s="440">
        <v>43643</v>
      </c>
      <c r="C771" s="363">
        <v>11841.55</v>
      </c>
      <c r="D771" s="252">
        <f t="shared" si="22"/>
        <v>-5.0643381965043144E-4</v>
      </c>
      <c r="F771" s="440">
        <v>43643</v>
      </c>
      <c r="G771" s="170">
        <v>402.8</v>
      </c>
      <c r="H771" s="252">
        <f t="shared" si="23"/>
        <v>8.3865314807860525E-3</v>
      </c>
    </row>
    <row r="772" spans="2:8" x14ac:dyDescent="0.3">
      <c r="B772" s="440">
        <v>43644</v>
      </c>
      <c r="C772" s="363">
        <v>11788.85</v>
      </c>
      <c r="D772" s="252">
        <f t="shared" si="22"/>
        <v>-4.4504308979820273E-3</v>
      </c>
      <c r="F772" s="440">
        <v>43644</v>
      </c>
      <c r="G772" s="170">
        <v>400.95</v>
      </c>
      <c r="H772" s="252">
        <f t="shared" si="23"/>
        <v>-4.592850049652486E-3</v>
      </c>
    </row>
    <row r="773" spans="2:8" x14ac:dyDescent="0.3">
      <c r="B773" s="440">
        <v>43647</v>
      </c>
      <c r="C773" s="363">
        <v>11865.6</v>
      </c>
      <c r="D773" s="252">
        <f t="shared" si="22"/>
        <v>6.5103890540638698E-3</v>
      </c>
      <c r="F773" s="440">
        <v>43647</v>
      </c>
      <c r="G773" s="170">
        <v>405.35</v>
      </c>
      <c r="H773" s="252">
        <f t="shared" si="23"/>
        <v>1.0973936899862924E-2</v>
      </c>
    </row>
    <row r="774" spans="2:8" x14ac:dyDescent="0.3">
      <c r="B774" s="440">
        <v>43648</v>
      </c>
      <c r="C774" s="363">
        <v>11910.3</v>
      </c>
      <c r="D774" s="252">
        <f t="shared" si="22"/>
        <v>3.767192556634269E-3</v>
      </c>
      <c r="F774" s="440">
        <v>43648</v>
      </c>
      <c r="G774" s="170">
        <v>395.55</v>
      </c>
      <c r="H774" s="252">
        <f t="shared" si="23"/>
        <v>-2.4176637473788065E-2</v>
      </c>
    </row>
    <row r="775" spans="2:8" x14ac:dyDescent="0.3">
      <c r="B775" s="440">
        <v>43649</v>
      </c>
      <c r="C775" s="363">
        <v>11916.75</v>
      </c>
      <c r="D775" s="252">
        <f t="shared" si="22"/>
        <v>5.4154807183715015E-4</v>
      </c>
      <c r="F775" s="440">
        <v>43649</v>
      </c>
      <c r="G775" s="170">
        <v>395.7</v>
      </c>
      <c r="H775" s="252">
        <f t="shared" si="23"/>
        <v>3.792188092528459E-4</v>
      </c>
    </row>
    <row r="776" spans="2:8" x14ac:dyDescent="0.3">
      <c r="B776" s="440">
        <v>43650</v>
      </c>
      <c r="C776" s="363">
        <v>11946.75</v>
      </c>
      <c r="D776" s="252">
        <f t="shared" si="22"/>
        <v>2.5174649128327786E-3</v>
      </c>
      <c r="F776" s="440">
        <v>43650</v>
      </c>
      <c r="G776" s="170">
        <v>392.1</v>
      </c>
      <c r="H776" s="252">
        <f t="shared" si="23"/>
        <v>-9.0978013646700884E-3</v>
      </c>
    </row>
    <row r="777" spans="2:8" x14ac:dyDescent="0.3">
      <c r="B777" s="440">
        <v>43651</v>
      </c>
      <c r="C777" s="363">
        <v>11811.15</v>
      </c>
      <c r="D777" s="252">
        <f t="shared" si="22"/>
        <v>-1.1350367254692739E-2</v>
      </c>
      <c r="F777" s="440">
        <v>43651</v>
      </c>
      <c r="G777" s="170">
        <v>375.25</v>
      </c>
      <c r="H777" s="252">
        <f t="shared" si="23"/>
        <v>-4.2973731191022768E-2</v>
      </c>
    </row>
    <row r="778" spans="2:8" x14ac:dyDescent="0.3">
      <c r="B778" s="440">
        <v>43654</v>
      </c>
      <c r="C778" s="363">
        <v>11558.6</v>
      </c>
      <c r="D778" s="252">
        <f t="shared" si="22"/>
        <v>-2.1382337875651358E-2</v>
      </c>
      <c r="F778" s="440">
        <v>43654</v>
      </c>
      <c r="G778" s="170">
        <v>366.8</v>
      </c>
      <c r="H778" s="252">
        <f t="shared" si="23"/>
        <v>-2.2518321119253781E-2</v>
      </c>
    </row>
    <row r="779" spans="2:8" x14ac:dyDescent="0.3">
      <c r="B779" s="440">
        <v>43655</v>
      </c>
      <c r="C779" s="363">
        <v>11555.9</v>
      </c>
      <c r="D779" s="252">
        <f t="shared" ref="D779:D842" si="24">C779/C778-1</f>
        <v>-2.335923035662324E-4</v>
      </c>
      <c r="F779" s="440">
        <v>43655</v>
      </c>
      <c r="G779" s="170">
        <v>386.4</v>
      </c>
      <c r="H779" s="252">
        <f t="shared" ref="H779:H842" si="25">G779/G778-1</f>
        <v>5.3435114503816772E-2</v>
      </c>
    </row>
    <row r="780" spans="2:8" x14ac:dyDescent="0.3">
      <c r="B780" s="440">
        <v>43656</v>
      </c>
      <c r="C780" s="363">
        <v>11498.9</v>
      </c>
      <c r="D780" s="252">
        <f t="shared" si="24"/>
        <v>-4.93254527990028E-3</v>
      </c>
      <c r="F780" s="440">
        <v>43656</v>
      </c>
      <c r="G780" s="170">
        <v>392.2</v>
      </c>
      <c r="H780" s="252">
        <f t="shared" si="25"/>
        <v>1.5010351966873836E-2</v>
      </c>
    </row>
    <row r="781" spans="2:8" x14ac:dyDescent="0.3">
      <c r="B781" s="440">
        <v>43657</v>
      </c>
      <c r="C781" s="363">
        <v>11582.9</v>
      </c>
      <c r="D781" s="252">
        <f t="shared" si="24"/>
        <v>7.3050465696717914E-3</v>
      </c>
      <c r="F781" s="440">
        <v>43657</v>
      </c>
      <c r="G781" s="170">
        <v>398.15</v>
      </c>
      <c r="H781" s="252">
        <f t="shared" si="25"/>
        <v>1.5170831208566993E-2</v>
      </c>
    </row>
    <row r="782" spans="2:8" x14ac:dyDescent="0.3">
      <c r="B782" s="440">
        <v>43658</v>
      </c>
      <c r="C782" s="363">
        <v>11552.5</v>
      </c>
      <c r="D782" s="252">
        <f t="shared" si="24"/>
        <v>-2.6245586165812851E-3</v>
      </c>
      <c r="F782" s="440">
        <v>43658</v>
      </c>
      <c r="G782" s="170">
        <v>407.7</v>
      </c>
      <c r="H782" s="252">
        <f t="shared" si="25"/>
        <v>2.3985934949139809E-2</v>
      </c>
    </row>
    <row r="783" spans="2:8" x14ac:dyDescent="0.3">
      <c r="B783" s="440">
        <v>43661</v>
      </c>
      <c r="C783" s="363">
        <v>11588.35</v>
      </c>
      <c r="D783" s="252">
        <f t="shared" si="24"/>
        <v>3.1032244103008644E-3</v>
      </c>
      <c r="F783" s="440">
        <v>43661</v>
      </c>
      <c r="G783" s="170">
        <v>422.95</v>
      </c>
      <c r="H783" s="252">
        <f t="shared" si="25"/>
        <v>3.7404954623497577E-2</v>
      </c>
    </row>
    <row r="784" spans="2:8" x14ac:dyDescent="0.3">
      <c r="B784" s="440">
        <v>43662</v>
      </c>
      <c r="C784" s="363">
        <v>11662.6</v>
      </c>
      <c r="D784" s="252">
        <f t="shared" si="24"/>
        <v>6.4072969836086457E-3</v>
      </c>
      <c r="F784" s="440">
        <v>43662</v>
      </c>
      <c r="G784" s="170">
        <v>433.3</v>
      </c>
      <c r="H784" s="252">
        <f t="shared" si="25"/>
        <v>2.4470977656933401E-2</v>
      </c>
    </row>
    <row r="785" spans="2:8" x14ac:dyDescent="0.3">
      <c r="B785" s="440">
        <v>43663</v>
      </c>
      <c r="C785" s="363">
        <v>11687.5</v>
      </c>
      <c r="D785" s="252">
        <f t="shared" si="24"/>
        <v>2.1350299247164806E-3</v>
      </c>
      <c r="F785" s="440">
        <v>43663</v>
      </c>
      <c r="G785" s="170">
        <v>430.05</v>
      </c>
      <c r="H785" s="252">
        <f t="shared" si="25"/>
        <v>-7.5005769674589828E-3</v>
      </c>
    </row>
    <row r="786" spans="2:8" x14ac:dyDescent="0.3">
      <c r="B786" s="440">
        <v>43664</v>
      </c>
      <c r="C786" s="363">
        <v>11596.9</v>
      </c>
      <c r="D786" s="252">
        <f t="shared" si="24"/>
        <v>-7.7518716577540392E-3</v>
      </c>
      <c r="F786" s="440">
        <v>43664</v>
      </c>
      <c r="G786" s="170">
        <v>426.2</v>
      </c>
      <c r="H786" s="252">
        <f t="shared" si="25"/>
        <v>-8.9524473898384693E-3</v>
      </c>
    </row>
    <row r="787" spans="2:8" x14ac:dyDescent="0.3">
      <c r="B787" s="440">
        <v>43665</v>
      </c>
      <c r="C787" s="363">
        <v>11419.25</v>
      </c>
      <c r="D787" s="252">
        <f t="shared" si="24"/>
        <v>-1.531874897601937E-2</v>
      </c>
      <c r="F787" s="440">
        <v>43665</v>
      </c>
      <c r="G787" s="170">
        <v>421.35</v>
      </c>
      <c r="H787" s="252">
        <f t="shared" si="25"/>
        <v>-1.1379633974659686E-2</v>
      </c>
    </row>
    <row r="788" spans="2:8" x14ac:dyDescent="0.3">
      <c r="B788" s="440">
        <v>43668</v>
      </c>
      <c r="C788" s="363">
        <v>11346.2</v>
      </c>
      <c r="D788" s="252">
        <f t="shared" si="24"/>
        <v>-6.3970926286751606E-3</v>
      </c>
      <c r="F788" s="440">
        <v>43668</v>
      </c>
      <c r="G788" s="170">
        <v>430.25</v>
      </c>
      <c r="H788" s="252">
        <f t="shared" si="25"/>
        <v>2.112258217633789E-2</v>
      </c>
    </row>
    <row r="789" spans="2:8" x14ac:dyDescent="0.3">
      <c r="B789" s="440">
        <v>43669</v>
      </c>
      <c r="C789" s="363">
        <v>11331.05</v>
      </c>
      <c r="D789" s="252">
        <f t="shared" si="24"/>
        <v>-1.3352488057677414E-3</v>
      </c>
      <c r="F789" s="440">
        <v>43669</v>
      </c>
      <c r="G789" s="170">
        <v>430.25</v>
      </c>
      <c r="H789" s="252">
        <f t="shared" si="25"/>
        <v>0</v>
      </c>
    </row>
    <row r="790" spans="2:8" x14ac:dyDescent="0.3">
      <c r="B790" s="440">
        <v>43670</v>
      </c>
      <c r="C790" s="363">
        <v>11271.3</v>
      </c>
      <c r="D790" s="252">
        <f t="shared" si="24"/>
        <v>-5.2731212023598983E-3</v>
      </c>
      <c r="F790" s="440">
        <v>43670</v>
      </c>
      <c r="G790" s="170">
        <v>425.55</v>
      </c>
      <c r="H790" s="252">
        <f t="shared" si="25"/>
        <v>-1.0923881464264928E-2</v>
      </c>
    </row>
    <row r="791" spans="2:8" x14ac:dyDescent="0.3">
      <c r="B791" s="440">
        <v>43671</v>
      </c>
      <c r="C791" s="363">
        <v>11252.15</v>
      </c>
      <c r="D791" s="252">
        <f t="shared" si="24"/>
        <v>-1.6990054385918052E-3</v>
      </c>
      <c r="F791" s="440">
        <v>43671</v>
      </c>
      <c r="G791" s="170">
        <v>437.15</v>
      </c>
      <c r="H791" s="252">
        <f t="shared" si="25"/>
        <v>2.7258841499236297E-2</v>
      </c>
    </row>
    <row r="792" spans="2:8" x14ac:dyDescent="0.3">
      <c r="B792" s="440">
        <v>43672</v>
      </c>
      <c r="C792" s="363">
        <v>11284.3</v>
      </c>
      <c r="D792" s="252">
        <f t="shared" si="24"/>
        <v>2.8572317290473936E-3</v>
      </c>
      <c r="F792" s="440">
        <v>43672</v>
      </c>
      <c r="G792" s="170">
        <v>439.95</v>
      </c>
      <c r="H792" s="252">
        <f t="shared" si="25"/>
        <v>6.4051240992795133E-3</v>
      </c>
    </row>
    <row r="793" spans="2:8" x14ac:dyDescent="0.3">
      <c r="B793" s="440">
        <v>43675</v>
      </c>
      <c r="C793" s="363">
        <v>11189.2</v>
      </c>
      <c r="D793" s="252">
        <f t="shared" si="24"/>
        <v>-8.4276384002550664E-3</v>
      </c>
      <c r="F793" s="440">
        <v>43675</v>
      </c>
      <c r="G793" s="170">
        <v>431.05</v>
      </c>
      <c r="H793" s="252">
        <f t="shared" si="25"/>
        <v>-2.0229571542220603E-2</v>
      </c>
    </row>
    <row r="794" spans="2:8" x14ac:dyDescent="0.3">
      <c r="B794" s="440">
        <v>43676</v>
      </c>
      <c r="C794" s="363">
        <v>11085.4</v>
      </c>
      <c r="D794" s="252">
        <f t="shared" si="24"/>
        <v>-9.2768026311086382E-3</v>
      </c>
      <c r="F794" s="440">
        <v>43676</v>
      </c>
      <c r="G794" s="170">
        <v>410.35</v>
      </c>
      <c r="H794" s="252">
        <f t="shared" si="25"/>
        <v>-4.8022271198236877E-2</v>
      </c>
    </row>
    <row r="795" spans="2:8" x14ac:dyDescent="0.3">
      <c r="B795" s="440">
        <v>43677</v>
      </c>
      <c r="C795" s="363">
        <v>11118</v>
      </c>
      <c r="D795" s="252">
        <f t="shared" si="24"/>
        <v>2.94080502282279E-3</v>
      </c>
      <c r="F795" s="440">
        <v>43677</v>
      </c>
      <c r="G795" s="170">
        <v>426.75</v>
      </c>
      <c r="H795" s="252">
        <f t="shared" si="25"/>
        <v>3.996588278299007E-2</v>
      </c>
    </row>
    <row r="796" spans="2:8" x14ac:dyDescent="0.3">
      <c r="B796" s="440">
        <v>43678</v>
      </c>
      <c r="C796" s="363">
        <v>10980</v>
      </c>
      <c r="D796" s="252">
        <f t="shared" si="24"/>
        <v>-1.2412304371289817E-2</v>
      </c>
      <c r="F796" s="440">
        <v>43678</v>
      </c>
      <c r="G796" s="170">
        <v>425.1</v>
      </c>
      <c r="H796" s="252">
        <f t="shared" si="25"/>
        <v>-3.8664323374340004E-3</v>
      </c>
    </row>
    <row r="797" spans="2:8" x14ac:dyDescent="0.3">
      <c r="B797" s="440">
        <v>43679</v>
      </c>
      <c r="C797" s="363">
        <v>10997.35</v>
      </c>
      <c r="D797" s="252">
        <f t="shared" si="24"/>
        <v>1.5801457194899449E-3</v>
      </c>
      <c r="F797" s="440">
        <v>43679</v>
      </c>
      <c r="G797" s="170">
        <v>420.65</v>
      </c>
      <c r="H797" s="252">
        <f t="shared" si="25"/>
        <v>-1.0468125147024332E-2</v>
      </c>
    </row>
    <row r="798" spans="2:8" x14ac:dyDescent="0.3">
      <c r="B798" s="440">
        <v>43682</v>
      </c>
      <c r="C798" s="363">
        <v>10862.6</v>
      </c>
      <c r="D798" s="252">
        <f t="shared" si="24"/>
        <v>-1.2252951847490534E-2</v>
      </c>
      <c r="F798" s="440">
        <v>43682</v>
      </c>
      <c r="G798" s="170">
        <v>417.15</v>
      </c>
      <c r="H798" s="252">
        <f t="shared" si="25"/>
        <v>-8.3204564364673939E-3</v>
      </c>
    </row>
    <row r="799" spans="2:8" x14ac:dyDescent="0.3">
      <c r="B799" s="440">
        <v>43683</v>
      </c>
      <c r="C799" s="363">
        <v>10948.25</v>
      </c>
      <c r="D799" s="252">
        <f t="shared" si="24"/>
        <v>7.8848526135546493E-3</v>
      </c>
      <c r="F799" s="440">
        <v>43683</v>
      </c>
      <c r="G799" s="170">
        <v>418.2</v>
      </c>
      <c r="H799" s="252">
        <f t="shared" si="25"/>
        <v>2.5170801869831561E-3</v>
      </c>
    </row>
    <row r="800" spans="2:8" x14ac:dyDescent="0.3">
      <c r="B800" s="440">
        <v>43684</v>
      </c>
      <c r="C800" s="363">
        <v>10855.5</v>
      </c>
      <c r="D800" s="252">
        <f t="shared" si="24"/>
        <v>-8.4716735551343403E-3</v>
      </c>
      <c r="F800" s="440">
        <v>43684</v>
      </c>
      <c r="G800" s="170">
        <v>421.05</v>
      </c>
      <c r="H800" s="252">
        <f t="shared" si="25"/>
        <v>6.8149210903873936E-3</v>
      </c>
    </row>
    <row r="801" spans="2:8" x14ac:dyDescent="0.3">
      <c r="B801" s="440">
        <v>43685</v>
      </c>
      <c r="C801" s="363">
        <v>11032.45</v>
      </c>
      <c r="D801" s="252">
        <f t="shared" si="24"/>
        <v>1.6300492837732161E-2</v>
      </c>
      <c r="F801" s="440">
        <v>43685</v>
      </c>
      <c r="G801" s="170">
        <v>426.45</v>
      </c>
      <c r="H801" s="252">
        <f t="shared" si="25"/>
        <v>1.2825080156750879E-2</v>
      </c>
    </row>
    <row r="802" spans="2:8" x14ac:dyDescent="0.3">
      <c r="B802" s="440">
        <v>43686</v>
      </c>
      <c r="C802" s="363">
        <v>11109.65</v>
      </c>
      <c r="D802" s="252">
        <f t="shared" si="24"/>
        <v>6.9975390779020152E-3</v>
      </c>
      <c r="F802" s="440">
        <v>43686</v>
      </c>
      <c r="G802" s="170">
        <v>422</v>
      </c>
      <c r="H802" s="252">
        <f t="shared" si="25"/>
        <v>-1.0434986516590472E-2</v>
      </c>
    </row>
    <row r="803" spans="2:8" x14ac:dyDescent="0.3">
      <c r="B803" s="440">
        <v>43690</v>
      </c>
      <c r="C803" s="363">
        <v>10925.85</v>
      </c>
      <c r="D803" s="252">
        <f t="shared" si="24"/>
        <v>-1.6544175559085939E-2</v>
      </c>
      <c r="F803" s="440">
        <v>43690</v>
      </c>
      <c r="G803" s="170">
        <v>439.25</v>
      </c>
      <c r="H803" s="252">
        <f t="shared" si="25"/>
        <v>4.0876777251184881E-2</v>
      </c>
    </row>
    <row r="804" spans="2:8" x14ac:dyDescent="0.3">
      <c r="B804" s="440">
        <v>43691</v>
      </c>
      <c r="C804" s="363">
        <v>11029.4</v>
      </c>
      <c r="D804" s="252">
        <f t="shared" si="24"/>
        <v>9.4775234878750059E-3</v>
      </c>
      <c r="F804" s="440">
        <v>43691</v>
      </c>
      <c r="G804" s="170">
        <v>417.15</v>
      </c>
      <c r="H804" s="252">
        <f t="shared" si="25"/>
        <v>-5.031303357996586E-2</v>
      </c>
    </row>
    <row r="805" spans="2:8" x14ac:dyDescent="0.3">
      <c r="B805" s="440">
        <v>43693</v>
      </c>
      <c r="C805" s="363">
        <v>11047.8</v>
      </c>
      <c r="D805" s="252">
        <f t="shared" si="24"/>
        <v>1.6682684461530872E-3</v>
      </c>
      <c r="F805" s="440">
        <v>43693</v>
      </c>
      <c r="G805" s="170">
        <v>414.7</v>
      </c>
      <c r="H805" s="252">
        <f t="shared" si="25"/>
        <v>-5.8731871029605864E-3</v>
      </c>
    </row>
    <row r="806" spans="2:8" x14ac:dyDescent="0.3">
      <c r="B806" s="440">
        <v>43696</v>
      </c>
      <c r="C806" s="363">
        <v>11053.9</v>
      </c>
      <c r="D806" s="252">
        <f t="shared" si="24"/>
        <v>5.5214612864107337E-4</v>
      </c>
      <c r="F806" s="440">
        <v>43696</v>
      </c>
      <c r="G806" s="170">
        <v>426</v>
      </c>
      <c r="H806" s="252">
        <f t="shared" si="25"/>
        <v>2.7248613455510107E-2</v>
      </c>
    </row>
    <row r="807" spans="2:8" x14ac:dyDescent="0.3">
      <c r="B807" s="440">
        <v>43697</v>
      </c>
      <c r="C807" s="363">
        <v>11017</v>
      </c>
      <c r="D807" s="252">
        <f t="shared" si="24"/>
        <v>-3.338188331719949E-3</v>
      </c>
      <c r="F807" s="440">
        <v>43697</v>
      </c>
      <c r="G807" s="170">
        <v>420.9</v>
      </c>
      <c r="H807" s="252">
        <f t="shared" si="25"/>
        <v>-1.1971830985915588E-2</v>
      </c>
    </row>
    <row r="808" spans="2:8" x14ac:dyDescent="0.3">
      <c r="B808" s="440">
        <v>43698</v>
      </c>
      <c r="C808" s="363">
        <v>10918.7</v>
      </c>
      <c r="D808" s="252">
        <f t="shared" si="24"/>
        <v>-8.9225742035036193E-3</v>
      </c>
      <c r="F808" s="440">
        <v>43698</v>
      </c>
      <c r="G808" s="170">
        <v>417</v>
      </c>
      <c r="H808" s="252">
        <f t="shared" si="25"/>
        <v>-9.2658588738416814E-3</v>
      </c>
    </row>
    <row r="809" spans="2:8" x14ac:dyDescent="0.3">
      <c r="B809" s="440">
        <v>43699</v>
      </c>
      <c r="C809" s="363">
        <v>10741.35</v>
      </c>
      <c r="D809" s="252">
        <f t="shared" si="24"/>
        <v>-1.6242776154670513E-2</v>
      </c>
      <c r="F809" s="440">
        <v>43699</v>
      </c>
      <c r="G809" s="170">
        <v>414.55</v>
      </c>
      <c r="H809" s="252">
        <f t="shared" si="25"/>
        <v>-5.8752997601918544E-3</v>
      </c>
    </row>
    <row r="810" spans="2:8" x14ac:dyDescent="0.3">
      <c r="B810" s="440">
        <v>43700</v>
      </c>
      <c r="C810" s="363">
        <v>10829.35</v>
      </c>
      <c r="D810" s="252">
        <f t="shared" si="24"/>
        <v>8.1926387279065427E-3</v>
      </c>
      <c r="F810" s="440">
        <v>43700</v>
      </c>
      <c r="G810" s="170">
        <v>427.8</v>
      </c>
      <c r="H810" s="252">
        <f t="shared" si="25"/>
        <v>3.1962368833674981E-2</v>
      </c>
    </row>
    <row r="811" spans="2:8" x14ac:dyDescent="0.3">
      <c r="B811" s="440">
        <v>43703</v>
      </c>
      <c r="C811" s="363">
        <v>11057.85</v>
      </c>
      <c r="D811" s="252">
        <f t="shared" si="24"/>
        <v>2.1100066024276609E-2</v>
      </c>
      <c r="F811" s="440">
        <v>43703</v>
      </c>
      <c r="G811" s="170">
        <v>419.35</v>
      </c>
      <c r="H811" s="252">
        <f t="shared" si="25"/>
        <v>-1.9752220663861619E-2</v>
      </c>
    </row>
    <row r="812" spans="2:8" x14ac:dyDescent="0.3">
      <c r="B812" s="440">
        <v>43704</v>
      </c>
      <c r="C812" s="363">
        <v>11105.35</v>
      </c>
      <c r="D812" s="252">
        <f t="shared" si="24"/>
        <v>4.2955909150512728E-3</v>
      </c>
      <c r="F812" s="440">
        <v>43704</v>
      </c>
      <c r="G812" s="170">
        <v>416.75</v>
      </c>
      <c r="H812" s="252">
        <f t="shared" si="25"/>
        <v>-6.2000715392870331E-3</v>
      </c>
    </row>
    <row r="813" spans="2:8" x14ac:dyDescent="0.3">
      <c r="B813" s="440">
        <v>43705</v>
      </c>
      <c r="C813" s="363">
        <v>11046.1</v>
      </c>
      <c r="D813" s="252">
        <f t="shared" si="24"/>
        <v>-5.3352663355950014E-3</v>
      </c>
      <c r="F813" s="440">
        <v>43705</v>
      </c>
      <c r="G813" s="170">
        <v>413.1</v>
      </c>
      <c r="H813" s="252">
        <f t="shared" si="25"/>
        <v>-8.7582483503299002E-3</v>
      </c>
    </row>
    <row r="814" spans="2:8" x14ac:dyDescent="0.3">
      <c r="B814" s="440">
        <v>43706</v>
      </c>
      <c r="C814" s="363">
        <v>10948.3</v>
      </c>
      <c r="D814" s="252">
        <f t="shared" si="24"/>
        <v>-8.8538036048922963E-3</v>
      </c>
      <c r="F814" s="440">
        <v>43706</v>
      </c>
      <c r="G814" s="170">
        <v>434.65</v>
      </c>
      <c r="H814" s="252">
        <f t="shared" si="25"/>
        <v>5.2166545630597749E-2</v>
      </c>
    </row>
    <row r="815" spans="2:8" x14ac:dyDescent="0.3">
      <c r="B815" s="440">
        <v>43707</v>
      </c>
      <c r="C815" s="363">
        <v>11023.25</v>
      </c>
      <c r="D815" s="252">
        <f t="shared" si="24"/>
        <v>6.845811678525493E-3</v>
      </c>
      <c r="F815" s="440">
        <v>43707</v>
      </c>
      <c r="G815" s="170">
        <v>450.4</v>
      </c>
      <c r="H815" s="252">
        <f t="shared" si="25"/>
        <v>3.6236051995858665E-2</v>
      </c>
    </row>
    <row r="816" spans="2:8" x14ac:dyDescent="0.3">
      <c r="B816" s="440">
        <v>43711</v>
      </c>
      <c r="C816" s="363">
        <v>10797.9</v>
      </c>
      <c r="D816" s="252">
        <f t="shared" si="24"/>
        <v>-2.0443154242170025E-2</v>
      </c>
      <c r="F816" s="440">
        <v>43711</v>
      </c>
      <c r="G816" s="170">
        <v>439.35</v>
      </c>
      <c r="H816" s="252">
        <f t="shared" si="25"/>
        <v>-2.4533747779751258E-2</v>
      </c>
    </row>
    <row r="817" spans="2:8" x14ac:dyDescent="0.3">
      <c r="B817" s="440">
        <v>43712</v>
      </c>
      <c r="C817" s="363">
        <v>10844.65</v>
      </c>
      <c r="D817" s="252">
        <f t="shared" si="24"/>
        <v>4.3295455597847088E-3</v>
      </c>
      <c r="F817" s="440">
        <v>43712</v>
      </c>
      <c r="G817" s="170">
        <v>426.45</v>
      </c>
      <c r="H817" s="252">
        <f t="shared" si="25"/>
        <v>-2.9361556845339809E-2</v>
      </c>
    </row>
    <row r="818" spans="2:8" x14ac:dyDescent="0.3">
      <c r="B818" s="440">
        <v>43713</v>
      </c>
      <c r="C818" s="363">
        <v>10847.9</v>
      </c>
      <c r="D818" s="252">
        <f t="shared" si="24"/>
        <v>2.9968694240944949E-4</v>
      </c>
      <c r="F818" s="440">
        <v>43713</v>
      </c>
      <c r="G818" s="170">
        <v>431.8</v>
      </c>
      <c r="H818" s="252">
        <f t="shared" si="25"/>
        <v>1.2545433227810987E-2</v>
      </c>
    </row>
    <row r="819" spans="2:8" x14ac:dyDescent="0.3">
      <c r="B819" s="440">
        <v>43714</v>
      </c>
      <c r="C819" s="363">
        <v>10946.2</v>
      </c>
      <c r="D819" s="252">
        <f t="shared" si="24"/>
        <v>9.0616617041088254E-3</v>
      </c>
      <c r="F819" s="440">
        <v>43714</v>
      </c>
      <c r="G819" s="170">
        <v>425.1</v>
      </c>
      <c r="H819" s="252">
        <f t="shared" si="25"/>
        <v>-1.5516442797591457E-2</v>
      </c>
    </row>
    <row r="820" spans="2:8" x14ac:dyDescent="0.3">
      <c r="B820" s="440">
        <v>43717</v>
      </c>
      <c r="C820" s="363">
        <v>11003.05</v>
      </c>
      <c r="D820" s="252">
        <f t="shared" si="24"/>
        <v>5.1935831612794914E-3</v>
      </c>
      <c r="F820" s="440">
        <v>43717</v>
      </c>
      <c r="G820" s="170">
        <v>428.8</v>
      </c>
      <c r="H820" s="252">
        <f t="shared" si="25"/>
        <v>8.7038343919076944E-3</v>
      </c>
    </row>
    <row r="821" spans="2:8" x14ac:dyDescent="0.3">
      <c r="B821" s="440">
        <v>43719</v>
      </c>
      <c r="C821" s="363">
        <v>11035.7</v>
      </c>
      <c r="D821" s="252">
        <f t="shared" si="24"/>
        <v>2.9673590504453173E-3</v>
      </c>
      <c r="F821" s="440">
        <v>43719</v>
      </c>
      <c r="G821" s="170">
        <v>422.2</v>
      </c>
      <c r="H821" s="252">
        <f t="shared" si="25"/>
        <v>-1.5391791044776171E-2</v>
      </c>
    </row>
    <row r="822" spans="2:8" x14ac:dyDescent="0.3">
      <c r="B822" s="440">
        <v>43720</v>
      </c>
      <c r="C822" s="363">
        <v>10982.8</v>
      </c>
      <c r="D822" s="252">
        <f t="shared" si="24"/>
        <v>-4.7935337133123701E-3</v>
      </c>
      <c r="F822" s="440">
        <v>43720</v>
      </c>
      <c r="G822" s="170">
        <v>427.8</v>
      </c>
      <c r="H822" s="252">
        <f t="shared" si="25"/>
        <v>1.3263855992420748E-2</v>
      </c>
    </row>
    <row r="823" spans="2:8" x14ac:dyDescent="0.3">
      <c r="B823" s="440">
        <v>43721</v>
      </c>
      <c r="C823" s="363">
        <v>11075.9</v>
      </c>
      <c r="D823" s="252">
        <f t="shared" si="24"/>
        <v>8.4768911388717338E-3</v>
      </c>
      <c r="F823" s="440">
        <v>43721</v>
      </c>
      <c r="G823" s="170">
        <v>422.85</v>
      </c>
      <c r="H823" s="252">
        <f t="shared" si="25"/>
        <v>-1.1570827489481017E-2</v>
      </c>
    </row>
    <row r="824" spans="2:8" x14ac:dyDescent="0.3">
      <c r="B824" s="440">
        <v>43724</v>
      </c>
      <c r="C824" s="363">
        <v>11003.5</v>
      </c>
      <c r="D824" s="252">
        <f t="shared" si="24"/>
        <v>-6.5367148493575833E-3</v>
      </c>
      <c r="F824" s="440">
        <v>43724</v>
      </c>
      <c r="G824" s="170">
        <v>426.8</v>
      </c>
      <c r="H824" s="252">
        <f t="shared" si="25"/>
        <v>9.3413740096961462E-3</v>
      </c>
    </row>
    <row r="825" spans="2:8" x14ac:dyDescent="0.3">
      <c r="B825" s="440">
        <v>43725</v>
      </c>
      <c r="C825" s="363">
        <v>10817.6</v>
      </c>
      <c r="D825" s="252">
        <f t="shared" si="24"/>
        <v>-1.6894624437678862E-2</v>
      </c>
      <c r="F825" s="440">
        <v>43725</v>
      </c>
      <c r="G825" s="170">
        <v>420.65</v>
      </c>
      <c r="H825" s="252">
        <f t="shared" si="25"/>
        <v>-1.4409559512652326E-2</v>
      </c>
    </row>
    <row r="826" spans="2:8" x14ac:dyDescent="0.3">
      <c r="B826" s="440">
        <v>43726</v>
      </c>
      <c r="C826" s="363">
        <v>10840.65</v>
      </c>
      <c r="D826" s="252">
        <f t="shared" si="24"/>
        <v>2.1307868658482221E-3</v>
      </c>
      <c r="F826" s="440">
        <v>43726</v>
      </c>
      <c r="G826" s="170">
        <v>416.8</v>
      </c>
      <c r="H826" s="252">
        <f t="shared" si="25"/>
        <v>-9.1525020801139778E-3</v>
      </c>
    </row>
    <row r="827" spans="2:8" x14ac:dyDescent="0.3">
      <c r="B827" s="440">
        <v>43727</v>
      </c>
      <c r="C827" s="363">
        <v>10704.8</v>
      </c>
      <c r="D827" s="252">
        <f t="shared" si="24"/>
        <v>-1.2531536393112996E-2</v>
      </c>
      <c r="F827" s="440">
        <v>43727</v>
      </c>
      <c r="G827" s="170">
        <v>411.15</v>
      </c>
      <c r="H827" s="252">
        <f t="shared" si="25"/>
        <v>-1.3555662188099893E-2</v>
      </c>
    </row>
    <row r="828" spans="2:8" x14ac:dyDescent="0.3">
      <c r="B828" s="440">
        <v>43728</v>
      </c>
      <c r="C828" s="363">
        <v>11274.2</v>
      </c>
      <c r="D828" s="252">
        <f t="shared" si="24"/>
        <v>5.3191091846648275E-2</v>
      </c>
      <c r="F828" s="440">
        <v>43728</v>
      </c>
      <c r="G828" s="170">
        <v>413.7</v>
      </c>
      <c r="H828" s="252">
        <f t="shared" si="25"/>
        <v>6.2021160160525834E-3</v>
      </c>
    </row>
    <row r="829" spans="2:8" x14ac:dyDescent="0.3">
      <c r="B829" s="440">
        <v>43731</v>
      </c>
      <c r="C829" s="363">
        <v>11600.2</v>
      </c>
      <c r="D829" s="252">
        <f t="shared" si="24"/>
        <v>2.8915577158467931E-2</v>
      </c>
      <c r="F829" s="440">
        <v>43731</v>
      </c>
      <c r="G829" s="170">
        <v>409.45</v>
      </c>
      <c r="H829" s="252">
        <f t="shared" si="25"/>
        <v>-1.0273144790911237E-2</v>
      </c>
    </row>
    <row r="830" spans="2:8" x14ac:dyDescent="0.3">
      <c r="B830" s="440">
        <v>43732</v>
      </c>
      <c r="C830" s="363">
        <v>11588.2</v>
      </c>
      <c r="D830" s="252">
        <f t="shared" si="24"/>
        <v>-1.0344649230186187E-3</v>
      </c>
      <c r="F830" s="440">
        <v>43732</v>
      </c>
      <c r="G830" s="170">
        <v>409.65</v>
      </c>
      <c r="H830" s="252">
        <f t="shared" si="25"/>
        <v>4.8846012944192552E-4</v>
      </c>
    </row>
    <row r="831" spans="2:8" x14ac:dyDescent="0.3">
      <c r="B831" s="440">
        <v>43733</v>
      </c>
      <c r="C831" s="363">
        <v>11440.2</v>
      </c>
      <c r="D831" s="252">
        <f t="shared" si="24"/>
        <v>-1.2771612502373131E-2</v>
      </c>
      <c r="F831" s="440">
        <v>43733</v>
      </c>
      <c r="G831" s="170">
        <v>406.75</v>
      </c>
      <c r="H831" s="252">
        <f t="shared" si="25"/>
        <v>-7.0792139631392637E-3</v>
      </c>
    </row>
    <row r="832" spans="2:8" x14ac:dyDescent="0.3">
      <c r="B832" s="440">
        <v>43734</v>
      </c>
      <c r="C832" s="363">
        <v>11571.2</v>
      </c>
      <c r="D832" s="252">
        <f t="shared" si="24"/>
        <v>1.1450848761385357E-2</v>
      </c>
      <c r="F832" s="440">
        <v>43734</v>
      </c>
      <c r="G832" s="170">
        <v>411.95</v>
      </c>
      <c r="H832" s="252">
        <f t="shared" si="25"/>
        <v>1.2784265519360849E-2</v>
      </c>
    </row>
    <row r="833" spans="2:8" x14ac:dyDescent="0.3">
      <c r="B833" s="440">
        <v>43735</v>
      </c>
      <c r="C833" s="363">
        <v>11512.4</v>
      </c>
      <c r="D833" s="252">
        <f t="shared" si="24"/>
        <v>-5.0815818584071248E-3</v>
      </c>
      <c r="F833" s="440">
        <v>43735</v>
      </c>
      <c r="G833" s="170">
        <v>401.7</v>
      </c>
      <c r="H833" s="252">
        <f t="shared" si="25"/>
        <v>-2.4881660395679073E-2</v>
      </c>
    </row>
    <row r="834" spans="2:8" x14ac:dyDescent="0.3">
      <c r="B834" s="440">
        <v>43738</v>
      </c>
      <c r="C834" s="363">
        <v>11474.45</v>
      </c>
      <c r="D834" s="252">
        <f t="shared" si="24"/>
        <v>-3.2964455717312546E-3</v>
      </c>
      <c r="F834" s="440">
        <v>43738</v>
      </c>
      <c r="G834" s="170">
        <v>389.45</v>
      </c>
      <c r="H834" s="252">
        <f t="shared" si="25"/>
        <v>-3.0495394573064494E-2</v>
      </c>
    </row>
    <row r="835" spans="2:8" x14ac:dyDescent="0.3">
      <c r="B835" s="440">
        <v>43739</v>
      </c>
      <c r="C835" s="363">
        <v>11359.9</v>
      </c>
      <c r="D835" s="252">
        <f t="shared" si="24"/>
        <v>-9.9830492964805284E-3</v>
      </c>
      <c r="F835" s="440">
        <v>43739</v>
      </c>
      <c r="G835" s="170">
        <v>386.55</v>
      </c>
      <c r="H835" s="252">
        <f t="shared" si="25"/>
        <v>-7.4463987674925347E-3</v>
      </c>
    </row>
    <row r="836" spans="2:8" x14ac:dyDescent="0.3">
      <c r="B836" s="440">
        <v>43741</v>
      </c>
      <c r="C836" s="363">
        <v>11314</v>
      </c>
      <c r="D836" s="252">
        <f t="shared" si="24"/>
        <v>-4.0405285257792967E-3</v>
      </c>
      <c r="F836" s="440">
        <v>43741</v>
      </c>
      <c r="G836" s="170">
        <v>388.15</v>
      </c>
      <c r="H836" s="252">
        <f t="shared" si="25"/>
        <v>4.1391799249772543E-3</v>
      </c>
    </row>
    <row r="837" spans="2:8" x14ac:dyDescent="0.3">
      <c r="B837" s="440">
        <v>43742</v>
      </c>
      <c r="C837" s="363">
        <v>11174.75</v>
      </c>
      <c r="D837" s="252">
        <f t="shared" si="24"/>
        <v>-1.2307760296977222E-2</v>
      </c>
      <c r="F837" s="440">
        <v>43742</v>
      </c>
      <c r="G837" s="170">
        <v>386.05</v>
      </c>
      <c r="H837" s="252">
        <f t="shared" si="25"/>
        <v>-5.4102795311090635E-3</v>
      </c>
    </row>
    <row r="838" spans="2:8" x14ac:dyDescent="0.3">
      <c r="B838" s="440">
        <v>43745</v>
      </c>
      <c r="C838" s="363">
        <v>11126.4</v>
      </c>
      <c r="D838" s="252">
        <f t="shared" si="24"/>
        <v>-4.3267187185396239E-3</v>
      </c>
      <c r="F838" s="440">
        <v>43745</v>
      </c>
      <c r="G838" s="170">
        <v>379.9</v>
      </c>
      <c r="H838" s="252">
        <f t="shared" si="25"/>
        <v>-1.5930578940551832E-2</v>
      </c>
    </row>
    <row r="839" spans="2:8" x14ac:dyDescent="0.3">
      <c r="B839" s="440">
        <v>43747</v>
      </c>
      <c r="C839" s="363">
        <v>11313.3</v>
      </c>
      <c r="D839" s="252">
        <f t="shared" si="24"/>
        <v>1.6797886108714355E-2</v>
      </c>
      <c r="F839" s="440">
        <v>43747</v>
      </c>
      <c r="G839" s="170">
        <v>383.95</v>
      </c>
      <c r="H839" s="252">
        <f t="shared" si="25"/>
        <v>1.0660700184259131E-2</v>
      </c>
    </row>
    <row r="840" spans="2:8" x14ac:dyDescent="0.3">
      <c r="B840" s="440">
        <v>43748</v>
      </c>
      <c r="C840" s="363">
        <v>11234.55</v>
      </c>
      <c r="D840" s="252">
        <f t="shared" si="24"/>
        <v>-6.9608337089973604E-3</v>
      </c>
      <c r="F840" s="440">
        <v>43748</v>
      </c>
      <c r="G840" s="170">
        <v>387.05</v>
      </c>
      <c r="H840" s="252">
        <f t="shared" si="25"/>
        <v>8.0739679645787099E-3</v>
      </c>
    </row>
    <row r="841" spans="2:8" x14ac:dyDescent="0.3">
      <c r="B841" s="440">
        <v>43749</v>
      </c>
      <c r="C841" s="363">
        <v>11305.05</v>
      </c>
      <c r="D841" s="252">
        <f t="shared" si="24"/>
        <v>6.2752847243547905E-3</v>
      </c>
      <c r="F841" s="440">
        <v>43749</v>
      </c>
      <c r="G841" s="170">
        <v>386.3</v>
      </c>
      <c r="H841" s="252">
        <f t="shared" si="25"/>
        <v>-1.937734142875569E-3</v>
      </c>
    </row>
    <row r="842" spans="2:8" x14ac:dyDescent="0.3">
      <c r="B842" s="440">
        <v>43752</v>
      </c>
      <c r="C842" s="363">
        <v>11341.15</v>
      </c>
      <c r="D842" s="252">
        <f t="shared" si="24"/>
        <v>3.1932631876905315E-3</v>
      </c>
      <c r="F842" s="440">
        <v>43752</v>
      </c>
      <c r="G842" s="170">
        <v>394.65</v>
      </c>
      <c r="H842" s="252">
        <f t="shared" si="25"/>
        <v>2.1615324877038544E-2</v>
      </c>
    </row>
    <row r="843" spans="2:8" x14ac:dyDescent="0.3">
      <c r="B843" s="440">
        <v>43753</v>
      </c>
      <c r="C843" s="363">
        <v>11428.3</v>
      </c>
      <c r="D843" s="252">
        <f t="shared" ref="D843:D906" si="26">C843/C842-1</f>
        <v>7.6844059023997158E-3</v>
      </c>
      <c r="F843" s="440">
        <v>43753</v>
      </c>
      <c r="G843" s="170">
        <v>396.8</v>
      </c>
      <c r="H843" s="252">
        <f t="shared" ref="H843:H906" si="27">G843/G842-1</f>
        <v>5.4478651970100156E-3</v>
      </c>
    </row>
    <row r="844" spans="2:8" x14ac:dyDescent="0.3">
      <c r="B844" s="440">
        <v>43754</v>
      </c>
      <c r="C844" s="363">
        <v>11464</v>
      </c>
      <c r="D844" s="252">
        <f t="shared" si="26"/>
        <v>3.1238241908246867E-3</v>
      </c>
      <c r="F844" s="440">
        <v>43754</v>
      </c>
      <c r="G844" s="170">
        <v>399.7</v>
      </c>
      <c r="H844" s="252">
        <f t="shared" si="27"/>
        <v>7.3084677419354982E-3</v>
      </c>
    </row>
    <row r="845" spans="2:8" x14ac:dyDescent="0.3">
      <c r="B845" s="440">
        <v>43755</v>
      </c>
      <c r="C845" s="363">
        <v>11586.35</v>
      </c>
      <c r="D845" s="252">
        <f t="shared" si="26"/>
        <v>1.0672540125610697E-2</v>
      </c>
      <c r="F845" s="440">
        <v>43755</v>
      </c>
      <c r="G845" s="170">
        <v>401.5</v>
      </c>
      <c r="H845" s="252">
        <f t="shared" si="27"/>
        <v>4.5033775331499992E-3</v>
      </c>
    </row>
    <row r="846" spans="2:8" x14ac:dyDescent="0.3">
      <c r="B846" s="440">
        <v>43756</v>
      </c>
      <c r="C846" s="363">
        <v>11661.85</v>
      </c>
      <c r="D846" s="252">
        <f t="shared" si="26"/>
        <v>6.5162885636977919E-3</v>
      </c>
      <c r="F846" s="440">
        <v>43756</v>
      </c>
      <c r="G846" s="170">
        <v>401.65</v>
      </c>
      <c r="H846" s="252">
        <f t="shared" si="27"/>
        <v>3.7359900373590271E-4</v>
      </c>
    </row>
    <row r="847" spans="2:8" x14ac:dyDescent="0.3">
      <c r="B847" s="440">
        <v>43760</v>
      </c>
      <c r="C847" s="363">
        <v>11588.35</v>
      </c>
      <c r="D847" s="252">
        <f t="shared" si="26"/>
        <v>-6.302602074284902E-3</v>
      </c>
      <c r="F847" s="440">
        <v>43760</v>
      </c>
      <c r="G847" s="170">
        <v>405.45</v>
      </c>
      <c r="H847" s="252">
        <f t="shared" si="27"/>
        <v>9.4609734843769111E-3</v>
      </c>
    </row>
    <row r="848" spans="2:8" x14ac:dyDescent="0.3">
      <c r="B848" s="440">
        <v>43761</v>
      </c>
      <c r="C848" s="363">
        <v>11604.1</v>
      </c>
      <c r="D848" s="252">
        <f t="shared" si="26"/>
        <v>1.3591236025836118E-3</v>
      </c>
      <c r="F848" s="440">
        <v>43761</v>
      </c>
      <c r="G848" s="170">
        <v>405.2</v>
      </c>
      <c r="H848" s="252">
        <f t="shared" si="27"/>
        <v>-6.1659884079412475E-4</v>
      </c>
    </row>
    <row r="849" spans="2:8" x14ac:dyDescent="0.3">
      <c r="B849" s="440">
        <v>43762</v>
      </c>
      <c r="C849" s="363">
        <v>11582.6</v>
      </c>
      <c r="D849" s="252">
        <f t="shared" si="26"/>
        <v>-1.8527934092260612E-3</v>
      </c>
      <c r="F849" s="440">
        <v>43762</v>
      </c>
      <c r="G849" s="170">
        <v>405.95</v>
      </c>
      <c r="H849" s="252">
        <f t="shared" si="27"/>
        <v>1.8509378084896611E-3</v>
      </c>
    </row>
    <row r="850" spans="2:8" x14ac:dyDescent="0.3">
      <c r="B850" s="440">
        <v>43763</v>
      </c>
      <c r="C850" s="363">
        <v>11583.9</v>
      </c>
      <c r="D850" s="252">
        <f t="shared" si="26"/>
        <v>1.122373214994532E-4</v>
      </c>
      <c r="F850" s="440">
        <v>43763</v>
      </c>
      <c r="G850" s="170">
        <v>417.5</v>
      </c>
      <c r="H850" s="252">
        <f t="shared" si="27"/>
        <v>2.8451779775834574E-2</v>
      </c>
    </row>
    <row r="851" spans="2:8" x14ac:dyDescent="0.3">
      <c r="B851" s="440">
        <v>43765</v>
      </c>
      <c r="C851" s="363">
        <v>11627.15</v>
      </c>
      <c r="D851" s="252">
        <f t="shared" si="26"/>
        <v>3.7336302972228452E-3</v>
      </c>
      <c r="F851" s="440">
        <v>43765</v>
      </c>
      <c r="G851" s="170">
        <v>417.75</v>
      </c>
      <c r="H851" s="252">
        <f t="shared" si="27"/>
        <v>5.9880239520948564E-4</v>
      </c>
    </row>
    <row r="852" spans="2:8" x14ac:dyDescent="0.3">
      <c r="B852" s="440">
        <v>43767</v>
      </c>
      <c r="C852" s="363">
        <v>11786.85</v>
      </c>
      <c r="D852" s="252">
        <f t="shared" si="26"/>
        <v>1.3735094154629479E-2</v>
      </c>
      <c r="F852" s="440">
        <v>43767</v>
      </c>
      <c r="G852" s="170">
        <v>421.95</v>
      </c>
      <c r="H852" s="252">
        <f t="shared" si="27"/>
        <v>1.0053859964093359E-2</v>
      </c>
    </row>
    <row r="853" spans="2:8" x14ac:dyDescent="0.3">
      <c r="B853" s="440">
        <v>43768</v>
      </c>
      <c r="C853" s="363">
        <v>11844.1</v>
      </c>
      <c r="D853" s="252">
        <f t="shared" si="26"/>
        <v>4.8571077090147075E-3</v>
      </c>
      <c r="F853" s="440">
        <v>43768</v>
      </c>
      <c r="G853" s="170">
        <v>429.65</v>
      </c>
      <c r="H853" s="252">
        <f t="shared" si="27"/>
        <v>1.82486076549353E-2</v>
      </c>
    </row>
    <row r="854" spans="2:8" x14ac:dyDescent="0.3">
      <c r="B854" s="440">
        <v>43769</v>
      </c>
      <c r="C854" s="363">
        <v>11877.45</v>
      </c>
      <c r="D854" s="252">
        <f t="shared" si="26"/>
        <v>2.8157479251273987E-3</v>
      </c>
      <c r="F854" s="440">
        <v>43769</v>
      </c>
      <c r="G854" s="170">
        <v>433.4</v>
      </c>
      <c r="H854" s="252">
        <f t="shared" si="27"/>
        <v>8.7280344466427184E-3</v>
      </c>
    </row>
    <row r="855" spans="2:8" x14ac:dyDescent="0.3">
      <c r="B855" s="440">
        <v>43770</v>
      </c>
      <c r="C855" s="363">
        <v>11890.6</v>
      </c>
      <c r="D855" s="252">
        <f t="shared" si="26"/>
        <v>1.1071400005893128E-3</v>
      </c>
      <c r="F855" s="440">
        <v>43770</v>
      </c>
      <c r="G855" s="170">
        <v>437.55</v>
      </c>
      <c r="H855" s="252">
        <f t="shared" si="27"/>
        <v>9.5754499307798557E-3</v>
      </c>
    </row>
    <row r="856" spans="2:8" x14ac:dyDescent="0.3">
      <c r="B856" s="440">
        <v>43773</v>
      </c>
      <c r="C856" s="363">
        <v>11941.3</v>
      </c>
      <c r="D856" s="252">
        <f t="shared" si="26"/>
        <v>4.2638723024910341E-3</v>
      </c>
      <c r="F856" s="440">
        <v>43773</v>
      </c>
      <c r="G856" s="170">
        <v>437.95</v>
      </c>
      <c r="H856" s="252">
        <f t="shared" si="27"/>
        <v>9.1418123643016713E-4</v>
      </c>
    </row>
    <row r="857" spans="2:8" x14ac:dyDescent="0.3">
      <c r="B857" s="440">
        <v>43774</v>
      </c>
      <c r="C857" s="363">
        <v>11917.2</v>
      </c>
      <c r="D857" s="252">
        <f t="shared" si="26"/>
        <v>-2.0182057229948258E-3</v>
      </c>
      <c r="F857" s="440">
        <v>43774</v>
      </c>
      <c r="G857" s="170">
        <v>429.9</v>
      </c>
      <c r="H857" s="252">
        <f t="shared" si="27"/>
        <v>-1.8381093732161236E-2</v>
      </c>
    </row>
    <row r="858" spans="2:8" x14ac:dyDescent="0.3">
      <c r="B858" s="440">
        <v>43775</v>
      </c>
      <c r="C858" s="363">
        <v>11966.05</v>
      </c>
      <c r="D858" s="252">
        <f t="shared" si="26"/>
        <v>4.0991172423050504E-3</v>
      </c>
      <c r="F858" s="440">
        <v>43775</v>
      </c>
      <c r="G858" s="170">
        <v>427.9</v>
      </c>
      <c r="H858" s="252">
        <f t="shared" si="27"/>
        <v>-4.6522447080716844E-3</v>
      </c>
    </row>
    <row r="859" spans="2:8" x14ac:dyDescent="0.3">
      <c r="B859" s="440">
        <v>43776</v>
      </c>
      <c r="C859" s="363">
        <v>12012.05</v>
      </c>
      <c r="D859" s="252">
        <f t="shared" si="26"/>
        <v>3.8442092419803675E-3</v>
      </c>
      <c r="F859" s="440">
        <v>43776</v>
      </c>
      <c r="G859" s="170">
        <v>440.6</v>
      </c>
      <c r="H859" s="252">
        <f t="shared" si="27"/>
        <v>2.9679831736387108E-2</v>
      </c>
    </row>
    <row r="860" spans="2:8" x14ac:dyDescent="0.3">
      <c r="B860" s="440">
        <v>43777</v>
      </c>
      <c r="C860" s="363">
        <v>11908.15</v>
      </c>
      <c r="D860" s="252">
        <f t="shared" si="26"/>
        <v>-8.6496476454892557E-3</v>
      </c>
      <c r="F860" s="440">
        <v>43777</v>
      </c>
      <c r="G860" s="170">
        <v>422.1</v>
      </c>
      <c r="H860" s="252">
        <f t="shared" si="27"/>
        <v>-4.1988197911938308E-2</v>
      </c>
    </row>
    <row r="861" spans="2:8" x14ac:dyDescent="0.3">
      <c r="B861" s="440">
        <v>43780</v>
      </c>
      <c r="C861" s="363">
        <v>11913.45</v>
      </c>
      <c r="D861" s="252">
        <f t="shared" si="26"/>
        <v>4.4507333212973066E-4</v>
      </c>
      <c r="F861" s="440">
        <v>43780</v>
      </c>
      <c r="G861" s="170">
        <v>421.45</v>
      </c>
      <c r="H861" s="252">
        <f t="shared" si="27"/>
        <v>-1.5399194503672442E-3</v>
      </c>
    </row>
    <row r="862" spans="2:8" x14ac:dyDescent="0.3">
      <c r="B862" s="440">
        <v>43782</v>
      </c>
      <c r="C862" s="363">
        <v>11840.45</v>
      </c>
      <c r="D862" s="252">
        <f t="shared" si="26"/>
        <v>-6.1275281299707496E-3</v>
      </c>
      <c r="F862" s="440">
        <v>43782</v>
      </c>
      <c r="G862" s="170">
        <v>412</v>
      </c>
      <c r="H862" s="252">
        <f t="shared" si="27"/>
        <v>-2.2422588681931366E-2</v>
      </c>
    </row>
    <row r="863" spans="2:8" x14ac:dyDescent="0.3">
      <c r="B863" s="440">
        <v>43783</v>
      </c>
      <c r="C863" s="363">
        <v>11872.1</v>
      </c>
      <c r="D863" s="252">
        <f t="shared" si="26"/>
        <v>2.6730402982995116E-3</v>
      </c>
      <c r="F863" s="440">
        <v>43783</v>
      </c>
      <c r="G863" s="170">
        <v>410.2</v>
      </c>
      <c r="H863" s="252">
        <f t="shared" si="27"/>
        <v>-4.3689320388349273E-3</v>
      </c>
    </row>
    <row r="864" spans="2:8" x14ac:dyDescent="0.3">
      <c r="B864" s="440">
        <v>43784</v>
      </c>
      <c r="C864" s="363">
        <v>11895.45</v>
      </c>
      <c r="D864" s="252">
        <f t="shared" si="26"/>
        <v>1.9667961017848512E-3</v>
      </c>
      <c r="F864" s="440">
        <v>43784</v>
      </c>
      <c r="G864" s="170">
        <v>415.05</v>
      </c>
      <c r="H864" s="252">
        <f t="shared" si="27"/>
        <v>1.1823500731350522E-2</v>
      </c>
    </row>
    <row r="865" spans="2:8" x14ac:dyDescent="0.3">
      <c r="B865" s="440">
        <v>43787</v>
      </c>
      <c r="C865" s="363">
        <v>11884.5</v>
      </c>
      <c r="D865" s="252">
        <f t="shared" si="26"/>
        <v>-9.2052003076814604E-4</v>
      </c>
      <c r="F865" s="440">
        <v>43787</v>
      </c>
      <c r="G865" s="170">
        <v>424.55</v>
      </c>
      <c r="H865" s="252">
        <f t="shared" si="27"/>
        <v>2.2888808577279818E-2</v>
      </c>
    </row>
    <row r="866" spans="2:8" x14ac:dyDescent="0.3">
      <c r="B866" s="440">
        <v>43788</v>
      </c>
      <c r="C866" s="363">
        <v>11940.1</v>
      </c>
      <c r="D866" s="252">
        <f t="shared" si="26"/>
        <v>4.6783625730995038E-3</v>
      </c>
      <c r="F866" s="440">
        <v>43788</v>
      </c>
      <c r="G866" s="170">
        <v>425.9</v>
      </c>
      <c r="H866" s="252">
        <f t="shared" si="27"/>
        <v>3.1798374749734126E-3</v>
      </c>
    </row>
    <row r="867" spans="2:8" x14ac:dyDescent="0.3">
      <c r="B867" s="440">
        <v>43789</v>
      </c>
      <c r="C867" s="363">
        <v>11999.1</v>
      </c>
      <c r="D867" s="252">
        <f t="shared" si="26"/>
        <v>4.941332149646982E-3</v>
      </c>
      <c r="F867" s="440">
        <v>43789</v>
      </c>
      <c r="G867" s="170">
        <v>450</v>
      </c>
      <c r="H867" s="252">
        <f t="shared" si="27"/>
        <v>5.6586053064099584E-2</v>
      </c>
    </row>
    <row r="868" spans="2:8" x14ac:dyDescent="0.3">
      <c r="B868" s="440">
        <v>43790</v>
      </c>
      <c r="C868" s="363">
        <v>11968.4</v>
      </c>
      <c r="D868" s="252">
        <f t="shared" si="26"/>
        <v>-2.5585252227251498E-3</v>
      </c>
      <c r="F868" s="440">
        <v>43790</v>
      </c>
      <c r="G868" s="170">
        <v>447.15</v>
      </c>
      <c r="H868" s="252">
        <f t="shared" si="27"/>
        <v>-6.333333333333413E-3</v>
      </c>
    </row>
    <row r="869" spans="2:8" x14ac:dyDescent="0.3">
      <c r="B869" s="440">
        <v>43791</v>
      </c>
      <c r="C869" s="363">
        <v>11914.4</v>
      </c>
      <c r="D869" s="252">
        <f t="shared" si="26"/>
        <v>-4.5118812873901071E-3</v>
      </c>
      <c r="F869" s="440">
        <v>43791</v>
      </c>
      <c r="G869" s="170">
        <v>452.1</v>
      </c>
      <c r="H869" s="252">
        <f t="shared" si="27"/>
        <v>1.1070110701107083E-2</v>
      </c>
    </row>
    <row r="870" spans="2:8" x14ac:dyDescent="0.3">
      <c r="B870" s="440">
        <v>43794</v>
      </c>
      <c r="C870" s="363">
        <v>12073.75</v>
      </c>
      <c r="D870" s="252">
        <f t="shared" si="26"/>
        <v>1.3374571946552116E-2</v>
      </c>
      <c r="F870" s="440">
        <v>43794</v>
      </c>
      <c r="G870" s="170">
        <v>458.95</v>
      </c>
      <c r="H870" s="252">
        <f t="shared" si="27"/>
        <v>1.5151515151515138E-2</v>
      </c>
    </row>
    <row r="871" spans="2:8" x14ac:dyDescent="0.3">
      <c r="B871" s="440">
        <v>43795</v>
      </c>
      <c r="C871" s="363">
        <v>12037.7</v>
      </c>
      <c r="D871" s="252">
        <f t="shared" si="26"/>
        <v>-2.9858163370948265E-3</v>
      </c>
      <c r="F871" s="440">
        <v>43795</v>
      </c>
      <c r="G871" s="170">
        <v>450.75</v>
      </c>
      <c r="H871" s="252">
        <f t="shared" si="27"/>
        <v>-1.7866870029414894E-2</v>
      </c>
    </row>
    <row r="872" spans="2:8" x14ac:dyDescent="0.3">
      <c r="B872" s="440">
        <v>43796</v>
      </c>
      <c r="C872" s="363">
        <v>12100.7</v>
      </c>
      <c r="D872" s="252">
        <f t="shared" si="26"/>
        <v>5.2335579055799997E-3</v>
      </c>
      <c r="F872" s="440">
        <v>43796</v>
      </c>
      <c r="G872" s="170">
        <v>458.75</v>
      </c>
      <c r="H872" s="252">
        <f t="shared" si="27"/>
        <v>1.7748197448696601E-2</v>
      </c>
    </row>
    <row r="873" spans="2:8" x14ac:dyDescent="0.3">
      <c r="B873" s="440">
        <v>43797</v>
      </c>
      <c r="C873" s="363">
        <v>12151.15</v>
      </c>
      <c r="D873" s="252">
        <f t="shared" si="26"/>
        <v>4.1691802953547352E-3</v>
      </c>
      <c r="F873" s="440">
        <v>43797</v>
      </c>
      <c r="G873" s="170">
        <v>457.35</v>
      </c>
      <c r="H873" s="252">
        <f t="shared" si="27"/>
        <v>-3.0517711171661466E-3</v>
      </c>
    </row>
    <row r="874" spans="2:8" x14ac:dyDescent="0.3">
      <c r="B874" s="440">
        <v>43798</v>
      </c>
      <c r="C874" s="363">
        <v>12056.05</v>
      </c>
      <c r="D874" s="252">
        <f t="shared" si="26"/>
        <v>-7.8264197215901499E-3</v>
      </c>
      <c r="F874" s="440">
        <v>43798</v>
      </c>
      <c r="G874" s="170">
        <v>449.85</v>
      </c>
      <c r="H874" s="252">
        <f t="shared" si="27"/>
        <v>-1.6398819285011523E-2</v>
      </c>
    </row>
    <row r="875" spans="2:8" x14ac:dyDescent="0.3">
      <c r="B875" s="440">
        <v>43801</v>
      </c>
      <c r="C875" s="363">
        <v>12048.2</v>
      </c>
      <c r="D875" s="252">
        <f t="shared" si="26"/>
        <v>-6.5112536859079917E-4</v>
      </c>
      <c r="F875" s="440">
        <v>43801</v>
      </c>
      <c r="G875" s="170">
        <v>440</v>
      </c>
      <c r="H875" s="252">
        <f t="shared" si="27"/>
        <v>-2.1896187618094975E-2</v>
      </c>
    </row>
    <row r="876" spans="2:8" x14ac:dyDescent="0.3">
      <c r="B876" s="440">
        <v>43802</v>
      </c>
      <c r="C876" s="363">
        <v>11994.2</v>
      </c>
      <c r="D876" s="252">
        <f t="shared" si="26"/>
        <v>-4.4819973108015665E-3</v>
      </c>
      <c r="F876" s="440">
        <v>43802</v>
      </c>
      <c r="G876" s="170">
        <v>433.6</v>
      </c>
      <c r="H876" s="252">
        <f t="shared" si="27"/>
        <v>-1.4545454545454528E-2</v>
      </c>
    </row>
    <row r="877" spans="2:8" x14ac:dyDescent="0.3">
      <c r="B877" s="440">
        <v>43803</v>
      </c>
      <c r="C877" s="363">
        <v>12043.2</v>
      </c>
      <c r="D877" s="252">
        <f t="shared" si="26"/>
        <v>4.0853078988176694E-3</v>
      </c>
      <c r="F877" s="440">
        <v>43803</v>
      </c>
      <c r="G877" s="170">
        <v>443.7</v>
      </c>
      <c r="H877" s="252">
        <f t="shared" si="27"/>
        <v>2.3293357933579228E-2</v>
      </c>
    </row>
    <row r="878" spans="2:8" x14ac:dyDescent="0.3">
      <c r="B878" s="440">
        <v>43804</v>
      </c>
      <c r="C878" s="363">
        <v>12018.4</v>
      </c>
      <c r="D878" s="252">
        <f t="shared" si="26"/>
        <v>-2.0592533545902292E-3</v>
      </c>
      <c r="F878" s="440">
        <v>43804</v>
      </c>
      <c r="G878" s="170">
        <v>436.7</v>
      </c>
      <c r="H878" s="252">
        <f t="shared" si="27"/>
        <v>-1.5776425512733838E-2</v>
      </c>
    </row>
    <row r="879" spans="2:8" x14ac:dyDescent="0.3">
      <c r="B879" s="440">
        <v>43805</v>
      </c>
      <c r="C879" s="363">
        <v>11921.5</v>
      </c>
      <c r="D879" s="252">
        <f t="shared" si="26"/>
        <v>-8.062637289489416E-3</v>
      </c>
      <c r="F879" s="440">
        <v>43805</v>
      </c>
      <c r="G879" s="170">
        <v>428.6</v>
      </c>
      <c r="H879" s="252">
        <f t="shared" si="27"/>
        <v>-1.8548202427295601E-2</v>
      </c>
    </row>
    <row r="880" spans="2:8" x14ac:dyDescent="0.3">
      <c r="B880" s="440">
        <v>43808</v>
      </c>
      <c r="C880" s="363">
        <v>11937.5</v>
      </c>
      <c r="D880" s="252">
        <f t="shared" si="26"/>
        <v>1.342112989137334E-3</v>
      </c>
      <c r="F880" s="440">
        <v>43808</v>
      </c>
      <c r="G880" s="170">
        <v>427</v>
      </c>
      <c r="H880" s="252">
        <f t="shared" si="27"/>
        <v>-3.7330844610359293E-3</v>
      </c>
    </row>
    <row r="881" spans="2:8" x14ac:dyDescent="0.3">
      <c r="B881" s="440">
        <v>43809</v>
      </c>
      <c r="C881" s="363">
        <v>11856.8</v>
      </c>
      <c r="D881" s="252">
        <f t="shared" si="26"/>
        <v>-6.7602094240838406E-3</v>
      </c>
      <c r="F881" s="440">
        <v>43809</v>
      </c>
      <c r="G881" s="170">
        <v>427.65</v>
      </c>
      <c r="H881" s="252">
        <f t="shared" si="27"/>
        <v>1.5222482435597318E-3</v>
      </c>
    </row>
    <row r="882" spans="2:8" x14ac:dyDescent="0.3">
      <c r="B882" s="440">
        <v>43810</v>
      </c>
      <c r="C882" s="363">
        <v>11910.15</v>
      </c>
      <c r="D882" s="252">
        <f t="shared" si="26"/>
        <v>4.4995276971864229E-3</v>
      </c>
      <c r="F882" s="440">
        <v>43810</v>
      </c>
      <c r="G882" s="170">
        <v>429.8</v>
      </c>
      <c r="H882" s="252">
        <f t="shared" si="27"/>
        <v>5.0274757395067926E-3</v>
      </c>
    </row>
    <row r="883" spans="2:8" x14ac:dyDescent="0.3">
      <c r="B883" s="440">
        <v>43811</v>
      </c>
      <c r="C883" s="363">
        <v>11971.8</v>
      </c>
      <c r="D883" s="252">
        <f t="shared" si="26"/>
        <v>5.1762572259794748E-3</v>
      </c>
      <c r="F883" s="440">
        <v>43811</v>
      </c>
      <c r="G883" s="170">
        <v>434.15</v>
      </c>
      <c r="H883" s="252">
        <f t="shared" si="27"/>
        <v>1.0120986505351315E-2</v>
      </c>
    </row>
    <row r="884" spans="2:8" x14ac:dyDescent="0.3">
      <c r="B884" s="440">
        <v>43812</v>
      </c>
      <c r="C884" s="363">
        <v>12086.7</v>
      </c>
      <c r="D884" s="252">
        <f t="shared" si="26"/>
        <v>9.5975542524935342E-3</v>
      </c>
      <c r="F884" s="440">
        <v>43812</v>
      </c>
      <c r="G884" s="170">
        <v>439.25</v>
      </c>
      <c r="H884" s="252">
        <f t="shared" si="27"/>
        <v>1.1747092018887573E-2</v>
      </c>
    </row>
    <row r="885" spans="2:8" x14ac:dyDescent="0.3">
      <c r="B885" s="440">
        <v>43815</v>
      </c>
      <c r="C885" s="363">
        <v>12053.95</v>
      </c>
      <c r="D885" s="252">
        <f t="shared" si="26"/>
        <v>-2.7095898797852014E-3</v>
      </c>
      <c r="F885" s="440">
        <v>43815</v>
      </c>
      <c r="G885" s="170">
        <v>435.15</v>
      </c>
      <c r="H885" s="252">
        <f t="shared" si="27"/>
        <v>-9.3340922026181605E-3</v>
      </c>
    </row>
    <row r="886" spans="2:8" x14ac:dyDescent="0.3">
      <c r="B886" s="440">
        <v>43816</v>
      </c>
      <c r="C886" s="363">
        <v>12165</v>
      </c>
      <c r="D886" s="252">
        <f t="shared" si="26"/>
        <v>9.2127476885168758E-3</v>
      </c>
      <c r="F886" s="440">
        <v>43816</v>
      </c>
      <c r="G886" s="170">
        <v>429.05</v>
      </c>
      <c r="H886" s="252">
        <f t="shared" si="27"/>
        <v>-1.4018154659312776E-2</v>
      </c>
    </row>
    <row r="887" spans="2:8" x14ac:dyDescent="0.3">
      <c r="B887" s="440">
        <v>43817</v>
      </c>
      <c r="C887" s="363">
        <v>12221.65</v>
      </c>
      <c r="D887" s="252">
        <f t="shared" si="26"/>
        <v>4.6568023016850812E-3</v>
      </c>
      <c r="F887" s="440">
        <v>43817</v>
      </c>
      <c r="G887" s="170">
        <v>439.75</v>
      </c>
      <c r="H887" s="252">
        <f t="shared" si="27"/>
        <v>2.4938818319543143E-2</v>
      </c>
    </row>
    <row r="888" spans="2:8" x14ac:dyDescent="0.3">
      <c r="B888" s="440">
        <v>43818</v>
      </c>
      <c r="C888" s="363">
        <v>12259.7</v>
      </c>
      <c r="D888" s="252">
        <f t="shared" si="26"/>
        <v>3.1133275785184544E-3</v>
      </c>
      <c r="F888" s="440">
        <v>43818</v>
      </c>
      <c r="G888" s="170">
        <v>433.6</v>
      </c>
      <c r="H888" s="252">
        <f t="shared" si="27"/>
        <v>-1.3985218874360328E-2</v>
      </c>
    </row>
    <row r="889" spans="2:8" x14ac:dyDescent="0.3">
      <c r="B889" s="440">
        <v>43819</v>
      </c>
      <c r="C889" s="363">
        <v>12271.8</v>
      </c>
      <c r="D889" s="252">
        <f t="shared" si="26"/>
        <v>9.8697358010380043E-4</v>
      </c>
      <c r="F889" s="440">
        <v>43819</v>
      </c>
      <c r="G889" s="170">
        <v>430.3</v>
      </c>
      <c r="H889" s="252">
        <f t="shared" si="27"/>
        <v>-7.6107011070111197E-3</v>
      </c>
    </row>
    <row r="890" spans="2:8" x14ac:dyDescent="0.3">
      <c r="B890" s="440">
        <v>43822</v>
      </c>
      <c r="C890" s="363">
        <v>12262.75</v>
      </c>
      <c r="D890" s="252">
        <f t="shared" si="26"/>
        <v>-7.3746312684364046E-4</v>
      </c>
      <c r="F890" s="440">
        <v>43822</v>
      </c>
      <c r="G890" s="170">
        <v>428.4</v>
      </c>
      <c r="H890" s="252">
        <f t="shared" si="27"/>
        <v>-4.4155240529863971E-3</v>
      </c>
    </row>
    <row r="891" spans="2:8" x14ac:dyDescent="0.3">
      <c r="B891" s="440">
        <v>43823</v>
      </c>
      <c r="C891" s="363">
        <v>12214.55</v>
      </c>
      <c r="D891" s="252">
        <f t="shared" si="26"/>
        <v>-3.930602841940134E-3</v>
      </c>
      <c r="F891" s="440">
        <v>43823</v>
      </c>
      <c r="G891" s="170">
        <v>429.8</v>
      </c>
      <c r="H891" s="252">
        <f t="shared" si="27"/>
        <v>3.2679738562091387E-3</v>
      </c>
    </row>
    <row r="892" spans="2:8" x14ac:dyDescent="0.3">
      <c r="B892" s="440">
        <v>43825</v>
      </c>
      <c r="C892" s="363">
        <v>12126.55</v>
      </c>
      <c r="D892" s="252">
        <f t="shared" si="26"/>
        <v>-7.2045224752447234E-3</v>
      </c>
      <c r="F892" s="440">
        <v>43825</v>
      </c>
      <c r="G892" s="170">
        <v>422.15</v>
      </c>
      <c r="H892" s="252">
        <f t="shared" si="27"/>
        <v>-1.779897626803173E-2</v>
      </c>
    </row>
    <row r="893" spans="2:8" x14ac:dyDescent="0.3">
      <c r="B893" s="440">
        <v>43826</v>
      </c>
      <c r="C893" s="363">
        <v>12245.8</v>
      </c>
      <c r="D893" s="252">
        <f t="shared" si="26"/>
        <v>9.8337944427722146E-3</v>
      </c>
      <c r="F893" s="440">
        <v>43826</v>
      </c>
      <c r="G893" s="170">
        <v>426</v>
      </c>
      <c r="H893" s="252">
        <f t="shared" si="27"/>
        <v>9.1199810493900468E-3</v>
      </c>
    </row>
    <row r="894" spans="2:8" x14ac:dyDescent="0.3">
      <c r="B894" s="440">
        <v>43829</v>
      </c>
      <c r="C894" s="363">
        <v>12255.85</v>
      </c>
      <c r="D894" s="252">
        <f t="shared" si="26"/>
        <v>8.206895425371119E-4</v>
      </c>
      <c r="F894" s="440">
        <v>43829</v>
      </c>
      <c r="G894" s="170">
        <v>430.15</v>
      </c>
      <c r="H894" s="252">
        <f t="shared" si="27"/>
        <v>9.741784037558654E-3</v>
      </c>
    </row>
    <row r="895" spans="2:8" x14ac:dyDescent="0.3">
      <c r="B895" s="440">
        <v>43830</v>
      </c>
      <c r="C895" s="363">
        <v>12168.45</v>
      </c>
      <c r="D895" s="252">
        <f t="shared" si="26"/>
        <v>-7.1312883235352675E-3</v>
      </c>
      <c r="F895" s="440">
        <v>43830</v>
      </c>
      <c r="G895" s="170">
        <v>432.55</v>
      </c>
      <c r="H895" s="252">
        <f t="shared" si="27"/>
        <v>5.5794490294083232E-3</v>
      </c>
    </row>
    <row r="896" spans="2:8" x14ac:dyDescent="0.3">
      <c r="B896" s="440">
        <v>43831</v>
      </c>
      <c r="C896" s="363">
        <v>12182.5</v>
      </c>
      <c r="D896" s="252">
        <f t="shared" si="26"/>
        <v>1.1546252809520041E-3</v>
      </c>
      <c r="F896" s="440">
        <v>43831</v>
      </c>
      <c r="G896" s="170">
        <v>434.3</v>
      </c>
      <c r="H896" s="252">
        <f t="shared" si="27"/>
        <v>4.0457750549069971E-3</v>
      </c>
    </row>
    <row r="897" spans="2:8" x14ac:dyDescent="0.3">
      <c r="B897" s="440">
        <v>43832</v>
      </c>
      <c r="C897" s="363">
        <v>12282.2</v>
      </c>
      <c r="D897" s="252">
        <f t="shared" si="26"/>
        <v>8.1838703057666162E-3</v>
      </c>
      <c r="F897" s="440">
        <v>43832</v>
      </c>
      <c r="G897" s="170">
        <v>434.95</v>
      </c>
      <c r="H897" s="252">
        <f t="shared" si="27"/>
        <v>1.4966612940363611E-3</v>
      </c>
    </row>
    <row r="898" spans="2:8" x14ac:dyDescent="0.3">
      <c r="B898" s="440">
        <v>43833</v>
      </c>
      <c r="C898" s="363">
        <v>12226.65</v>
      </c>
      <c r="D898" s="252">
        <f t="shared" si="26"/>
        <v>-4.5228053606032326E-3</v>
      </c>
      <c r="F898" s="440">
        <v>43833</v>
      </c>
      <c r="G898" s="170">
        <v>444.6</v>
      </c>
      <c r="H898" s="252">
        <f t="shared" si="27"/>
        <v>2.2186458213587779E-2</v>
      </c>
    </row>
    <row r="899" spans="2:8" x14ac:dyDescent="0.3">
      <c r="B899" s="440">
        <v>43836</v>
      </c>
      <c r="C899" s="363">
        <v>11993.05</v>
      </c>
      <c r="D899" s="252">
        <f t="shared" si="26"/>
        <v>-1.91058057603678E-2</v>
      </c>
      <c r="F899" s="440">
        <v>43836</v>
      </c>
      <c r="G899" s="170">
        <v>439.95</v>
      </c>
      <c r="H899" s="252">
        <f t="shared" si="27"/>
        <v>-1.0458839406207954E-2</v>
      </c>
    </row>
    <row r="900" spans="2:8" x14ac:dyDescent="0.3">
      <c r="B900" s="440">
        <v>43837</v>
      </c>
      <c r="C900" s="363">
        <v>12052.95</v>
      </c>
      <c r="D900" s="252">
        <f t="shared" si="26"/>
        <v>4.9945593489564288E-3</v>
      </c>
      <c r="F900" s="440">
        <v>43837</v>
      </c>
      <c r="G900" s="170">
        <v>446.4</v>
      </c>
      <c r="H900" s="252">
        <f t="shared" si="27"/>
        <v>1.4660756904193661E-2</v>
      </c>
    </row>
    <row r="901" spans="2:8" x14ac:dyDescent="0.3">
      <c r="B901" s="440">
        <v>43838</v>
      </c>
      <c r="C901" s="363">
        <v>12025.35</v>
      </c>
      <c r="D901" s="252">
        <f t="shared" si="26"/>
        <v>-2.2898958346296849E-3</v>
      </c>
      <c r="F901" s="440">
        <v>43838</v>
      </c>
      <c r="G901" s="170">
        <v>440.1</v>
      </c>
      <c r="H901" s="252">
        <f t="shared" si="27"/>
        <v>-1.4112903225806384E-2</v>
      </c>
    </row>
    <row r="902" spans="2:8" x14ac:dyDescent="0.3">
      <c r="B902" s="440">
        <v>43839</v>
      </c>
      <c r="C902" s="363">
        <v>12215.9</v>
      </c>
      <c r="D902" s="252">
        <f t="shared" si="26"/>
        <v>1.5845692640962472E-2</v>
      </c>
      <c r="F902" s="440">
        <v>43839</v>
      </c>
      <c r="G902" s="170">
        <v>439.85</v>
      </c>
      <c r="H902" s="252">
        <f t="shared" si="27"/>
        <v>-5.6805271529203338E-4</v>
      </c>
    </row>
    <row r="903" spans="2:8" x14ac:dyDescent="0.3">
      <c r="B903" s="440">
        <v>43840</v>
      </c>
      <c r="C903" s="363">
        <v>12256.8</v>
      </c>
      <c r="D903" s="252">
        <f t="shared" si="26"/>
        <v>3.3480955148617042E-3</v>
      </c>
      <c r="F903" s="440">
        <v>43840</v>
      </c>
      <c r="G903" s="170">
        <v>443.6</v>
      </c>
      <c r="H903" s="252">
        <f t="shared" si="27"/>
        <v>8.525633738774685E-3</v>
      </c>
    </row>
    <row r="904" spans="2:8" x14ac:dyDescent="0.3">
      <c r="B904" s="440">
        <v>43843</v>
      </c>
      <c r="C904" s="363">
        <v>12329.55</v>
      </c>
      <c r="D904" s="252">
        <f t="shared" si="26"/>
        <v>5.9354807127471876E-3</v>
      </c>
      <c r="F904" s="440">
        <v>43843</v>
      </c>
      <c r="G904" s="170">
        <v>444.6</v>
      </c>
      <c r="H904" s="252">
        <f t="shared" si="27"/>
        <v>2.2542831379621653E-3</v>
      </c>
    </row>
    <row r="905" spans="2:8" x14ac:dyDescent="0.3">
      <c r="B905" s="440">
        <v>43844</v>
      </c>
      <c r="C905" s="363">
        <v>12362.3</v>
      </c>
      <c r="D905" s="252">
        <f t="shared" si="26"/>
        <v>2.6562202189048811E-3</v>
      </c>
      <c r="F905" s="440">
        <v>43844</v>
      </c>
      <c r="G905" s="170">
        <v>446</v>
      </c>
      <c r="H905" s="252">
        <f t="shared" si="27"/>
        <v>3.1488978857399097E-3</v>
      </c>
    </row>
    <row r="906" spans="2:8" x14ac:dyDescent="0.3">
      <c r="B906" s="440">
        <v>43845</v>
      </c>
      <c r="C906" s="363">
        <v>12343.3</v>
      </c>
      <c r="D906" s="252">
        <f t="shared" si="26"/>
        <v>-1.5369308300234863E-3</v>
      </c>
      <c r="F906" s="440">
        <v>43845</v>
      </c>
      <c r="G906" s="170">
        <v>449.05</v>
      </c>
      <c r="H906" s="252">
        <f t="shared" si="27"/>
        <v>6.8385650224216388E-3</v>
      </c>
    </row>
    <row r="907" spans="2:8" x14ac:dyDescent="0.3">
      <c r="B907" s="440">
        <v>43846</v>
      </c>
      <c r="C907" s="363">
        <v>12355.5</v>
      </c>
      <c r="D907" s="252">
        <f t="shared" ref="D907:D970" si="28">C907/C906-1</f>
        <v>9.8839046284227017E-4</v>
      </c>
      <c r="F907" s="440">
        <v>43846</v>
      </c>
      <c r="G907" s="170">
        <v>449.05</v>
      </c>
      <c r="H907" s="252">
        <f t="shared" ref="H907:H970" si="29">G907/G906-1</f>
        <v>0</v>
      </c>
    </row>
    <row r="908" spans="2:8" x14ac:dyDescent="0.3">
      <c r="B908" s="440">
        <v>43847</v>
      </c>
      <c r="C908" s="363">
        <v>12352.35</v>
      </c>
      <c r="D908" s="252">
        <f t="shared" si="28"/>
        <v>-2.5494718951069029E-4</v>
      </c>
      <c r="F908" s="440">
        <v>43847</v>
      </c>
      <c r="G908" s="170">
        <v>454.6</v>
      </c>
      <c r="H908" s="252">
        <f t="shared" si="29"/>
        <v>1.2359425453735584E-2</v>
      </c>
    </row>
    <row r="909" spans="2:8" x14ac:dyDescent="0.3">
      <c r="B909" s="440">
        <v>43850</v>
      </c>
      <c r="C909" s="363">
        <v>12224.55</v>
      </c>
      <c r="D909" s="252">
        <f t="shared" si="28"/>
        <v>-1.0346209425736941E-2</v>
      </c>
      <c r="F909" s="440">
        <v>43850</v>
      </c>
      <c r="G909" s="170">
        <v>449.45</v>
      </c>
      <c r="H909" s="252">
        <f t="shared" si="29"/>
        <v>-1.1328640563132542E-2</v>
      </c>
    </row>
    <row r="910" spans="2:8" x14ac:dyDescent="0.3">
      <c r="B910" s="440">
        <v>43851</v>
      </c>
      <c r="C910" s="363">
        <v>12169.85</v>
      </c>
      <c r="D910" s="252">
        <f t="shared" si="28"/>
        <v>-4.4746023371002863E-3</v>
      </c>
      <c r="F910" s="440">
        <v>43851</v>
      </c>
      <c r="G910" s="170">
        <v>447.4</v>
      </c>
      <c r="H910" s="252">
        <f t="shared" si="29"/>
        <v>-4.561130270330449E-3</v>
      </c>
    </row>
    <row r="911" spans="2:8" x14ac:dyDescent="0.3">
      <c r="B911" s="440">
        <v>43852</v>
      </c>
      <c r="C911" s="363">
        <v>12106.9</v>
      </c>
      <c r="D911" s="252">
        <f t="shared" si="28"/>
        <v>-5.172619218807184E-3</v>
      </c>
      <c r="F911" s="440">
        <v>43852</v>
      </c>
      <c r="G911" s="170">
        <v>446.3</v>
      </c>
      <c r="H911" s="252">
        <f t="shared" si="29"/>
        <v>-2.4586499776485526E-3</v>
      </c>
    </row>
    <row r="912" spans="2:8" x14ac:dyDescent="0.3">
      <c r="B912" s="440">
        <v>43853</v>
      </c>
      <c r="C912" s="363">
        <v>12180.35</v>
      </c>
      <c r="D912" s="252">
        <f t="shared" si="28"/>
        <v>6.0667883603564565E-3</v>
      </c>
      <c r="F912" s="440">
        <v>43853</v>
      </c>
      <c r="G912" s="170">
        <v>449.85</v>
      </c>
      <c r="H912" s="252">
        <f t="shared" si="29"/>
        <v>7.9542908357608244E-3</v>
      </c>
    </row>
    <row r="913" spans="2:8" x14ac:dyDescent="0.3">
      <c r="B913" s="440">
        <v>43854</v>
      </c>
      <c r="C913" s="363">
        <v>12248.25</v>
      </c>
      <c r="D913" s="252">
        <f t="shared" si="28"/>
        <v>5.5745524553891812E-3</v>
      </c>
      <c r="F913" s="440">
        <v>43854</v>
      </c>
      <c r="G913" s="170">
        <v>447.8</v>
      </c>
      <c r="H913" s="252">
        <f t="shared" si="29"/>
        <v>-4.5570745804157653E-3</v>
      </c>
    </row>
    <row r="914" spans="2:8" x14ac:dyDescent="0.3">
      <c r="B914" s="440">
        <v>43857</v>
      </c>
      <c r="C914" s="363">
        <v>12119</v>
      </c>
      <c r="D914" s="252">
        <f t="shared" si="28"/>
        <v>-1.0552527912150667E-2</v>
      </c>
      <c r="F914" s="440">
        <v>43857</v>
      </c>
      <c r="G914" s="170">
        <v>448.4</v>
      </c>
      <c r="H914" s="252">
        <f t="shared" si="29"/>
        <v>1.3398838767306742E-3</v>
      </c>
    </row>
    <row r="915" spans="2:8" x14ac:dyDescent="0.3">
      <c r="B915" s="440">
        <v>43858</v>
      </c>
      <c r="C915" s="363">
        <v>12055.8</v>
      </c>
      <c r="D915" s="252">
        <f t="shared" si="28"/>
        <v>-5.2149517286905755E-3</v>
      </c>
      <c r="F915" s="440">
        <v>43858</v>
      </c>
      <c r="G915" s="170">
        <v>452.9</v>
      </c>
      <c r="H915" s="252">
        <f t="shared" si="29"/>
        <v>1.0035682426404957E-2</v>
      </c>
    </row>
    <row r="916" spans="2:8" x14ac:dyDescent="0.3">
      <c r="B916" s="440">
        <v>43859</v>
      </c>
      <c r="C916" s="363">
        <v>12129.5</v>
      </c>
      <c r="D916" s="252">
        <f t="shared" si="28"/>
        <v>6.1132401002008674E-3</v>
      </c>
      <c r="F916" s="440">
        <v>43859</v>
      </c>
      <c r="G916" s="170">
        <v>450.1</v>
      </c>
      <c r="H916" s="252">
        <f t="shared" si="29"/>
        <v>-6.1823802163831765E-3</v>
      </c>
    </row>
    <row r="917" spans="2:8" x14ac:dyDescent="0.3">
      <c r="B917" s="440">
        <v>43860</v>
      </c>
      <c r="C917" s="363">
        <v>12035.8</v>
      </c>
      <c r="D917" s="252">
        <f t="shared" si="28"/>
        <v>-7.7249680530937503E-3</v>
      </c>
      <c r="F917" s="440">
        <v>43860</v>
      </c>
      <c r="G917" s="170">
        <v>442.1</v>
      </c>
      <c r="H917" s="252">
        <f t="shared" si="29"/>
        <v>-1.7773828038213701E-2</v>
      </c>
    </row>
    <row r="918" spans="2:8" x14ac:dyDescent="0.3">
      <c r="B918" s="440">
        <v>43861</v>
      </c>
      <c r="C918" s="363">
        <v>11962.1</v>
      </c>
      <c r="D918" s="252">
        <f t="shared" si="28"/>
        <v>-6.1233985277254765E-3</v>
      </c>
      <c r="F918" s="440">
        <v>43861</v>
      </c>
      <c r="G918" s="170">
        <v>434.3</v>
      </c>
      <c r="H918" s="252">
        <f t="shared" si="29"/>
        <v>-1.7643067179371252E-2</v>
      </c>
    </row>
    <row r="919" spans="2:8" x14ac:dyDescent="0.3">
      <c r="B919" s="440">
        <v>43862</v>
      </c>
      <c r="C919" s="363">
        <v>11661.85</v>
      </c>
      <c r="D919" s="252">
        <f t="shared" si="28"/>
        <v>-2.5100107840596575E-2</v>
      </c>
      <c r="F919" s="440">
        <v>43862</v>
      </c>
      <c r="G919" s="170">
        <v>422.8</v>
      </c>
      <c r="H919" s="252">
        <f t="shared" si="29"/>
        <v>-2.6479392125259071E-2</v>
      </c>
    </row>
    <row r="920" spans="2:8" x14ac:dyDescent="0.3">
      <c r="B920" s="440">
        <v>43864</v>
      </c>
      <c r="C920" s="363">
        <v>11707.9</v>
      </c>
      <c r="D920" s="252">
        <f t="shared" si="28"/>
        <v>3.9487731363376799E-3</v>
      </c>
      <c r="F920" s="440">
        <v>43864</v>
      </c>
      <c r="G920" s="170">
        <v>417.55</v>
      </c>
      <c r="H920" s="252">
        <f t="shared" si="29"/>
        <v>-1.2417218543046338E-2</v>
      </c>
    </row>
    <row r="921" spans="2:8" x14ac:dyDescent="0.3">
      <c r="B921" s="440">
        <v>43865</v>
      </c>
      <c r="C921" s="363">
        <v>11979.65</v>
      </c>
      <c r="D921" s="252">
        <f t="shared" si="28"/>
        <v>2.3210823461081942E-2</v>
      </c>
      <c r="F921" s="440">
        <v>43865</v>
      </c>
      <c r="G921" s="170">
        <v>425.65</v>
      </c>
      <c r="H921" s="252">
        <f t="shared" si="29"/>
        <v>1.9398874386300946E-2</v>
      </c>
    </row>
    <row r="922" spans="2:8" x14ac:dyDescent="0.3">
      <c r="B922" s="440">
        <v>43866</v>
      </c>
      <c r="C922" s="363">
        <v>12089.15</v>
      </c>
      <c r="D922" s="252">
        <f t="shared" si="28"/>
        <v>9.1405007658822424E-3</v>
      </c>
      <c r="F922" s="440">
        <v>43866</v>
      </c>
      <c r="G922" s="170">
        <v>426.25</v>
      </c>
      <c r="H922" s="252">
        <f t="shared" si="29"/>
        <v>1.4096088335486812E-3</v>
      </c>
    </row>
    <row r="923" spans="2:8" x14ac:dyDescent="0.3">
      <c r="B923" s="440">
        <v>43867</v>
      </c>
      <c r="C923" s="363">
        <v>12137.95</v>
      </c>
      <c r="D923" s="252">
        <f t="shared" si="28"/>
        <v>4.0366775166162938E-3</v>
      </c>
      <c r="F923" s="440">
        <v>43867</v>
      </c>
      <c r="G923" s="170">
        <v>430.65</v>
      </c>
      <c r="H923" s="252">
        <f t="shared" si="29"/>
        <v>1.0322580645161228E-2</v>
      </c>
    </row>
    <row r="924" spans="2:8" x14ac:dyDescent="0.3">
      <c r="B924" s="440">
        <v>43868</v>
      </c>
      <c r="C924" s="363">
        <v>12098.35</v>
      </c>
      <c r="D924" s="252">
        <f t="shared" si="28"/>
        <v>-3.2624949023517535E-3</v>
      </c>
      <c r="F924" s="440">
        <v>43868</v>
      </c>
      <c r="G924" s="170">
        <v>430.8</v>
      </c>
      <c r="H924" s="252">
        <f t="shared" si="29"/>
        <v>3.4831069313834284E-4</v>
      </c>
    </row>
    <row r="925" spans="2:8" x14ac:dyDescent="0.3">
      <c r="B925" s="440">
        <v>43871</v>
      </c>
      <c r="C925" s="363">
        <v>12031.5</v>
      </c>
      <c r="D925" s="252">
        <f t="shared" si="28"/>
        <v>-5.525546872094167E-3</v>
      </c>
      <c r="F925" s="440">
        <v>43871</v>
      </c>
      <c r="G925" s="170">
        <v>420.3</v>
      </c>
      <c r="H925" s="252">
        <f t="shared" si="29"/>
        <v>-2.4373259052924756E-2</v>
      </c>
    </row>
    <row r="926" spans="2:8" x14ac:dyDescent="0.3">
      <c r="B926" s="440">
        <v>43872</v>
      </c>
      <c r="C926" s="363">
        <v>12107.9</v>
      </c>
      <c r="D926" s="252">
        <f t="shared" si="28"/>
        <v>6.3499979221210978E-3</v>
      </c>
      <c r="F926" s="440">
        <v>43872</v>
      </c>
      <c r="G926" s="170">
        <v>418.55</v>
      </c>
      <c r="H926" s="252">
        <f t="shared" si="29"/>
        <v>-4.1636926005234054E-3</v>
      </c>
    </row>
    <row r="927" spans="2:8" x14ac:dyDescent="0.3">
      <c r="B927" s="440">
        <v>43873</v>
      </c>
      <c r="C927" s="363">
        <v>12201.2</v>
      </c>
      <c r="D927" s="252">
        <f t="shared" si="28"/>
        <v>7.7057127990816099E-3</v>
      </c>
      <c r="F927" s="440">
        <v>43873</v>
      </c>
      <c r="G927" s="170">
        <v>414.6</v>
      </c>
      <c r="H927" s="252">
        <f t="shared" si="29"/>
        <v>-9.4373432086967135E-3</v>
      </c>
    </row>
    <row r="928" spans="2:8" x14ac:dyDescent="0.3">
      <c r="B928" s="440">
        <v>43874</v>
      </c>
      <c r="C928" s="363">
        <v>12174.65</v>
      </c>
      <c r="D928" s="252">
        <f t="shared" si="28"/>
        <v>-2.1760154738879045E-3</v>
      </c>
      <c r="F928" s="440">
        <v>43874</v>
      </c>
      <c r="G928" s="170">
        <v>418.95</v>
      </c>
      <c r="H928" s="252">
        <f t="shared" si="29"/>
        <v>1.0492040520984069E-2</v>
      </c>
    </row>
    <row r="929" spans="2:8" x14ac:dyDescent="0.3">
      <c r="B929" s="440">
        <v>43875</v>
      </c>
      <c r="C929" s="363">
        <v>12113.45</v>
      </c>
      <c r="D929" s="252">
        <f t="shared" si="28"/>
        <v>-5.0268385538803084E-3</v>
      </c>
      <c r="F929" s="440">
        <v>43875</v>
      </c>
      <c r="G929" s="170">
        <v>418.55</v>
      </c>
      <c r="H929" s="252">
        <f t="shared" si="29"/>
        <v>-9.5476787206105751E-4</v>
      </c>
    </row>
    <row r="930" spans="2:8" x14ac:dyDescent="0.3">
      <c r="B930" s="440">
        <v>43878</v>
      </c>
      <c r="C930" s="363">
        <v>12045.8</v>
      </c>
      <c r="D930" s="252">
        <f t="shared" si="28"/>
        <v>-5.5847013030970727E-3</v>
      </c>
      <c r="F930" s="440">
        <v>43878</v>
      </c>
      <c r="G930" s="170">
        <v>408.4</v>
      </c>
      <c r="H930" s="252">
        <f t="shared" si="29"/>
        <v>-2.4250388245132037E-2</v>
      </c>
    </row>
    <row r="931" spans="2:8" x14ac:dyDescent="0.3">
      <c r="B931" s="440">
        <v>43879</v>
      </c>
      <c r="C931" s="363">
        <v>11992.5</v>
      </c>
      <c r="D931" s="252">
        <f t="shared" si="28"/>
        <v>-4.4247787610618428E-3</v>
      </c>
      <c r="F931" s="440">
        <v>43879</v>
      </c>
      <c r="G931" s="170">
        <v>408.65</v>
      </c>
      <c r="H931" s="252">
        <f t="shared" si="29"/>
        <v>6.1214495592554208E-4</v>
      </c>
    </row>
    <row r="932" spans="2:8" x14ac:dyDescent="0.3">
      <c r="B932" s="440">
        <v>43880</v>
      </c>
      <c r="C932" s="363">
        <v>12125.9</v>
      </c>
      <c r="D932" s="252">
        <f t="shared" si="28"/>
        <v>1.1123618928496892E-2</v>
      </c>
      <c r="F932" s="440">
        <v>43880</v>
      </c>
      <c r="G932" s="170">
        <v>403.55</v>
      </c>
      <c r="H932" s="252">
        <f t="shared" si="29"/>
        <v>-1.2480117459928941E-2</v>
      </c>
    </row>
    <row r="933" spans="2:8" x14ac:dyDescent="0.3">
      <c r="B933" s="440">
        <v>43881</v>
      </c>
      <c r="C933" s="363">
        <v>12080.85</v>
      </c>
      <c r="D933" s="252">
        <f t="shared" si="28"/>
        <v>-3.7151881509825957E-3</v>
      </c>
      <c r="F933" s="440">
        <v>43881</v>
      </c>
      <c r="G933" s="170">
        <v>404.95</v>
      </c>
      <c r="H933" s="252">
        <f t="shared" si="29"/>
        <v>3.4692107545533091E-3</v>
      </c>
    </row>
    <row r="934" spans="2:8" x14ac:dyDescent="0.3">
      <c r="B934" s="440">
        <v>43885</v>
      </c>
      <c r="C934" s="363">
        <v>11829.4</v>
      </c>
      <c r="D934" s="252">
        <f t="shared" si="28"/>
        <v>-2.0813932794463974E-2</v>
      </c>
      <c r="F934" s="440">
        <v>43885</v>
      </c>
      <c r="G934" s="170">
        <v>397.85</v>
      </c>
      <c r="H934" s="252">
        <f t="shared" si="29"/>
        <v>-1.7533028768983772E-2</v>
      </c>
    </row>
    <row r="935" spans="2:8" x14ac:dyDescent="0.3">
      <c r="B935" s="440">
        <v>43886</v>
      </c>
      <c r="C935" s="363">
        <v>11797.9</v>
      </c>
      <c r="D935" s="252">
        <f t="shared" si="28"/>
        <v>-2.6628569496339738E-3</v>
      </c>
      <c r="F935" s="440">
        <v>43886</v>
      </c>
      <c r="G935" s="170">
        <v>388.9</v>
      </c>
      <c r="H935" s="252">
        <f t="shared" si="29"/>
        <v>-2.249591554606023E-2</v>
      </c>
    </row>
    <row r="936" spans="2:8" x14ac:dyDescent="0.3">
      <c r="B936" s="440">
        <v>43887</v>
      </c>
      <c r="C936" s="363">
        <v>11678.5</v>
      </c>
      <c r="D936" s="252">
        <f t="shared" si="28"/>
        <v>-1.0120445163969816E-2</v>
      </c>
      <c r="F936" s="440">
        <v>43887</v>
      </c>
      <c r="G936" s="170">
        <v>374.7</v>
      </c>
      <c r="H936" s="252">
        <f t="shared" si="29"/>
        <v>-3.651324247878629E-2</v>
      </c>
    </row>
    <row r="937" spans="2:8" x14ac:dyDescent="0.3">
      <c r="B937" s="440">
        <v>43888</v>
      </c>
      <c r="C937" s="363">
        <v>11633.3</v>
      </c>
      <c r="D937" s="252">
        <f t="shared" si="28"/>
        <v>-3.8703600633643864E-3</v>
      </c>
      <c r="F937" s="440">
        <v>43888</v>
      </c>
      <c r="G937" s="170">
        <v>388.5</v>
      </c>
      <c r="H937" s="252">
        <f t="shared" si="29"/>
        <v>3.6829463570856813E-2</v>
      </c>
    </row>
    <row r="938" spans="2:8" x14ac:dyDescent="0.3">
      <c r="B938" s="440">
        <v>43889</v>
      </c>
      <c r="C938" s="363">
        <v>11201.75</v>
      </c>
      <c r="D938" s="252">
        <f t="shared" si="28"/>
        <v>-3.709609483121723E-2</v>
      </c>
      <c r="F938" s="440">
        <v>43889</v>
      </c>
      <c r="G938" s="170">
        <v>372.9</v>
      </c>
      <c r="H938" s="252">
        <f t="shared" si="29"/>
        <v>-4.0154440154440252E-2</v>
      </c>
    </row>
    <row r="939" spans="2:8" x14ac:dyDescent="0.3">
      <c r="B939" s="440">
        <v>43892</v>
      </c>
      <c r="C939" s="363">
        <v>11132.75</v>
      </c>
      <c r="D939" s="252">
        <f t="shared" si="28"/>
        <v>-6.1597518244916882E-3</v>
      </c>
      <c r="F939" s="440">
        <v>43892</v>
      </c>
      <c r="G939" s="170">
        <v>369.5</v>
      </c>
      <c r="H939" s="252">
        <f t="shared" si="29"/>
        <v>-9.1177259318852011E-3</v>
      </c>
    </row>
    <row r="940" spans="2:8" x14ac:dyDescent="0.3">
      <c r="B940" s="440">
        <v>43893</v>
      </c>
      <c r="C940" s="363">
        <v>11303.3</v>
      </c>
      <c r="D940" s="252">
        <f t="shared" si="28"/>
        <v>1.5319664952504919E-2</v>
      </c>
      <c r="F940" s="440">
        <v>43893</v>
      </c>
      <c r="G940" s="170">
        <v>393.55</v>
      </c>
      <c r="H940" s="252">
        <f t="shared" si="29"/>
        <v>6.5087956698240967E-2</v>
      </c>
    </row>
    <row r="941" spans="2:8" x14ac:dyDescent="0.3">
      <c r="B941" s="440">
        <v>43894</v>
      </c>
      <c r="C941" s="363">
        <v>11251</v>
      </c>
      <c r="D941" s="252">
        <f t="shared" si="28"/>
        <v>-4.626967345819244E-3</v>
      </c>
      <c r="F941" s="440">
        <v>43894</v>
      </c>
      <c r="G941" s="170">
        <v>405.45</v>
      </c>
      <c r="H941" s="252">
        <f t="shared" si="29"/>
        <v>3.0237580993520474E-2</v>
      </c>
    </row>
    <row r="942" spans="2:8" x14ac:dyDescent="0.3">
      <c r="B942" s="440">
        <v>43895</v>
      </c>
      <c r="C942" s="363">
        <v>11269</v>
      </c>
      <c r="D942" s="252">
        <f t="shared" si="28"/>
        <v>1.5998577904186018E-3</v>
      </c>
      <c r="F942" s="440">
        <v>43895</v>
      </c>
      <c r="G942" s="170">
        <v>404.9</v>
      </c>
      <c r="H942" s="252">
        <f t="shared" si="29"/>
        <v>-1.3565174497471855E-3</v>
      </c>
    </row>
    <row r="943" spans="2:8" x14ac:dyDescent="0.3">
      <c r="B943" s="440">
        <v>43896</v>
      </c>
      <c r="C943" s="363">
        <v>10989.45</v>
      </c>
      <c r="D943" s="252">
        <f t="shared" si="28"/>
        <v>-2.4806992634661351E-2</v>
      </c>
      <c r="F943" s="440">
        <v>43896</v>
      </c>
      <c r="G943" s="170">
        <v>400.9</v>
      </c>
      <c r="H943" s="252">
        <f t="shared" si="29"/>
        <v>-9.8789824648061186E-3</v>
      </c>
    </row>
    <row r="944" spans="2:8" x14ac:dyDescent="0.3">
      <c r="B944" s="440">
        <v>43899</v>
      </c>
      <c r="C944" s="363">
        <v>10451.450000000001</v>
      </c>
      <c r="D944" s="252">
        <f t="shared" si="28"/>
        <v>-4.8956044206033944E-2</v>
      </c>
      <c r="F944" s="440">
        <v>43899</v>
      </c>
      <c r="G944" s="170">
        <v>393.35</v>
      </c>
      <c r="H944" s="252">
        <f t="shared" si="29"/>
        <v>-1.8832626590172041E-2</v>
      </c>
    </row>
    <row r="945" spans="2:8" x14ac:dyDescent="0.3">
      <c r="B945" s="440">
        <v>43901</v>
      </c>
      <c r="C945" s="363">
        <v>10458.4</v>
      </c>
      <c r="D945" s="252">
        <f t="shared" si="28"/>
        <v>6.6497950045207865E-4</v>
      </c>
      <c r="F945" s="440">
        <v>43901</v>
      </c>
      <c r="G945" s="170">
        <v>385.95</v>
      </c>
      <c r="H945" s="252">
        <f t="shared" si="29"/>
        <v>-1.881276217109451E-2</v>
      </c>
    </row>
    <row r="946" spans="2:8" x14ac:dyDescent="0.3">
      <c r="B946" s="440">
        <v>43902</v>
      </c>
      <c r="C946" s="363">
        <v>9590.15</v>
      </c>
      <c r="D946" s="252">
        <f t="shared" si="28"/>
        <v>-8.3019391111451069E-2</v>
      </c>
      <c r="F946" s="440">
        <v>43902</v>
      </c>
      <c r="G946" s="170">
        <v>354.8</v>
      </c>
      <c r="H946" s="252">
        <f t="shared" si="29"/>
        <v>-8.0709936520274583E-2</v>
      </c>
    </row>
    <row r="947" spans="2:8" x14ac:dyDescent="0.3">
      <c r="B947" s="440">
        <v>43903</v>
      </c>
      <c r="C947" s="363">
        <v>9955.2000000000007</v>
      </c>
      <c r="D947" s="252">
        <f t="shared" si="28"/>
        <v>3.8065098043305046E-2</v>
      </c>
      <c r="F947" s="440">
        <v>43903</v>
      </c>
      <c r="G947" s="170">
        <v>384.2</v>
      </c>
      <c r="H947" s="252">
        <f t="shared" si="29"/>
        <v>8.2863585118376548E-2</v>
      </c>
    </row>
    <row r="948" spans="2:8" x14ac:dyDescent="0.3">
      <c r="B948" s="440">
        <v>43906</v>
      </c>
      <c r="C948" s="363">
        <v>9197.4</v>
      </c>
      <c r="D948" s="252">
        <f t="shared" si="28"/>
        <v>-7.6121022179363673E-2</v>
      </c>
      <c r="F948" s="440">
        <v>43906</v>
      </c>
      <c r="G948" s="170">
        <v>368.55</v>
      </c>
      <c r="H948" s="252">
        <f t="shared" si="29"/>
        <v>-4.0733992712129075E-2</v>
      </c>
    </row>
    <row r="949" spans="2:8" x14ac:dyDescent="0.3">
      <c r="B949" s="440">
        <v>43907</v>
      </c>
      <c r="C949" s="363">
        <v>8967.0499999999993</v>
      </c>
      <c r="D949" s="252">
        <f t="shared" si="28"/>
        <v>-2.5045121447365593E-2</v>
      </c>
      <c r="F949" s="440">
        <v>43907</v>
      </c>
      <c r="G949" s="170">
        <v>370.15</v>
      </c>
      <c r="H949" s="252">
        <f t="shared" si="29"/>
        <v>4.3413376746708199E-3</v>
      </c>
    </row>
    <row r="950" spans="2:8" x14ac:dyDescent="0.3">
      <c r="B950" s="440">
        <v>43908</v>
      </c>
      <c r="C950" s="363">
        <v>8468.7999999999993</v>
      </c>
      <c r="D950" s="252">
        <f t="shared" si="28"/>
        <v>-5.5564539062456397E-2</v>
      </c>
      <c r="F950" s="440">
        <v>43908</v>
      </c>
      <c r="G950" s="170">
        <v>362.75</v>
      </c>
      <c r="H950" s="252">
        <f t="shared" si="29"/>
        <v>-1.999189517763067E-2</v>
      </c>
    </row>
    <row r="951" spans="2:8" x14ac:dyDescent="0.3">
      <c r="B951" s="440">
        <v>43909</v>
      </c>
      <c r="C951" s="363">
        <v>8263.4500000000007</v>
      </c>
      <c r="D951" s="252">
        <f t="shared" si="28"/>
        <v>-2.4247827319100579E-2</v>
      </c>
      <c r="F951" s="440">
        <v>43909</v>
      </c>
      <c r="G951" s="170">
        <v>360.4</v>
      </c>
      <c r="H951" s="252">
        <f t="shared" si="29"/>
        <v>-6.4782908339077183E-3</v>
      </c>
    </row>
    <row r="952" spans="2:8" x14ac:dyDescent="0.3">
      <c r="B952" s="440">
        <v>43910</v>
      </c>
      <c r="C952" s="363">
        <v>8745.4500000000007</v>
      </c>
      <c r="D952" s="252">
        <f t="shared" si="28"/>
        <v>5.8329148237116435E-2</v>
      </c>
      <c r="F952" s="440">
        <v>43910</v>
      </c>
      <c r="G952" s="170">
        <v>365.25</v>
      </c>
      <c r="H952" s="252">
        <f t="shared" si="29"/>
        <v>1.3457269700333008E-2</v>
      </c>
    </row>
    <row r="953" spans="2:8" x14ac:dyDescent="0.3">
      <c r="B953" s="440">
        <v>43913</v>
      </c>
      <c r="C953" s="363">
        <v>7610.25</v>
      </c>
      <c r="D953" s="252">
        <f t="shared" si="28"/>
        <v>-0.12980464127060365</v>
      </c>
      <c r="F953" s="440">
        <v>43913</v>
      </c>
      <c r="G953" s="170">
        <v>324.5</v>
      </c>
      <c r="H953" s="252">
        <f t="shared" si="29"/>
        <v>-0.1115674195756331</v>
      </c>
    </row>
    <row r="954" spans="2:8" x14ac:dyDescent="0.3">
      <c r="B954" s="440">
        <v>43914</v>
      </c>
      <c r="C954" s="363">
        <v>7801.05</v>
      </c>
      <c r="D954" s="252">
        <f t="shared" si="28"/>
        <v>2.507144968956343E-2</v>
      </c>
      <c r="F954" s="440">
        <v>43914</v>
      </c>
      <c r="G954" s="170">
        <v>335.15</v>
      </c>
      <c r="H954" s="252">
        <f t="shared" si="29"/>
        <v>3.2819722650231142E-2</v>
      </c>
    </row>
    <row r="955" spans="2:8" x14ac:dyDescent="0.3">
      <c r="B955" s="440">
        <v>43915</v>
      </c>
      <c r="C955" s="363">
        <v>8317.85</v>
      </c>
      <c r="D955" s="252">
        <f t="shared" si="28"/>
        <v>6.6247492324751134E-2</v>
      </c>
      <c r="F955" s="440">
        <v>43915</v>
      </c>
      <c r="G955" s="170">
        <v>347.65</v>
      </c>
      <c r="H955" s="252">
        <f t="shared" si="29"/>
        <v>3.7296732806206156E-2</v>
      </c>
    </row>
    <row r="956" spans="2:8" x14ac:dyDescent="0.3">
      <c r="B956" s="440">
        <v>43916</v>
      </c>
      <c r="C956" s="363">
        <v>8641.4500000000007</v>
      </c>
      <c r="D956" s="252">
        <f t="shared" si="28"/>
        <v>3.890428415996916E-2</v>
      </c>
      <c r="F956" s="440">
        <v>43916</v>
      </c>
      <c r="G956" s="170">
        <v>338.3</v>
      </c>
      <c r="H956" s="252">
        <f t="shared" si="29"/>
        <v>-2.6894865525672329E-2</v>
      </c>
    </row>
    <row r="957" spans="2:8" x14ac:dyDescent="0.3">
      <c r="B957" s="440">
        <v>43917</v>
      </c>
      <c r="C957" s="363">
        <v>8660.25</v>
      </c>
      <c r="D957" s="252">
        <f t="shared" si="28"/>
        <v>2.1755608144464755E-3</v>
      </c>
      <c r="F957" s="440">
        <v>43917</v>
      </c>
      <c r="G957" s="170">
        <v>338.25</v>
      </c>
      <c r="H957" s="252">
        <f t="shared" si="29"/>
        <v>-1.4779781259244285E-4</v>
      </c>
    </row>
    <row r="958" spans="2:8" x14ac:dyDescent="0.3">
      <c r="B958" s="440">
        <v>43920</v>
      </c>
      <c r="C958" s="363">
        <v>8281.1</v>
      </c>
      <c r="D958" s="252">
        <f t="shared" si="28"/>
        <v>-4.3780491325308146E-2</v>
      </c>
      <c r="F958" s="440">
        <v>43920</v>
      </c>
      <c r="G958" s="170">
        <v>332.7</v>
      </c>
      <c r="H958" s="252">
        <f t="shared" si="29"/>
        <v>-1.6407982261640863E-2</v>
      </c>
    </row>
    <row r="959" spans="2:8" x14ac:dyDescent="0.3">
      <c r="B959" s="440">
        <v>43921</v>
      </c>
      <c r="C959" s="363">
        <v>8597.75</v>
      </c>
      <c r="D959" s="252">
        <f t="shared" si="28"/>
        <v>3.8237673738996003E-2</v>
      </c>
      <c r="F959" s="440">
        <v>43921</v>
      </c>
      <c r="G959" s="170">
        <v>352.3</v>
      </c>
      <c r="H959" s="252">
        <f t="shared" si="29"/>
        <v>5.8911932672077061E-2</v>
      </c>
    </row>
    <row r="960" spans="2:8" x14ac:dyDescent="0.3">
      <c r="B960" s="440">
        <v>43922</v>
      </c>
      <c r="C960" s="363">
        <v>8253.7999999999993</v>
      </c>
      <c r="D960" s="252">
        <f t="shared" si="28"/>
        <v>-4.0004652379983185E-2</v>
      </c>
      <c r="F960" s="440">
        <v>43922</v>
      </c>
      <c r="G960" s="170">
        <v>343.55</v>
      </c>
      <c r="H960" s="252">
        <f t="shared" si="29"/>
        <v>-2.483678682940671E-2</v>
      </c>
    </row>
    <row r="961" spans="2:8" x14ac:dyDescent="0.3">
      <c r="B961" s="440">
        <v>43924</v>
      </c>
      <c r="C961" s="363">
        <v>8083.8</v>
      </c>
      <c r="D961" s="252">
        <f t="shared" si="28"/>
        <v>-2.0596573699386833E-2</v>
      </c>
      <c r="F961" s="440">
        <v>43924</v>
      </c>
      <c r="G961" s="170">
        <v>375.95</v>
      </c>
      <c r="H961" s="252">
        <f t="shared" si="29"/>
        <v>9.4309416387716505E-2</v>
      </c>
    </row>
    <row r="962" spans="2:8" x14ac:dyDescent="0.3">
      <c r="B962" s="440">
        <v>43928</v>
      </c>
      <c r="C962" s="363">
        <v>8792.2000000000007</v>
      </c>
      <c r="D962" s="252">
        <f t="shared" si="28"/>
        <v>8.7632054231920664E-2</v>
      </c>
      <c r="F962" s="440">
        <v>43928</v>
      </c>
      <c r="G962" s="170">
        <v>417.35</v>
      </c>
      <c r="H962" s="252">
        <f t="shared" si="29"/>
        <v>0.1101210267322783</v>
      </c>
    </row>
    <row r="963" spans="2:8" x14ac:dyDescent="0.3">
      <c r="B963" s="440">
        <v>43929</v>
      </c>
      <c r="C963" s="363">
        <v>8748.75</v>
      </c>
      <c r="D963" s="252">
        <f t="shared" si="28"/>
        <v>-4.9418803029959157E-3</v>
      </c>
      <c r="F963" s="440">
        <v>43929</v>
      </c>
      <c r="G963" s="170">
        <v>436.7</v>
      </c>
      <c r="H963" s="252">
        <f t="shared" si="29"/>
        <v>4.6363963100515049E-2</v>
      </c>
    </row>
    <row r="964" spans="2:8" x14ac:dyDescent="0.3">
      <c r="B964" s="440">
        <v>43930</v>
      </c>
      <c r="C964" s="363">
        <v>9111.9</v>
      </c>
      <c r="D964" s="252">
        <f t="shared" si="28"/>
        <v>4.1508786969566946E-2</v>
      </c>
      <c r="F964" s="440">
        <v>43930</v>
      </c>
      <c r="G964" s="170">
        <v>454.45</v>
      </c>
      <c r="H964" s="252">
        <f t="shared" si="29"/>
        <v>4.0645752232653987E-2</v>
      </c>
    </row>
    <row r="965" spans="2:8" x14ac:dyDescent="0.3">
      <c r="B965" s="440">
        <v>43934</v>
      </c>
      <c r="C965" s="363">
        <v>8993.85</v>
      </c>
      <c r="D965" s="252">
        <f t="shared" si="28"/>
        <v>-1.2955585552958171E-2</v>
      </c>
      <c r="F965" s="440">
        <v>43934</v>
      </c>
      <c r="G965" s="170">
        <v>462.35</v>
      </c>
      <c r="H965" s="252">
        <f t="shared" si="29"/>
        <v>1.7383650566619169E-2</v>
      </c>
    </row>
    <row r="966" spans="2:8" x14ac:dyDescent="0.3">
      <c r="B966" s="440">
        <v>43936</v>
      </c>
      <c r="C966" s="363">
        <v>8925.2999999999993</v>
      </c>
      <c r="D966" s="252">
        <f t="shared" si="28"/>
        <v>-7.6218749478811354E-3</v>
      </c>
      <c r="F966" s="440">
        <v>43936</v>
      </c>
      <c r="G966" s="170">
        <v>449.2</v>
      </c>
      <c r="H966" s="252">
        <f t="shared" si="29"/>
        <v>-2.8441656753541711E-2</v>
      </c>
    </row>
    <row r="967" spans="2:8" x14ac:dyDescent="0.3">
      <c r="B967" s="440">
        <v>43937</v>
      </c>
      <c r="C967" s="363">
        <v>8992.7999999999993</v>
      </c>
      <c r="D967" s="252">
        <f t="shared" si="28"/>
        <v>7.5627709992940328E-3</v>
      </c>
      <c r="F967" s="440">
        <v>43937</v>
      </c>
      <c r="G967" s="170">
        <v>463.7</v>
      </c>
      <c r="H967" s="252">
        <f t="shared" si="29"/>
        <v>3.2279608192341991E-2</v>
      </c>
    </row>
    <row r="968" spans="2:8" x14ac:dyDescent="0.3">
      <c r="B968" s="440">
        <v>43938</v>
      </c>
      <c r="C968" s="363">
        <v>9266.75</v>
      </c>
      <c r="D968" s="252">
        <f t="shared" si="28"/>
        <v>3.0463259496486206E-2</v>
      </c>
      <c r="F968" s="440">
        <v>43938</v>
      </c>
      <c r="G968" s="170">
        <v>457.1</v>
      </c>
      <c r="H968" s="252">
        <f t="shared" si="29"/>
        <v>-1.4233340521889071E-2</v>
      </c>
    </row>
    <row r="969" spans="2:8" x14ac:dyDescent="0.3">
      <c r="B969" s="440">
        <v>43941</v>
      </c>
      <c r="C969" s="363">
        <v>9261.85</v>
      </c>
      <c r="D969" s="252">
        <f t="shared" si="28"/>
        <v>-5.2877222327130102E-4</v>
      </c>
      <c r="F969" s="440">
        <v>43941</v>
      </c>
      <c r="G969" s="170">
        <v>473.4</v>
      </c>
      <c r="H969" s="252">
        <f t="shared" si="29"/>
        <v>3.5659593086851737E-2</v>
      </c>
    </row>
    <row r="970" spans="2:8" x14ac:dyDescent="0.3">
      <c r="B970" s="440">
        <v>43942</v>
      </c>
      <c r="C970" s="363">
        <v>8981.4500000000007</v>
      </c>
      <c r="D970" s="252">
        <f t="shared" si="28"/>
        <v>-3.0274729130789213E-2</v>
      </c>
      <c r="F970" s="440">
        <v>43942</v>
      </c>
      <c r="G970" s="170">
        <v>473.15</v>
      </c>
      <c r="H970" s="252">
        <f t="shared" si="29"/>
        <v>-5.2809463455849581E-4</v>
      </c>
    </row>
    <row r="971" spans="2:8" x14ac:dyDescent="0.3">
      <c r="B971" s="440">
        <v>43943</v>
      </c>
      <c r="C971" s="363">
        <v>9187.2999999999993</v>
      </c>
      <c r="D971" s="252">
        <f t="shared" ref="D971:D1034" si="30">C971/C970-1</f>
        <v>2.2919461779556505E-2</v>
      </c>
      <c r="F971" s="440">
        <v>43943</v>
      </c>
      <c r="G971" s="170">
        <v>474.35</v>
      </c>
      <c r="H971" s="252">
        <f t="shared" ref="H971:H1034" si="31">G971/G970-1</f>
        <v>2.5361935961112358E-3</v>
      </c>
    </row>
    <row r="972" spans="2:8" x14ac:dyDescent="0.3">
      <c r="B972" s="440">
        <v>43944</v>
      </c>
      <c r="C972" s="363">
        <v>9313.9</v>
      </c>
      <c r="D972" s="252">
        <f t="shared" si="30"/>
        <v>1.3779891807168543E-2</v>
      </c>
      <c r="F972" s="440">
        <v>43944</v>
      </c>
      <c r="G972" s="170">
        <v>477.45</v>
      </c>
      <c r="H972" s="252">
        <f t="shared" si="31"/>
        <v>6.5352587751659197E-3</v>
      </c>
    </row>
    <row r="973" spans="2:8" x14ac:dyDescent="0.3">
      <c r="B973" s="440">
        <v>43945</v>
      </c>
      <c r="C973" s="363">
        <v>9154.4</v>
      </c>
      <c r="D973" s="252">
        <f t="shared" si="30"/>
        <v>-1.7124942290554945E-2</v>
      </c>
      <c r="F973" s="440">
        <v>43945</v>
      </c>
      <c r="G973" s="170">
        <v>485.55</v>
      </c>
      <c r="H973" s="252">
        <f t="shared" si="31"/>
        <v>1.6965127238454336E-2</v>
      </c>
    </row>
    <row r="974" spans="2:8" x14ac:dyDescent="0.3">
      <c r="B974" s="440">
        <v>43948</v>
      </c>
      <c r="C974" s="363">
        <v>9282.2999999999993</v>
      </c>
      <c r="D974" s="252">
        <f t="shared" si="30"/>
        <v>1.3971423577733066E-2</v>
      </c>
      <c r="F974" s="440">
        <v>43948</v>
      </c>
      <c r="G974" s="170">
        <v>489.9</v>
      </c>
      <c r="H974" s="252">
        <f t="shared" si="31"/>
        <v>8.9589125733702257E-3</v>
      </c>
    </row>
    <row r="975" spans="2:8" x14ac:dyDescent="0.3">
      <c r="B975" s="440">
        <v>43949</v>
      </c>
      <c r="C975" s="363">
        <v>9380.9</v>
      </c>
      <c r="D975" s="252">
        <f t="shared" si="30"/>
        <v>1.0622367301207802E-2</v>
      </c>
      <c r="F975" s="440">
        <v>43949</v>
      </c>
      <c r="G975" s="170">
        <v>473.95</v>
      </c>
      <c r="H975" s="252">
        <f t="shared" si="31"/>
        <v>-3.255766482955702E-2</v>
      </c>
    </row>
    <row r="976" spans="2:8" x14ac:dyDescent="0.3">
      <c r="B976" s="440">
        <v>43950</v>
      </c>
      <c r="C976" s="363">
        <v>9553.35</v>
      </c>
      <c r="D976" s="252">
        <f t="shared" si="30"/>
        <v>1.8383097570595641E-2</v>
      </c>
      <c r="F976" s="440">
        <v>43950</v>
      </c>
      <c r="G976" s="170">
        <v>477.65</v>
      </c>
      <c r="H976" s="252">
        <f t="shared" si="31"/>
        <v>7.8067306677920278E-3</v>
      </c>
    </row>
    <row r="977" spans="2:8" x14ac:dyDescent="0.3">
      <c r="B977" s="440">
        <v>43951</v>
      </c>
      <c r="C977" s="363">
        <v>9859.9</v>
      </c>
      <c r="D977" s="252">
        <f t="shared" si="30"/>
        <v>3.2088220362490594E-2</v>
      </c>
      <c r="F977" s="440">
        <v>43951</v>
      </c>
      <c r="G977" s="170">
        <v>464.45</v>
      </c>
      <c r="H977" s="252">
        <f t="shared" si="31"/>
        <v>-2.7635297812205528E-2</v>
      </c>
    </row>
    <row r="978" spans="2:8" x14ac:dyDescent="0.3">
      <c r="B978" s="440">
        <v>43955</v>
      </c>
      <c r="C978" s="363">
        <v>9293.5</v>
      </c>
      <c r="D978" s="252">
        <f t="shared" si="30"/>
        <v>-5.7444801671416523E-2</v>
      </c>
      <c r="F978" s="440">
        <v>43955</v>
      </c>
      <c r="G978" s="170">
        <v>465.45</v>
      </c>
      <c r="H978" s="252">
        <f t="shared" si="31"/>
        <v>2.1530842932500072E-3</v>
      </c>
    </row>
    <row r="979" spans="2:8" x14ac:dyDescent="0.3">
      <c r="B979" s="440">
        <v>43956</v>
      </c>
      <c r="C979" s="363">
        <v>9205.6</v>
      </c>
      <c r="D979" s="252">
        <f t="shared" si="30"/>
        <v>-9.4582234895356221E-3</v>
      </c>
      <c r="F979" s="440">
        <v>43956</v>
      </c>
      <c r="G979" s="170">
        <v>456.3</v>
      </c>
      <c r="H979" s="252">
        <f t="shared" si="31"/>
        <v>-1.965839510151457E-2</v>
      </c>
    </row>
    <row r="980" spans="2:8" x14ac:dyDescent="0.3">
      <c r="B980" s="440">
        <v>43957</v>
      </c>
      <c r="C980" s="363">
        <v>9270.9</v>
      </c>
      <c r="D980" s="252">
        <f t="shared" si="30"/>
        <v>7.093508299296003E-3</v>
      </c>
      <c r="F980" s="440">
        <v>43957</v>
      </c>
      <c r="G980" s="170">
        <v>454.4</v>
      </c>
      <c r="H980" s="252">
        <f t="shared" si="31"/>
        <v>-4.1639272408503514E-3</v>
      </c>
    </row>
    <row r="981" spans="2:8" x14ac:dyDescent="0.3">
      <c r="B981" s="440">
        <v>43958</v>
      </c>
      <c r="C981" s="363">
        <v>9199.0499999999993</v>
      </c>
      <c r="D981" s="252">
        <f t="shared" si="30"/>
        <v>-7.7500566288063455E-3</v>
      </c>
      <c r="F981" s="440">
        <v>43958</v>
      </c>
      <c r="G981" s="170">
        <v>452.2</v>
      </c>
      <c r="H981" s="252">
        <f t="shared" si="31"/>
        <v>-4.8415492957746276E-3</v>
      </c>
    </row>
    <row r="982" spans="2:8" x14ac:dyDescent="0.3">
      <c r="B982" s="440">
        <v>43959</v>
      </c>
      <c r="C982" s="363">
        <v>9251.5</v>
      </c>
      <c r="D982" s="252">
        <f t="shared" si="30"/>
        <v>5.701675716514254E-3</v>
      </c>
      <c r="F982" s="440">
        <v>43959</v>
      </c>
      <c r="G982" s="170">
        <v>469</v>
      </c>
      <c r="H982" s="252">
        <f t="shared" si="31"/>
        <v>3.7151702786377694E-2</v>
      </c>
    </row>
    <row r="983" spans="2:8" x14ac:dyDescent="0.3">
      <c r="B983" s="440">
        <v>43962</v>
      </c>
      <c r="C983" s="363">
        <v>9239.2000000000007</v>
      </c>
      <c r="D983" s="252">
        <f t="shared" si="30"/>
        <v>-1.3295141328432125E-3</v>
      </c>
      <c r="F983" s="440">
        <v>43962</v>
      </c>
      <c r="G983" s="170">
        <v>463.85</v>
      </c>
      <c r="H983" s="252">
        <f t="shared" si="31"/>
        <v>-1.098081023454156E-2</v>
      </c>
    </row>
    <row r="984" spans="2:8" x14ac:dyDescent="0.3">
      <c r="B984" s="440">
        <v>43963</v>
      </c>
      <c r="C984" s="363">
        <v>9196.5499999999993</v>
      </c>
      <c r="D984" s="252">
        <f t="shared" si="30"/>
        <v>-4.6162005368431958E-3</v>
      </c>
      <c r="F984" s="440">
        <v>43963</v>
      </c>
      <c r="G984" s="170">
        <v>463.9</v>
      </c>
      <c r="H984" s="252">
        <f t="shared" si="31"/>
        <v>1.077934677158332E-4</v>
      </c>
    </row>
    <row r="985" spans="2:8" x14ac:dyDescent="0.3">
      <c r="B985" s="440">
        <v>43964</v>
      </c>
      <c r="C985" s="363">
        <v>9383.5499999999993</v>
      </c>
      <c r="D985" s="252">
        <f t="shared" si="30"/>
        <v>2.0333712098558721E-2</v>
      </c>
      <c r="F985" s="440">
        <v>43964</v>
      </c>
      <c r="G985" s="170">
        <v>452.35</v>
      </c>
      <c r="H985" s="252">
        <f t="shared" si="31"/>
        <v>-2.4897607242940212E-2</v>
      </c>
    </row>
    <row r="986" spans="2:8" x14ac:dyDescent="0.3">
      <c r="B986" s="440">
        <v>43965</v>
      </c>
      <c r="C986" s="363">
        <v>9142.75</v>
      </c>
      <c r="D986" s="252">
        <f t="shared" si="30"/>
        <v>-2.5661929653489235E-2</v>
      </c>
      <c r="F986" s="440">
        <v>43965</v>
      </c>
      <c r="G986" s="170">
        <v>455.95</v>
      </c>
      <c r="H986" s="252">
        <f t="shared" si="31"/>
        <v>7.958439261633643E-3</v>
      </c>
    </row>
    <row r="987" spans="2:8" x14ac:dyDescent="0.3">
      <c r="B987" s="440">
        <v>43966</v>
      </c>
      <c r="C987" s="363">
        <v>9136.85</v>
      </c>
      <c r="D987" s="252">
        <f t="shared" si="30"/>
        <v>-6.4532006234441219E-4</v>
      </c>
      <c r="F987" s="440">
        <v>43966</v>
      </c>
      <c r="G987" s="170">
        <v>448.6</v>
      </c>
      <c r="H987" s="252">
        <f t="shared" si="31"/>
        <v>-1.6120188617172904E-2</v>
      </c>
    </row>
    <row r="988" spans="2:8" x14ac:dyDescent="0.3">
      <c r="B988" s="440">
        <v>43969</v>
      </c>
      <c r="C988" s="363">
        <v>8823.25</v>
      </c>
      <c r="D988" s="252">
        <f t="shared" si="30"/>
        <v>-3.4322550988579281E-2</v>
      </c>
      <c r="F988" s="440">
        <v>43969</v>
      </c>
      <c r="G988" s="170">
        <v>440.7</v>
      </c>
      <c r="H988" s="252">
        <f t="shared" si="31"/>
        <v>-1.7610343290236363E-2</v>
      </c>
    </row>
    <row r="989" spans="2:8" x14ac:dyDescent="0.3">
      <c r="B989" s="440">
        <v>43970</v>
      </c>
      <c r="C989" s="363">
        <v>8879.1</v>
      </c>
      <c r="D989" s="252">
        <f t="shared" si="30"/>
        <v>6.3298671124585315E-3</v>
      </c>
      <c r="F989" s="440">
        <v>43970</v>
      </c>
      <c r="G989" s="170">
        <v>441.7</v>
      </c>
      <c r="H989" s="252">
        <f t="shared" si="31"/>
        <v>2.2691173133650988E-3</v>
      </c>
    </row>
    <row r="990" spans="2:8" x14ac:dyDescent="0.3">
      <c r="B990" s="440">
        <v>43971</v>
      </c>
      <c r="C990" s="363">
        <v>9066.5499999999993</v>
      </c>
      <c r="D990" s="252">
        <f t="shared" si="30"/>
        <v>2.1111373900507768E-2</v>
      </c>
      <c r="F990" s="440">
        <v>43971</v>
      </c>
      <c r="G990" s="170">
        <v>455.75</v>
      </c>
      <c r="H990" s="252">
        <f t="shared" si="31"/>
        <v>3.1808920081503267E-2</v>
      </c>
    </row>
    <row r="991" spans="2:8" x14ac:dyDescent="0.3">
      <c r="B991" s="440">
        <v>43972</v>
      </c>
      <c r="C991" s="363">
        <v>9106.25</v>
      </c>
      <c r="D991" s="252">
        <f t="shared" si="30"/>
        <v>4.3787328145767912E-3</v>
      </c>
      <c r="F991" s="440">
        <v>43972</v>
      </c>
      <c r="G991" s="170">
        <v>466.45</v>
      </c>
      <c r="H991" s="252">
        <f t="shared" si="31"/>
        <v>2.3477783872737135E-2</v>
      </c>
    </row>
    <row r="992" spans="2:8" x14ac:dyDescent="0.3">
      <c r="B992" s="440">
        <v>43973</v>
      </c>
      <c r="C992" s="363">
        <v>9039.25</v>
      </c>
      <c r="D992" s="252">
        <f t="shared" si="30"/>
        <v>-7.3575840768702605E-3</v>
      </c>
      <c r="F992" s="440">
        <v>43973</v>
      </c>
      <c r="G992" s="170">
        <v>469.4</v>
      </c>
      <c r="H992" s="252">
        <f t="shared" si="31"/>
        <v>6.324364883695921E-3</v>
      </c>
    </row>
    <row r="993" spans="2:8" x14ac:dyDescent="0.3">
      <c r="B993" s="440">
        <v>43977</v>
      </c>
      <c r="C993" s="363">
        <v>9029.0499999999993</v>
      </c>
      <c r="D993" s="252">
        <f t="shared" si="30"/>
        <v>-1.1284122023398346E-3</v>
      </c>
      <c r="F993" s="440">
        <v>43977</v>
      </c>
      <c r="G993" s="170">
        <v>459.15</v>
      </c>
      <c r="H993" s="252">
        <f t="shared" si="31"/>
        <v>-2.1836386876864067E-2</v>
      </c>
    </row>
    <row r="994" spans="2:8" x14ac:dyDescent="0.3">
      <c r="B994" s="440">
        <v>43978</v>
      </c>
      <c r="C994" s="363">
        <v>9314.9500000000007</v>
      </c>
      <c r="D994" s="252">
        <f t="shared" si="30"/>
        <v>3.1664460823674911E-2</v>
      </c>
      <c r="F994" s="440">
        <v>43978</v>
      </c>
      <c r="G994" s="170">
        <v>450.9</v>
      </c>
      <c r="H994" s="252">
        <f t="shared" si="31"/>
        <v>-1.796798431885005E-2</v>
      </c>
    </row>
    <row r="995" spans="2:8" x14ac:dyDescent="0.3">
      <c r="B995" s="440">
        <v>43979</v>
      </c>
      <c r="C995" s="363">
        <v>9490.1</v>
      </c>
      <c r="D995" s="252">
        <f t="shared" si="30"/>
        <v>1.8803106833638283E-2</v>
      </c>
      <c r="F995" s="440">
        <v>43979</v>
      </c>
      <c r="G995" s="170">
        <v>459.1</v>
      </c>
      <c r="H995" s="252">
        <f t="shared" si="31"/>
        <v>1.8185850521180047E-2</v>
      </c>
    </row>
    <row r="996" spans="2:8" x14ac:dyDescent="0.3">
      <c r="B996" s="440">
        <v>43980</v>
      </c>
      <c r="C996" s="363">
        <v>9580.2999999999993</v>
      </c>
      <c r="D996" s="252">
        <f t="shared" si="30"/>
        <v>9.5046416792234911E-3</v>
      </c>
      <c r="F996" s="440">
        <v>43980</v>
      </c>
      <c r="G996" s="170">
        <v>474.25</v>
      </c>
      <c r="H996" s="252">
        <f t="shared" si="31"/>
        <v>3.2999346547593067E-2</v>
      </c>
    </row>
    <row r="997" spans="2:8" x14ac:dyDescent="0.3">
      <c r="B997" s="440">
        <v>43983</v>
      </c>
      <c r="C997" s="363">
        <v>9826.15</v>
      </c>
      <c r="D997" s="252">
        <f t="shared" si="30"/>
        <v>2.5662035635627412E-2</v>
      </c>
      <c r="F997" s="440">
        <v>43983</v>
      </c>
      <c r="G997" s="170">
        <v>465.4</v>
      </c>
      <c r="H997" s="252">
        <f t="shared" si="31"/>
        <v>-1.8661043753294693E-2</v>
      </c>
    </row>
    <row r="998" spans="2:8" x14ac:dyDescent="0.3">
      <c r="B998" s="440">
        <v>43984</v>
      </c>
      <c r="C998" s="363">
        <v>9979.1</v>
      </c>
      <c r="D998" s="252">
        <f t="shared" si="30"/>
        <v>1.5565608096762329E-2</v>
      </c>
      <c r="F998" s="440">
        <v>43984</v>
      </c>
      <c r="G998" s="170">
        <v>473.1</v>
      </c>
      <c r="H998" s="252">
        <f t="shared" si="31"/>
        <v>1.6544907606360182E-2</v>
      </c>
    </row>
    <row r="999" spans="2:8" x14ac:dyDescent="0.3">
      <c r="B999" s="440">
        <v>43985</v>
      </c>
      <c r="C999" s="363">
        <v>10061.549999999999</v>
      </c>
      <c r="D999" s="252">
        <f t="shared" si="30"/>
        <v>8.2622681404134202E-3</v>
      </c>
      <c r="F999" s="440">
        <v>43985</v>
      </c>
      <c r="G999" s="170">
        <v>476.15</v>
      </c>
      <c r="H999" s="252">
        <f t="shared" si="31"/>
        <v>6.4468399915449393E-3</v>
      </c>
    </row>
    <row r="1000" spans="2:8" x14ac:dyDescent="0.3">
      <c r="B1000" s="440">
        <v>43986</v>
      </c>
      <c r="C1000" s="363">
        <v>10029.1</v>
      </c>
      <c r="D1000" s="252">
        <f t="shared" si="30"/>
        <v>-3.2251492066330822E-3</v>
      </c>
      <c r="F1000" s="440">
        <v>43986</v>
      </c>
      <c r="G1000" s="170">
        <v>494.85</v>
      </c>
      <c r="H1000" s="252">
        <f t="shared" si="31"/>
        <v>3.927333823375001E-2</v>
      </c>
    </row>
    <row r="1001" spans="2:8" x14ac:dyDescent="0.3">
      <c r="B1001" s="440">
        <v>43987</v>
      </c>
      <c r="C1001" s="363">
        <v>10142.15</v>
      </c>
      <c r="D1001" s="252">
        <f t="shared" si="30"/>
        <v>1.1272197904099057E-2</v>
      </c>
      <c r="F1001" s="440">
        <v>43987</v>
      </c>
      <c r="G1001" s="170">
        <v>494.25</v>
      </c>
      <c r="H1001" s="252">
        <f t="shared" si="31"/>
        <v>-1.2124886329191176E-3</v>
      </c>
    </row>
    <row r="1002" spans="2:8" x14ac:dyDescent="0.3">
      <c r="B1002" s="440">
        <v>43990</v>
      </c>
      <c r="C1002" s="363">
        <v>10167.450000000001</v>
      </c>
      <c r="D1002" s="252">
        <f t="shared" si="30"/>
        <v>2.4945401123037669E-3</v>
      </c>
      <c r="F1002" s="440">
        <v>43990</v>
      </c>
      <c r="G1002" s="170">
        <v>489</v>
      </c>
      <c r="H1002" s="252">
        <f t="shared" si="31"/>
        <v>-1.0622154779969639E-2</v>
      </c>
    </row>
    <row r="1003" spans="2:8" x14ac:dyDescent="0.3">
      <c r="B1003" s="440">
        <v>43991</v>
      </c>
      <c r="C1003" s="363">
        <v>10046.65</v>
      </c>
      <c r="D1003" s="252">
        <f t="shared" si="30"/>
        <v>-1.1881051787813179E-2</v>
      </c>
      <c r="F1003" s="440">
        <v>43991</v>
      </c>
      <c r="G1003" s="170">
        <v>500.75</v>
      </c>
      <c r="H1003" s="252">
        <f t="shared" si="31"/>
        <v>2.4028629856850614E-2</v>
      </c>
    </row>
    <row r="1004" spans="2:8" x14ac:dyDescent="0.3">
      <c r="B1004" s="440">
        <v>43992</v>
      </c>
      <c r="C1004" s="363">
        <v>10116.15</v>
      </c>
      <c r="D1004" s="252">
        <f t="shared" si="30"/>
        <v>6.9177287951704969E-3</v>
      </c>
      <c r="F1004" s="440">
        <v>43992</v>
      </c>
      <c r="G1004" s="170">
        <v>499.15</v>
      </c>
      <c r="H1004" s="252">
        <f t="shared" si="31"/>
        <v>-3.195207189216176E-3</v>
      </c>
    </row>
    <row r="1005" spans="2:8" x14ac:dyDescent="0.3">
      <c r="B1005" s="440">
        <v>43993</v>
      </c>
      <c r="C1005" s="363">
        <v>9902</v>
      </c>
      <c r="D1005" s="252">
        <f t="shared" si="30"/>
        <v>-2.1169120663493524E-2</v>
      </c>
      <c r="F1005" s="440">
        <v>43993</v>
      </c>
      <c r="G1005" s="170">
        <v>473.65</v>
      </c>
      <c r="H1005" s="252">
        <f t="shared" si="31"/>
        <v>-5.1086847640989697E-2</v>
      </c>
    </row>
    <row r="1006" spans="2:8" x14ac:dyDescent="0.3">
      <c r="B1006" s="440">
        <v>43994</v>
      </c>
      <c r="C1006" s="363">
        <v>9972.9</v>
      </c>
      <c r="D1006" s="252">
        <f t="shared" si="30"/>
        <v>7.1601696626943934E-3</v>
      </c>
      <c r="F1006" s="440">
        <v>43994</v>
      </c>
      <c r="G1006" s="170">
        <v>480.1</v>
      </c>
      <c r="H1006" s="252">
        <f t="shared" si="31"/>
        <v>1.361765016362293E-2</v>
      </c>
    </row>
    <row r="1007" spans="2:8" x14ac:dyDescent="0.3">
      <c r="B1007" s="440">
        <v>43997</v>
      </c>
      <c r="C1007" s="363">
        <v>9813.7000000000007</v>
      </c>
      <c r="D1007" s="252">
        <f t="shared" si="30"/>
        <v>-1.596326043578089E-2</v>
      </c>
      <c r="F1007" s="440">
        <v>43997</v>
      </c>
      <c r="G1007" s="170">
        <v>485.8</v>
      </c>
      <c r="H1007" s="252">
        <f t="shared" si="31"/>
        <v>1.1872526556967244E-2</v>
      </c>
    </row>
    <row r="1008" spans="2:8" x14ac:dyDescent="0.3">
      <c r="B1008" s="440">
        <v>43998</v>
      </c>
      <c r="C1008" s="363">
        <v>9914</v>
      </c>
      <c r="D1008" s="252">
        <f t="shared" si="30"/>
        <v>1.0220406166889129E-2</v>
      </c>
      <c r="F1008" s="440">
        <v>43998</v>
      </c>
      <c r="G1008" s="170">
        <v>483.4</v>
      </c>
      <c r="H1008" s="252">
        <f t="shared" si="31"/>
        <v>-4.9403046521202532E-3</v>
      </c>
    </row>
    <row r="1009" spans="2:8" x14ac:dyDescent="0.3">
      <c r="B1009" s="440">
        <v>43999</v>
      </c>
      <c r="C1009" s="363">
        <v>9881.15</v>
      </c>
      <c r="D1009" s="252">
        <f t="shared" si="30"/>
        <v>-3.3134960661690416E-3</v>
      </c>
      <c r="F1009" s="440">
        <v>43999</v>
      </c>
      <c r="G1009" s="170">
        <v>485.65</v>
      </c>
      <c r="H1009" s="252">
        <f t="shared" si="31"/>
        <v>4.6545304095986229E-3</v>
      </c>
    </row>
    <row r="1010" spans="2:8" x14ac:dyDescent="0.3">
      <c r="B1010" s="440">
        <v>44000</v>
      </c>
      <c r="C1010" s="363">
        <v>10091.65</v>
      </c>
      <c r="D1010" s="252">
        <f t="shared" si="30"/>
        <v>2.1303188394063532E-2</v>
      </c>
      <c r="F1010" s="440">
        <v>44000</v>
      </c>
      <c r="G1010" s="170">
        <v>484.25</v>
      </c>
      <c r="H1010" s="252">
        <f t="shared" si="31"/>
        <v>-2.8827344795634424E-3</v>
      </c>
    </row>
    <row r="1011" spans="2:8" x14ac:dyDescent="0.3">
      <c r="B1011" s="440">
        <v>44001</v>
      </c>
      <c r="C1011" s="363">
        <v>10244.4</v>
      </c>
      <c r="D1011" s="252">
        <f t="shared" si="30"/>
        <v>1.5136276030183415E-2</v>
      </c>
      <c r="F1011" s="440">
        <v>44001</v>
      </c>
      <c r="G1011" s="170">
        <v>488.1</v>
      </c>
      <c r="H1011" s="252">
        <f t="shared" si="31"/>
        <v>7.9504388229221234E-3</v>
      </c>
    </row>
    <row r="1012" spans="2:8" x14ac:dyDescent="0.3">
      <c r="B1012" s="440">
        <v>44004</v>
      </c>
      <c r="C1012" s="363">
        <v>10311.200000000001</v>
      </c>
      <c r="D1012" s="252">
        <f t="shared" si="30"/>
        <v>6.5206356643630059E-3</v>
      </c>
      <c r="F1012" s="440">
        <v>44004</v>
      </c>
      <c r="G1012" s="170">
        <v>493.2</v>
      </c>
      <c r="H1012" s="252">
        <f t="shared" si="31"/>
        <v>1.0448678549477508E-2</v>
      </c>
    </row>
    <row r="1013" spans="2:8" x14ac:dyDescent="0.3">
      <c r="B1013" s="440">
        <v>44005</v>
      </c>
      <c r="C1013" s="363">
        <v>10471</v>
      </c>
      <c r="D1013" s="252">
        <f t="shared" si="30"/>
        <v>1.5497711226627242E-2</v>
      </c>
      <c r="F1013" s="440">
        <v>44005</v>
      </c>
      <c r="G1013" s="170">
        <v>500.45</v>
      </c>
      <c r="H1013" s="252">
        <f t="shared" si="31"/>
        <v>1.4699918896999176E-2</v>
      </c>
    </row>
    <row r="1014" spans="2:8" x14ac:dyDescent="0.3">
      <c r="B1014" s="440">
        <v>44006</v>
      </c>
      <c r="C1014" s="363">
        <v>10305.299999999999</v>
      </c>
      <c r="D1014" s="252">
        <f t="shared" si="30"/>
        <v>-1.5824658580842366E-2</v>
      </c>
      <c r="F1014" s="440">
        <v>44006</v>
      </c>
      <c r="G1014" s="170">
        <v>484.4</v>
      </c>
      <c r="H1014" s="252">
        <f t="shared" si="31"/>
        <v>-3.2071135977620124E-2</v>
      </c>
    </row>
    <row r="1015" spans="2:8" x14ac:dyDescent="0.3">
      <c r="B1015" s="440">
        <v>44007</v>
      </c>
      <c r="C1015" s="363">
        <v>10288.9</v>
      </c>
      <c r="D1015" s="252">
        <f t="shared" si="30"/>
        <v>-1.5914141267114879E-3</v>
      </c>
      <c r="F1015" s="440">
        <v>44007</v>
      </c>
      <c r="G1015" s="170">
        <v>487.65</v>
      </c>
      <c r="H1015" s="252">
        <f t="shared" si="31"/>
        <v>6.7093311312964588E-3</v>
      </c>
    </row>
    <row r="1016" spans="2:8" x14ac:dyDescent="0.3">
      <c r="B1016" s="440">
        <v>44008</v>
      </c>
      <c r="C1016" s="363">
        <v>10383</v>
      </c>
      <c r="D1016" s="252">
        <f t="shared" si="30"/>
        <v>9.1457784602824166E-3</v>
      </c>
      <c r="F1016" s="440">
        <v>44008</v>
      </c>
      <c r="G1016" s="170">
        <v>479.95</v>
      </c>
      <c r="H1016" s="252">
        <f t="shared" si="31"/>
        <v>-1.5790013329232022E-2</v>
      </c>
    </row>
    <row r="1017" spans="2:8" x14ac:dyDescent="0.3">
      <c r="B1017" s="440">
        <v>44011</v>
      </c>
      <c r="C1017" s="363">
        <v>10312.4</v>
      </c>
      <c r="D1017" s="252">
        <f t="shared" si="30"/>
        <v>-6.7995762303766361E-3</v>
      </c>
      <c r="F1017" s="440">
        <v>44011</v>
      </c>
      <c r="G1017" s="170">
        <v>482</v>
      </c>
      <c r="H1017" s="252">
        <f t="shared" si="31"/>
        <v>4.2712782581519892E-3</v>
      </c>
    </row>
    <row r="1018" spans="2:8" x14ac:dyDescent="0.3">
      <c r="B1018" s="440">
        <v>44012</v>
      </c>
      <c r="C1018" s="363">
        <v>10302.1</v>
      </c>
      <c r="D1018" s="252">
        <f t="shared" si="30"/>
        <v>-9.9879756409748666E-4</v>
      </c>
      <c r="F1018" s="440">
        <v>44012</v>
      </c>
      <c r="G1018" s="170">
        <v>472.95</v>
      </c>
      <c r="H1018" s="252">
        <f t="shared" si="31"/>
        <v>-1.8775933609958551E-2</v>
      </c>
    </row>
    <row r="1019" spans="2:8" x14ac:dyDescent="0.3">
      <c r="B1019" s="440">
        <v>44013</v>
      </c>
      <c r="C1019" s="363">
        <v>10430.049999999999</v>
      </c>
      <c r="D1019" s="252">
        <f t="shared" si="30"/>
        <v>1.241979790528136E-2</v>
      </c>
      <c r="F1019" s="440">
        <v>44013</v>
      </c>
      <c r="G1019" s="170">
        <v>468.15</v>
      </c>
      <c r="H1019" s="252">
        <f t="shared" si="31"/>
        <v>-1.0149064383127238E-2</v>
      </c>
    </row>
    <row r="1020" spans="2:8" x14ac:dyDescent="0.3">
      <c r="B1020" s="440">
        <v>44014</v>
      </c>
      <c r="C1020" s="363">
        <v>10551.7</v>
      </c>
      <c r="D1020" s="252">
        <f t="shared" si="30"/>
        <v>1.1663414844607756E-2</v>
      </c>
      <c r="F1020" s="440">
        <v>44014</v>
      </c>
      <c r="G1020" s="170">
        <v>473</v>
      </c>
      <c r="H1020" s="252">
        <f t="shared" si="31"/>
        <v>1.0359927373705169E-2</v>
      </c>
    </row>
    <row r="1021" spans="2:8" x14ac:dyDescent="0.3">
      <c r="B1021" s="440">
        <v>44015</v>
      </c>
      <c r="C1021" s="363">
        <v>10607.35</v>
      </c>
      <c r="D1021" s="252">
        <f t="shared" si="30"/>
        <v>5.2740316726214154E-3</v>
      </c>
      <c r="F1021" s="440">
        <v>44015</v>
      </c>
      <c r="G1021" s="170">
        <v>476.85</v>
      </c>
      <c r="H1021" s="252">
        <f t="shared" si="31"/>
        <v>8.1395348837209891E-3</v>
      </c>
    </row>
    <row r="1022" spans="2:8" x14ac:dyDescent="0.3">
      <c r="B1022" s="440">
        <v>44018</v>
      </c>
      <c r="C1022" s="363">
        <v>10763.65</v>
      </c>
      <c r="D1022" s="252">
        <f t="shared" si="30"/>
        <v>1.4735065779860168E-2</v>
      </c>
      <c r="F1022" s="440">
        <v>44018</v>
      </c>
      <c r="G1022" s="170">
        <v>480.2</v>
      </c>
      <c r="H1022" s="252">
        <f t="shared" si="31"/>
        <v>7.025270001048467E-3</v>
      </c>
    </row>
    <row r="1023" spans="2:8" x14ac:dyDescent="0.3">
      <c r="B1023" s="440">
        <v>44019</v>
      </c>
      <c r="C1023" s="363">
        <v>10799.65</v>
      </c>
      <c r="D1023" s="252">
        <f t="shared" si="30"/>
        <v>3.3445903573601221E-3</v>
      </c>
      <c r="F1023" s="440">
        <v>44019</v>
      </c>
      <c r="G1023" s="170">
        <v>479.25</v>
      </c>
      <c r="H1023" s="252">
        <f t="shared" si="31"/>
        <v>-1.9783423573510595E-3</v>
      </c>
    </row>
    <row r="1024" spans="2:8" x14ac:dyDescent="0.3">
      <c r="B1024" s="440">
        <v>44020</v>
      </c>
      <c r="C1024" s="363">
        <v>10705.75</v>
      </c>
      <c r="D1024" s="252">
        <f t="shared" si="30"/>
        <v>-8.6947262179792872E-3</v>
      </c>
      <c r="F1024" s="440">
        <v>44020</v>
      </c>
      <c r="G1024" s="170">
        <v>482.5</v>
      </c>
      <c r="H1024" s="252">
        <f t="shared" si="31"/>
        <v>6.7814293166406081E-3</v>
      </c>
    </row>
    <row r="1025" spans="2:8" x14ac:dyDescent="0.3">
      <c r="B1025" s="440">
        <v>44021</v>
      </c>
      <c r="C1025" s="363">
        <v>10813.45</v>
      </c>
      <c r="D1025" s="252">
        <f t="shared" si="30"/>
        <v>1.006001447820104E-2</v>
      </c>
      <c r="F1025" s="440">
        <v>44021</v>
      </c>
      <c r="G1025" s="170">
        <v>481.95</v>
      </c>
      <c r="H1025" s="252">
        <f t="shared" si="31"/>
        <v>-1.1398963730570033E-3</v>
      </c>
    </row>
    <row r="1026" spans="2:8" x14ac:dyDescent="0.3">
      <c r="B1026" s="440">
        <v>44022</v>
      </c>
      <c r="C1026" s="363">
        <v>10768.05</v>
      </c>
      <c r="D1026" s="252">
        <f t="shared" si="30"/>
        <v>-4.1984750472792154E-3</v>
      </c>
      <c r="F1026" s="440">
        <v>44022</v>
      </c>
      <c r="G1026" s="170">
        <v>493.9</v>
      </c>
      <c r="H1026" s="252">
        <f t="shared" si="31"/>
        <v>2.4795103226475712E-2</v>
      </c>
    </row>
    <row r="1027" spans="2:8" x14ac:dyDescent="0.3">
      <c r="B1027" s="440">
        <v>44025</v>
      </c>
      <c r="C1027" s="363">
        <v>10802.7</v>
      </c>
      <c r="D1027" s="252">
        <f t="shared" si="30"/>
        <v>3.2178528145765384E-3</v>
      </c>
      <c r="F1027" s="440">
        <v>44025</v>
      </c>
      <c r="G1027" s="170">
        <v>499.7</v>
      </c>
      <c r="H1027" s="252">
        <f t="shared" si="31"/>
        <v>1.1743267867989404E-2</v>
      </c>
    </row>
    <row r="1028" spans="2:8" x14ac:dyDescent="0.3">
      <c r="B1028" s="440">
        <v>44026</v>
      </c>
      <c r="C1028" s="363">
        <v>10607.35</v>
      </c>
      <c r="D1028" s="252">
        <f t="shared" si="30"/>
        <v>-1.8083442102437397E-2</v>
      </c>
      <c r="F1028" s="440">
        <v>44026</v>
      </c>
      <c r="G1028" s="170">
        <v>492.1</v>
      </c>
      <c r="H1028" s="252">
        <f t="shared" si="31"/>
        <v>-1.5209125475285079E-2</v>
      </c>
    </row>
    <row r="1029" spans="2:8" x14ac:dyDescent="0.3">
      <c r="B1029" s="440">
        <v>44027</v>
      </c>
      <c r="C1029" s="363">
        <v>10618.2</v>
      </c>
      <c r="D1029" s="252">
        <f t="shared" si="30"/>
        <v>1.0228756475463285E-3</v>
      </c>
      <c r="F1029" s="440">
        <v>44027</v>
      </c>
      <c r="G1029" s="170">
        <v>495.1</v>
      </c>
      <c r="H1029" s="252">
        <f t="shared" si="31"/>
        <v>6.0963218857956747E-3</v>
      </c>
    </row>
    <row r="1030" spans="2:8" x14ac:dyDescent="0.3">
      <c r="B1030" s="440">
        <v>44028</v>
      </c>
      <c r="C1030" s="363">
        <v>10739.95</v>
      </c>
      <c r="D1030" s="252">
        <f t="shared" si="30"/>
        <v>1.1466161873010527E-2</v>
      </c>
      <c r="F1030" s="440">
        <v>44028</v>
      </c>
      <c r="G1030" s="170">
        <v>499.7</v>
      </c>
      <c r="H1030" s="252">
        <f t="shared" si="31"/>
        <v>9.2910523126641387E-3</v>
      </c>
    </row>
    <row r="1031" spans="2:8" x14ac:dyDescent="0.3">
      <c r="B1031" s="440">
        <v>44029</v>
      </c>
      <c r="C1031" s="363">
        <v>10901.7</v>
      </c>
      <c r="D1031" s="252">
        <f t="shared" si="30"/>
        <v>1.5060591529755696E-2</v>
      </c>
      <c r="F1031" s="440">
        <v>44029</v>
      </c>
      <c r="G1031" s="170">
        <v>503.6</v>
      </c>
      <c r="H1031" s="252">
        <f t="shared" si="31"/>
        <v>7.8046828096858256E-3</v>
      </c>
    </row>
    <row r="1032" spans="2:8" x14ac:dyDescent="0.3">
      <c r="B1032" s="440">
        <v>44032</v>
      </c>
      <c r="C1032" s="363">
        <v>11022.2</v>
      </c>
      <c r="D1032" s="252">
        <f t="shared" si="30"/>
        <v>1.1053321958960582E-2</v>
      </c>
      <c r="F1032" s="440">
        <v>44032</v>
      </c>
      <c r="G1032" s="170">
        <v>483.8</v>
      </c>
      <c r="H1032" s="252">
        <f t="shared" si="31"/>
        <v>-3.931691818903893E-2</v>
      </c>
    </row>
    <row r="1033" spans="2:8" x14ac:dyDescent="0.3">
      <c r="B1033" s="440">
        <v>44033</v>
      </c>
      <c r="C1033" s="363">
        <v>11162.25</v>
      </c>
      <c r="D1033" s="252">
        <f t="shared" si="30"/>
        <v>1.2706174810836135E-2</v>
      </c>
      <c r="F1033" s="440">
        <v>44033</v>
      </c>
      <c r="G1033" s="170">
        <v>477.25</v>
      </c>
      <c r="H1033" s="252">
        <f t="shared" si="31"/>
        <v>-1.3538652335675971E-2</v>
      </c>
    </row>
    <row r="1034" spans="2:8" x14ac:dyDescent="0.3">
      <c r="B1034" s="440">
        <v>44034</v>
      </c>
      <c r="C1034" s="363">
        <v>11132.6</v>
      </c>
      <c r="D1034" s="252">
        <f t="shared" si="30"/>
        <v>-2.6562744966291962E-3</v>
      </c>
      <c r="F1034" s="440">
        <v>44034</v>
      </c>
      <c r="G1034" s="170">
        <v>474.3</v>
      </c>
      <c r="H1034" s="252">
        <f t="shared" si="31"/>
        <v>-6.1812467260345949E-3</v>
      </c>
    </row>
    <row r="1035" spans="2:8" x14ac:dyDescent="0.3">
      <c r="B1035" s="440">
        <v>44035</v>
      </c>
      <c r="C1035" s="363">
        <v>11215.45</v>
      </c>
      <c r="D1035" s="252">
        <f t="shared" ref="D1035:D1098" si="32">C1035/C1034-1</f>
        <v>7.4421069651293692E-3</v>
      </c>
      <c r="F1035" s="440">
        <v>44035</v>
      </c>
      <c r="G1035" s="170">
        <v>476</v>
      </c>
      <c r="H1035" s="252">
        <f t="shared" ref="H1035:H1098" si="33">G1035/G1034-1</f>
        <v>3.5842293906809264E-3</v>
      </c>
    </row>
    <row r="1036" spans="2:8" x14ac:dyDescent="0.3">
      <c r="B1036" s="440">
        <v>44036</v>
      </c>
      <c r="C1036" s="363">
        <v>11194.15</v>
      </c>
      <c r="D1036" s="252">
        <f t="shared" si="32"/>
        <v>-1.8991658827778313E-3</v>
      </c>
      <c r="F1036" s="440">
        <v>44036</v>
      </c>
      <c r="G1036" s="170">
        <v>485.6</v>
      </c>
      <c r="H1036" s="252">
        <f t="shared" si="33"/>
        <v>2.0168067226890907E-2</v>
      </c>
    </row>
    <row r="1037" spans="2:8" x14ac:dyDescent="0.3">
      <c r="B1037" s="440">
        <v>44039</v>
      </c>
      <c r="C1037" s="363">
        <v>11131.8</v>
      </c>
      <c r="D1037" s="252">
        <f t="shared" si="32"/>
        <v>-5.5698735500239183E-3</v>
      </c>
      <c r="F1037" s="440">
        <v>44039</v>
      </c>
      <c r="G1037" s="170">
        <v>475.5</v>
      </c>
      <c r="H1037" s="252">
        <f t="shared" si="33"/>
        <v>-2.0799011532125267E-2</v>
      </c>
    </row>
    <row r="1038" spans="2:8" x14ac:dyDescent="0.3">
      <c r="B1038" s="440">
        <v>44040</v>
      </c>
      <c r="C1038" s="363">
        <v>11300.55</v>
      </c>
      <c r="D1038" s="252">
        <f t="shared" si="32"/>
        <v>1.5159273432868048E-2</v>
      </c>
      <c r="F1038" s="440">
        <v>44040</v>
      </c>
      <c r="G1038" s="170">
        <v>482.6</v>
      </c>
      <c r="H1038" s="252">
        <f t="shared" si="33"/>
        <v>1.4931650893796E-2</v>
      </c>
    </row>
    <row r="1039" spans="2:8" x14ac:dyDescent="0.3">
      <c r="B1039" s="440">
        <v>44041</v>
      </c>
      <c r="C1039" s="363">
        <v>11202.85</v>
      </c>
      <c r="D1039" s="252">
        <f t="shared" si="32"/>
        <v>-8.6455968957261931E-3</v>
      </c>
      <c r="F1039" s="440">
        <v>44041</v>
      </c>
      <c r="G1039" s="170">
        <v>493</v>
      </c>
      <c r="H1039" s="252">
        <f t="shared" si="33"/>
        <v>2.1549937836717659E-2</v>
      </c>
    </row>
    <row r="1040" spans="2:8" x14ac:dyDescent="0.3">
      <c r="B1040" s="440">
        <v>44042</v>
      </c>
      <c r="C1040" s="363">
        <v>11102.15</v>
      </c>
      <c r="D1040" s="252">
        <f t="shared" si="32"/>
        <v>-8.9887841040450223E-3</v>
      </c>
      <c r="F1040" s="440">
        <v>44042</v>
      </c>
      <c r="G1040" s="170">
        <v>509.95</v>
      </c>
      <c r="H1040" s="252">
        <f t="shared" si="33"/>
        <v>3.4381338742393464E-2</v>
      </c>
    </row>
    <row r="1041" spans="2:8" x14ac:dyDescent="0.3">
      <c r="B1041" s="440">
        <v>44043</v>
      </c>
      <c r="C1041" s="363">
        <v>11073.45</v>
      </c>
      <c r="D1041" s="252">
        <f t="shared" si="32"/>
        <v>-2.5850848709483287E-3</v>
      </c>
      <c r="F1041" s="440">
        <v>44043</v>
      </c>
      <c r="G1041" s="170">
        <v>531.70000000000005</v>
      </c>
      <c r="H1041" s="252">
        <f t="shared" si="33"/>
        <v>4.2651240317678418E-2</v>
      </c>
    </row>
    <row r="1042" spans="2:8" x14ac:dyDescent="0.3">
      <c r="B1042" s="440">
        <v>44046</v>
      </c>
      <c r="C1042" s="363">
        <v>10891.6</v>
      </c>
      <c r="D1042" s="252">
        <f t="shared" si="32"/>
        <v>-1.6422162921221561E-2</v>
      </c>
      <c r="F1042" s="440">
        <v>44046</v>
      </c>
      <c r="G1042" s="170">
        <v>519.4</v>
      </c>
      <c r="H1042" s="252">
        <f t="shared" si="33"/>
        <v>-2.3133345871732325E-2</v>
      </c>
    </row>
    <row r="1043" spans="2:8" x14ac:dyDescent="0.3">
      <c r="B1043" s="440">
        <v>44047</v>
      </c>
      <c r="C1043" s="363">
        <v>11095.25</v>
      </c>
      <c r="D1043" s="252">
        <f t="shared" si="32"/>
        <v>1.8697895625986893E-2</v>
      </c>
      <c r="F1043" s="440">
        <v>44047</v>
      </c>
      <c r="G1043" s="170">
        <v>528.95000000000005</v>
      </c>
      <c r="H1043" s="252">
        <f t="shared" si="33"/>
        <v>1.8386599922988189E-2</v>
      </c>
    </row>
    <row r="1044" spans="2:8" x14ac:dyDescent="0.3">
      <c r="B1044" s="440">
        <v>44048</v>
      </c>
      <c r="C1044" s="363">
        <v>11101.65</v>
      </c>
      <c r="D1044" s="252">
        <f t="shared" si="32"/>
        <v>5.7682341542553139E-4</v>
      </c>
      <c r="F1044" s="440">
        <v>44048</v>
      </c>
      <c r="G1044" s="170">
        <v>528.85</v>
      </c>
      <c r="H1044" s="252">
        <f t="shared" si="33"/>
        <v>-1.8905378580214016E-4</v>
      </c>
    </row>
    <row r="1045" spans="2:8" x14ac:dyDescent="0.3">
      <c r="B1045" s="440">
        <v>44049</v>
      </c>
      <c r="C1045" s="363">
        <v>11200.15</v>
      </c>
      <c r="D1045" s="252">
        <f t="shared" si="32"/>
        <v>8.8725549805659387E-3</v>
      </c>
      <c r="F1045" s="440">
        <v>44049</v>
      </c>
      <c r="G1045" s="170">
        <v>532.25</v>
      </c>
      <c r="H1045" s="252">
        <f t="shared" si="33"/>
        <v>6.4290441524061936E-3</v>
      </c>
    </row>
    <row r="1046" spans="2:8" x14ac:dyDescent="0.3">
      <c r="B1046" s="440">
        <v>44050</v>
      </c>
      <c r="C1046" s="363">
        <v>11214.05</v>
      </c>
      <c r="D1046" s="252">
        <f t="shared" si="32"/>
        <v>1.2410548073016336E-3</v>
      </c>
      <c r="F1046" s="440">
        <v>44050</v>
      </c>
      <c r="G1046" s="170">
        <v>525.95000000000005</v>
      </c>
      <c r="H1046" s="252">
        <f t="shared" si="33"/>
        <v>-1.1836542977923803E-2</v>
      </c>
    </row>
    <row r="1047" spans="2:8" x14ac:dyDescent="0.3">
      <c r="B1047" s="440">
        <v>44053</v>
      </c>
      <c r="C1047" s="363">
        <v>11270.15</v>
      </c>
      <c r="D1047" s="252">
        <f t="shared" si="32"/>
        <v>5.0026529220041915E-3</v>
      </c>
      <c r="F1047" s="440">
        <v>44053</v>
      </c>
      <c r="G1047" s="170">
        <v>543.85</v>
      </c>
      <c r="H1047" s="252">
        <f t="shared" si="33"/>
        <v>3.4033653389105467E-2</v>
      </c>
    </row>
    <row r="1048" spans="2:8" x14ac:dyDescent="0.3">
      <c r="B1048" s="440">
        <v>44054</v>
      </c>
      <c r="C1048" s="363">
        <v>11322.5</v>
      </c>
      <c r="D1048" s="252">
        <f t="shared" si="32"/>
        <v>4.6450135978670648E-3</v>
      </c>
      <c r="F1048" s="440">
        <v>44054</v>
      </c>
      <c r="G1048" s="170">
        <v>541.04999999999995</v>
      </c>
      <c r="H1048" s="252">
        <f t="shared" si="33"/>
        <v>-5.1484784407466178E-3</v>
      </c>
    </row>
    <row r="1049" spans="2:8" x14ac:dyDescent="0.3">
      <c r="B1049" s="440">
        <v>44055</v>
      </c>
      <c r="C1049" s="363">
        <v>11308.4</v>
      </c>
      <c r="D1049" s="252">
        <f t="shared" si="32"/>
        <v>-1.2453080150144347E-3</v>
      </c>
      <c r="F1049" s="440">
        <v>44055</v>
      </c>
      <c r="G1049" s="170">
        <v>532.15</v>
      </c>
      <c r="H1049" s="252">
        <f t="shared" si="33"/>
        <v>-1.6449496349690396E-2</v>
      </c>
    </row>
    <row r="1050" spans="2:8" x14ac:dyDescent="0.3">
      <c r="B1050" s="440">
        <v>44056</v>
      </c>
      <c r="C1050" s="363">
        <v>11300.45</v>
      </c>
      <c r="D1050" s="252">
        <f t="shared" si="32"/>
        <v>-7.0301722613264062E-4</v>
      </c>
      <c r="F1050" s="440">
        <v>44056</v>
      </c>
      <c r="G1050" s="170">
        <v>520.79999999999995</v>
      </c>
      <c r="H1050" s="252">
        <f t="shared" si="33"/>
        <v>-2.132857277083533E-2</v>
      </c>
    </row>
    <row r="1051" spans="2:8" x14ac:dyDescent="0.3">
      <c r="B1051" s="440">
        <v>44057</v>
      </c>
      <c r="C1051" s="363">
        <v>11178.4</v>
      </c>
      <c r="D1051" s="252">
        <f t="shared" si="32"/>
        <v>-1.0800454849143271E-2</v>
      </c>
      <c r="F1051" s="440">
        <v>44057</v>
      </c>
      <c r="G1051" s="170">
        <v>531.35</v>
      </c>
      <c r="H1051" s="252">
        <f t="shared" si="33"/>
        <v>2.0257296466974051E-2</v>
      </c>
    </row>
    <row r="1052" spans="2:8" x14ac:dyDescent="0.3">
      <c r="B1052" s="440">
        <v>44060</v>
      </c>
      <c r="C1052" s="363">
        <v>11247.1</v>
      </c>
      <c r="D1052" s="252">
        <f t="shared" si="32"/>
        <v>6.1457811493594861E-3</v>
      </c>
      <c r="F1052" s="440">
        <v>44060</v>
      </c>
      <c r="G1052" s="170">
        <v>528.35</v>
      </c>
      <c r="H1052" s="252">
        <f t="shared" si="33"/>
        <v>-5.6459960478028037E-3</v>
      </c>
    </row>
    <row r="1053" spans="2:8" x14ac:dyDescent="0.3">
      <c r="B1053" s="440">
        <v>44061</v>
      </c>
      <c r="C1053" s="363">
        <v>11385.35</v>
      </c>
      <c r="D1053" s="252">
        <f t="shared" si="32"/>
        <v>1.2292057508157761E-2</v>
      </c>
      <c r="F1053" s="440">
        <v>44061</v>
      </c>
      <c r="G1053" s="170">
        <v>526</v>
      </c>
      <c r="H1053" s="252">
        <f t="shared" si="33"/>
        <v>-4.4478092173748651E-3</v>
      </c>
    </row>
    <row r="1054" spans="2:8" x14ac:dyDescent="0.3">
      <c r="B1054" s="440">
        <v>44062</v>
      </c>
      <c r="C1054" s="363">
        <v>11408.4</v>
      </c>
      <c r="D1054" s="252">
        <f t="shared" si="32"/>
        <v>2.024531525161688E-3</v>
      </c>
      <c r="F1054" s="440">
        <v>44062</v>
      </c>
      <c r="G1054" s="170">
        <v>525.4</v>
      </c>
      <c r="H1054" s="252">
        <f t="shared" si="33"/>
        <v>-1.1406844106464087E-3</v>
      </c>
    </row>
    <row r="1055" spans="2:8" x14ac:dyDescent="0.3">
      <c r="B1055" s="440">
        <v>44063</v>
      </c>
      <c r="C1055" s="363">
        <v>11312.2</v>
      </c>
      <c r="D1055" s="252">
        <f t="shared" si="32"/>
        <v>-8.4323831562707063E-3</v>
      </c>
      <c r="F1055" s="440">
        <v>44063</v>
      </c>
      <c r="G1055" s="170">
        <v>522.29999999999995</v>
      </c>
      <c r="H1055" s="252">
        <f t="shared" si="33"/>
        <v>-5.9002664636468305E-3</v>
      </c>
    </row>
    <row r="1056" spans="2:8" x14ac:dyDescent="0.3">
      <c r="B1056" s="440">
        <v>44064</v>
      </c>
      <c r="C1056" s="363">
        <v>11371.6</v>
      </c>
      <c r="D1056" s="252">
        <f t="shared" si="32"/>
        <v>5.2509679814713994E-3</v>
      </c>
      <c r="F1056" s="440">
        <v>44064</v>
      </c>
      <c r="G1056" s="170">
        <v>532.35</v>
      </c>
      <c r="H1056" s="252">
        <f t="shared" si="33"/>
        <v>1.9241815048822719E-2</v>
      </c>
    </row>
    <row r="1057" spans="2:8" x14ac:dyDescent="0.3">
      <c r="B1057" s="440">
        <v>44067</v>
      </c>
      <c r="C1057" s="363">
        <v>11466.45</v>
      </c>
      <c r="D1057" s="252">
        <f t="shared" si="32"/>
        <v>8.3409546589749972E-3</v>
      </c>
      <c r="F1057" s="440">
        <v>44067</v>
      </c>
      <c r="G1057" s="170">
        <v>533.45000000000005</v>
      </c>
      <c r="H1057" s="252">
        <f t="shared" si="33"/>
        <v>2.0663097586175461E-3</v>
      </c>
    </row>
    <row r="1058" spans="2:8" x14ac:dyDescent="0.3">
      <c r="B1058" s="440">
        <v>44068</v>
      </c>
      <c r="C1058" s="363">
        <v>11472.25</v>
      </c>
      <c r="D1058" s="252">
        <f t="shared" si="32"/>
        <v>5.0582351120009861E-4</v>
      </c>
      <c r="F1058" s="440">
        <v>44068</v>
      </c>
      <c r="G1058" s="170">
        <v>525.1</v>
      </c>
      <c r="H1058" s="252">
        <f t="shared" si="33"/>
        <v>-1.5652825944324711E-2</v>
      </c>
    </row>
    <row r="1059" spans="2:8" x14ac:dyDescent="0.3">
      <c r="B1059" s="440">
        <v>44069</v>
      </c>
      <c r="C1059" s="363">
        <v>11549.6</v>
      </c>
      <c r="D1059" s="252">
        <f t="shared" si="32"/>
        <v>6.7423565560373877E-3</v>
      </c>
      <c r="F1059" s="440">
        <v>44069</v>
      </c>
      <c r="G1059" s="170">
        <v>525.15</v>
      </c>
      <c r="H1059" s="252">
        <f t="shared" si="33"/>
        <v>9.5219958103021085E-5</v>
      </c>
    </row>
    <row r="1060" spans="2:8" x14ac:dyDescent="0.3">
      <c r="B1060" s="440">
        <v>44070</v>
      </c>
      <c r="C1060" s="363">
        <v>11559.25</v>
      </c>
      <c r="D1060" s="252">
        <f t="shared" si="32"/>
        <v>8.3552677148990284E-4</v>
      </c>
      <c r="F1060" s="440">
        <v>44070</v>
      </c>
      <c r="G1060" s="170">
        <v>532.25</v>
      </c>
      <c r="H1060" s="252">
        <f t="shared" si="33"/>
        <v>1.3519946681900485E-2</v>
      </c>
    </row>
    <row r="1061" spans="2:8" x14ac:dyDescent="0.3">
      <c r="B1061" s="440">
        <v>44071</v>
      </c>
      <c r="C1061" s="363">
        <v>11647.6</v>
      </c>
      <c r="D1061" s="252">
        <f t="shared" si="32"/>
        <v>7.6432294482773333E-3</v>
      </c>
      <c r="F1061" s="440">
        <v>44071</v>
      </c>
      <c r="G1061" s="170">
        <v>555.75</v>
      </c>
      <c r="H1061" s="252">
        <f t="shared" si="33"/>
        <v>4.4152184124001792E-2</v>
      </c>
    </row>
    <row r="1062" spans="2:8" x14ac:dyDescent="0.3">
      <c r="B1062" s="440">
        <v>44074</v>
      </c>
      <c r="C1062" s="363">
        <v>11387.5</v>
      </c>
      <c r="D1062" s="252">
        <f t="shared" si="32"/>
        <v>-2.2330780589992827E-2</v>
      </c>
      <c r="F1062" s="440">
        <v>44074</v>
      </c>
      <c r="G1062" s="170">
        <v>520.25</v>
      </c>
      <c r="H1062" s="252">
        <f t="shared" si="33"/>
        <v>-6.3877642825011294E-2</v>
      </c>
    </row>
    <row r="1063" spans="2:8" x14ac:dyDescent="0.3">
      <c r="B1063" s="440">
        <v>44075</v>
      </c>
      <c r="C1063" s="363">
        <v>11470.25</v>
      </c>
      <c r="D1063" s="252">
        <f t="shared" si="32"/>
        <v>7.2667398463226451E-3</v>
      </c>
      <c r="F1063" s="440">
        <v>44075</v>
      </c>
      <c r="G1063" s="170">
        <v>521.45000000000005</v>
      </c>
      <c r="H1063" s="252">
        <f t="shared" si="33"/>
        <v>2.3065833733781904E-3</v>
      </c>
    </row>
    <row r="1064" spans="2:8" x14ac:dyDescent="0.3">
      <c r="B1064" s="440">
        <v>44076</v>
      </c>
      <c r="C1064" s="363">
        <v>11535</v>
      </c>
      <c r="D1064" s="252">
        <f t="shared" si="32"/>
        <v>5.6450382511279429E-3</v>
      </c>
      <c r="F1064" s="440">
        <v>44076</v>
      </c>
      <c r="G1064" s="170">
        <v>514.5</v>
      </c>
      <c r="H1064" s="252">
        <f t="shared" si="33"/>
        <v>-1.3328219388244356E-2</v>
      </c>
    </row>
    <row r="1065" spans="2:8" x14ac:dyDescent="0.3">
      <c r="B1065" s="440">
        <v>44077</v>
      </c>
      <c r="C1065" s="363">
        <v>11527.45</v>
      </c>
      <c r="D1065" s="252">
        <f t="shared" si="32"/>
        <v>-6.5452969224089053E-4</v>
      </c>
      <c r="F1065" s="440">
        <v>44077</v>
      </c>
      <c r="G1065" s="170">
        <v>523.45000000000005</v>
      </c>
      <c r="H1065" s="252">
        <f t="shared" si="33"/>
        <v>1.7395529640427787E-2</v>
      </c>
    </row>
    <row r="1066" spans="2:8" x14ac:dyDescent="0.3">
      <c r="B1066" s="440">
        <v>44078</v>
      </c>
      <c r="C1066" s="363">
        <v>11333.85</v>
      </c>
      <c r="D1066" s="252">
        <f t="shared" si="32"/>
        <v>-1.6794694403359012E-2</v>
      </c>
      <c r="F1066" s="440">
        <v>44078</v>
      </c>
      <c r="G1066" s="170">
        <v>512.45000000000005</v>
      </c>
      <c r="H1066" s="252">
        <f t="shared" si="33"/>
        <v>-2.1014423536154347E-2</v>
      </c>
    </row>
    <row r="1067" spans="2:8" x14ac:dyDescent="0.3">
      <c r="B1067" s="440">
        <v>44081</v>
      </c>
      <c r="C1067" s="363">
        <v>11355.05</v>
      </c>
      <c r="D1067" s="252">
        <f t="shared" si="32"/>
        <v>1.8705029623649061E-3</v>
      </c>
      <c r="F1067" s="440">
        <v>44081</v>
      </c>
      <c r="G1067" s="170">
        <v>513.25</v>
      </c>
      <c r="H1067" s="252">
        <f t="shared" si="33"/>
        <v>1.5611279149183588E-3</v>
      </c>
    </row>
    <row r="1068" spans="2:8" x14ac:dyDescent="0.3">
      <c r="B1068" s="440">
        <v>44082</v>
      </c>
      <c r="C1068" s="363">
        <v>11317.35</v>
      </c>
      <c r="D1068" s="252">
        <f t="shared" si="32"/>
        <v>-3.3201086741140307E-3</v>
      </c>
      <c r="F1068" s="440">
        <v>44082</v>
      </c>
      <c r="G1068" s="170">
        <v>501.9</v>
      </c>
      <c r="H1068" s="252">
        <f t="shared" si="33"/>
        <v>-2.2113979542133455E-2</v>
      </c>
    </row>
    <row r="1069" spans="2:8" x14ac:dyDescent="0.3">
      <c r="B1069" s="440">
        <v>44083</v>
      </c>
      <c r="C1069" s="363">
        <v>11278</v>
      </c>
      <c r="D1069" s="252">
        <f t="shared" si="32"/>
        <v>-3.4769623630973578E-3</v>
      </c>
      <c r="F1069" s="440">
        <v>44083</v>
      </c>
      <c r="G1069" s="170">
        <v>509.3</v>
      </c>
      <c r="H1069" s="252">
        <f t="shared" si="33"/>
        <v>1.4743972902968805E-2</v>
      </c>
    </row>
    <row r="1070" spans="2:8" x14ac:dyDescent="0.3">
      <c r="B1070" s="440">
        <v>44084</v>
      </c>
      <c r="C1070" s="363">
        <v>11449.25</v>
      </c>
      <c r="D1070" s="252">
        <f t="shared" si="32"/>
        <v>1.5184429863450921E-2</v>
      </c>
      <c r="F1070" s="440">
        <v>44084</v>
      </c>
      <c r="G1070" s="170">
        <v>507.95</v>
      </c>
      <c r="H1070" s="252">
        <f t="shared" si="33"/>
        <v>-2.6506970351463099E-3</v>
      </c>
    </row>
    <row r="1071" spans="2:8" x14ac:dyDescent="0.3">
      <c r="B1071" s="440">
        <v>44085</v>
      </c>
      <c r="C1071" s="363">
        <v>11464.45</v>
      </c>
      <c r="D1071" s="252">
        <f t="shared" si="32"/>
        <v>1.3275978775904029E-3</v>
      </c>
      <c r="F1071" s="440">
        <v>44085</v>
      </c>
      <c r="G1071" s="170">
        <v>505.55</v>
      </c>
      <c r="H1071" s="252">
        <f t="shared" si="33"/>
        <v>-4.7248744955211697E-3</v>
      </c>
    </row>
    <row r="1072" spans="2:8" x14ac:dyDescent="0.3">
      <c r="B1072" s="440">
        <v>44088</v>
      </c>
      <c r="C1072" s="363">
        <v>11440.05</v>
      </c>
      <c r="D1072" s="252">
        <f t="shared" si="32"/>
        <v>-2.1283184103905173E-3</v>
      </c>
      <c r="F1072" s="440">
        <v>44088</v>
      </c>
      <c r="G1072" s="170">
        <v>495.8</v>
      </c>
      <c r="H1072" s="252">
        <f t="shared" si="33"/>
        <v>-1.9285926218969407E-2</v>
      </c>
    </row>
    <row r="1073" spans="2:8" x14ac:dyDescent="0.3">
      <c r="B1073" s="440">
        <v>44089</v>
      </c>
      <c r="C1073" s="363">
        <v>11521.8</v>
      </c>
      <c r="D1073" s="252">
        <f t="shared" si="32"/>
        <v>7.1459477886897105E-3</v>
      </c>
      <c r="F1073" s="440">
        <v>44089</v>
      </c>
      <c r="G1073" s="170">
        <v>506.4</v>
      </c>
      <c r="H1073" s="252">
        <f t="shared" si="33"/>
        <v>2.1379588543767536E-2</v>
      </c>
    </row>
    <row r="1074" spans="2:8" x14ac:dyDescent="0.3">
      <c r="B1074" s="440">
        <v>44090</v>
      </c>
      <c r="C1074" s="363">
        <v>11604.55</v>
      </c>
      <c r="D1074" s="252">
        <f t="shared" si="32"/>
        <v>7.182037528858265E-3</v>
      </c>
      <c r="F1074" s="440">
        <v>44090</v>
      </c>
      <c r="G1074" s="170">
        <v>518.5</v>
      </c>
      <c r="H1074" s="252">
        <f t="shared" si="33"/>
        <v>2.3894154818325575E-2</v>
      </c>
    </row>
    <row r="1075" spans="2:8" x14ac:dyDescent="0.3">
      <c r="B1075" s="440">
        <v>44091</v>
      </c>
      <c r="C1075" s="363">
        <v>11516.1</v>
      </c>
      <c r="D1075" s="252">
        <f t="shared" si="32"/>
        <v>-7.6220103321541499E-3</v>
      </c>
      <c r="F1075" s="440">
        <v>44091</v>
      </c>
      <c r="G1075" s="170">
        <v>512</v>
      </c>
      <c r="H1075" s="252">
        <f t="shared" si="33"/>
        <v>-1.2536162005785889E-2</v>
      </c>
    </row>
    <row r="1076" spans="2:8" x14ac:dyDescent="0.3">
      <c r="B1076" s="440">
        <v>44092</v>
      </c>
      <c r="C1076" s="363">
        <v>11504.95</v>
      </c>
      <c r="D1076" s="252">
        <f t="shared" si="32"/>
        <v>-9.6820972377797965E-4</v>
      </c>
      <c r="F1076" s="440">
        <v>44092</v>
      </c>
      <c r="G1076" s="170">
        <v>523.35</v>
      </c>
      <c r="H1076" s="252">
        <f t="shared" si="33"/>
        <v>2.2167968750000044E-2</v>
      </c>
    </row>
    <row r="1077" spans="2:8" x14ac:dyDescent="0.3">
      <c r="B1077" s="440">
        <v>44095</v>
      </c>
      <c r="C1077" s="363">
        <v>11250.55</v>
      </c>
      <c r="D1077" s="252">
        <f t="shared" si="32"/>
        <v>-2.2112221261283316E-2</v>
      </c>
      <c r="F1077" s="440">
        <v>44095</v>
      </c>
      <c r="G1077" s="170">
        <v>503.65</v>
      </c>
      <c r="H1077" s="252">
        <f t="shared" si="33"/>
        <v>-3.764211330849343E-2</v>
      </c>
    </row>
    <row r="1078" spans="2:8" x14ac:dyDescent="0.3">
      <c r="B1078" s="440">
        <v>44096</v>
      </c>
      <c r="C1078" s="363">
        <v>11153.65</v>
      </c>
      <c r="D1078" s="252">
        <f t="shared" si="32"/>
        <v>-8.6129122576229511E-3</v>
      </c>
      <c r="F1078" s="440">
        <v>44096</v>
      </c>
      <c r="G1078" s="170">
        <v>508.85</v>
      </c>
      <c r="H1078" s="252">
        <f t="shared" si="33"/>
        <v>1.0324630199543439E-2</v>
      </c>
    </row>
    <row r="1079" spans="2:8" x14ac:dyDescent="0.3">
      <c r="B1079" s="440">
        <v>44097</v>
      </c>
      <c r="C1079" s="363">
        <v>11131.85</v>
      </c>
      <c r="D1079" s="252">
        <f t="shared" si="32"/>
        <v>-1.9545171311632359E-3</v>
      </c>
      <c r="F1079" s="440">
        <v>44097</v>
      </c>
      <c r="G1079" s="170">
        <v>502.9</v>
      </c>
      <c r="H1079" s="252">
        <f t="shared" si="33"/>
        <v>-1.1693033310405943E-2</v>
      </c>
    </row>
    <row r="1080" spans="2:8" x14ac:dyDescent="0.3">
      <c r="B1080" s="440">
        <v>44098</v>
      </c>
      <c r="C1080" s="363">
        <v>10805.55</v>
      </c>
      <c r="D1080" s="252">
        <f t="shared" si="32"/>
        <v>-2.9312288613303372E-2</v>
      </c>
      <c r="F1080" s="440">
        <v>44098</v>
      </c>
      <c r="G1080" s="170">
        <v>485.8</v>
      </c>
      <c r="H1080" s="252">
        <f t="shared" si="33"/>
        <v>-3.4002783853648744E-2</v>
      </c>
    </row>
    <row r="1081" spans="2:8" x14ac:dyDescent="0.3">
      <c r="B1081" s="440">
        <v>44099</v>
      </c>
      <c r="C1081" s="363">
        <v>11050.25</v>
      </c>
      <c r="D1081" s="252">
        <f t="shared" si="32"/>
        <v>2.2645769997825305E-2</v>
      </c>
      <c r="F1081" s="440">
        <v>44099</v>
      </c>
      <c r="G1081" s="170">
        <v>489.65</v>
      </c>
      <c r="H1081" s="252">
        <f t="shared" si="33"/>
        <v>7.9250720461094826E-3</v>
      </c>
    </row>
    <row r="1082" spans="2:8" x14ac:dyDescent="0.3">
      <c r="B1082" s="440">
        <v>44102</v>
      </c>
      <c r="C1082" s="363">
        <v>11227.55</v>
      </c>
      <c r="D1082" s="252">
        <f t="shared" si="32"/>
        <v>1.6044885862310787E-2</v>
      </c>
      <c r="F1082" s="440">
        <v>44102</v>
      </c>
      <c r="G1082" s="170">
        <v>510.1</v>
      </c>
      <c r="H1082" s="252">
        <f t="shared" si="33"/>
        <v>4.1764525681609488E-2</v>
      </c>
    </row>
    <row r="1083" spans="2:8" x14ac:dyDescent="0.3">
      <c r="B1083" s="440">
        <v>44103</v>
      </c>
      <c r="C1083" s="363">
        <v>11222.4</v>
      </c>
      <c r="D1083" s="252">
        <f t="shared" si="32"/>
        <v>-4.5869312539237317E-4</v>
      </c>
      <c r="F1083" s="440">
        <v>44103</v>
      </c>
      <c r="G1083" s="170">
        <v>506.15</v>
      </c>
      <c r="H1083" s="252">
        <f t="shared" si="33"/>
        <v>-7.7435796902568521E-3</v>
      </c>
    </row>
    <row r="1084" spans="2:8" x14ac:dyDescent="0.3">
      <c r="B1084" s="440">
        <v>44104</v>
      </c>
      <c r="C1084" s="363">
        <v>11247.55</v>
      </c>
      <c r="D1084" s="252">
        <f t="shared" si="32"/>
        <v>2.2410536070716081E-3</v>
      </c>
      <c r="F1084" s="440">
        <v>44104</v>
      </c>
      <c r="G1084" s="170">
        <v>500.45</v>
      </c>
      <c r="H1084" s="252">
        <f t="shared" si="33"/>
        <v>-1.1261483749876455E-2</v>
      </c>
    </row>
    <row r="1085" spans="2:8" x14ac:dyDescent="0.3">
      <c r="B1085" s="440">
        <v>44105</v>
      </c>
      <c r="C1085" s="363">
        <v>11416.95</v>
      </c>
      <c r="D1085" s="252">
        <f t="shared" si="32"/>
        <v>1.5061057741463824E-2</v>
      </c>
      <c r="F1085" s="440">
        <v>44105</v>
      </c>
      <c r="G1085" s="170">
        <v>506.9</v>
      </c>
      <c r="H1085" s="252">
        <f t="shared" si="33"/>
        <v>1.2888400439604375E-2</v>
      </c>
    </row>
    <row r="1086" spans="2:8" x14ac:dyDescent="0.3">
      <c r="B1086" s="440">
        <v>44109</v>
      </c>
      <c r="C1086" s="363">
        <v>11503.35</v>
      </c>
      <c r="D1086" s="252">
        <f t="shared" si="32"/>
        <v>7.5676954002601438E-3</v>
      </c>
      <c r="F1086" s="440">
        <v>44109</v>
      </c>
      <c r="G1086" s="170">
        <v>523.1</v>
      </c>
      <c r="H1086" s="252">
        <f t="shared" si="33"/>
        <v>3.1958966265535738E-2</v>
      </c>
    </row>
    <row r="1087" spans="2:8" x14ac:dyDescent="0.3">
      <c r="B1087" s="440">
        <v>44110</v>
      </c>
      <c r="C1087" s="363">
        <v>11662.4</v>
      </c>
      <c r="D1087" s="252">
        <f t="shared" si="32"/>
        <v>1.3826407090108406E-2</v>
      </c>
      <c r="F1087" s="440">
        <v>44110</v>
      </c>
      <c r="G1087" s="170">
        <v>521.04999999999995</v>
      </c>
      <c r="H1087" s="252">
        <f t="shared" si="33"/>
        <v>-3.918944752437481E-3</v>
      </c>
    </row>
    <row r="1088" spans="2:8" x14ac:dyDescent="0.3">
      <c r="B1088" s="440">
        <v>44111</v>
      </c>
      <c r="C1088" s="363">
        <v>11738.85</v>
      </c>
      <c r="D1088" s="252">
        <f t="shared" si="32"/>
        <v>6.555254493071816E-3</v>
      </c>
      <c r="F1088" s="440">
        <v>44111</v>
      </c>
      <c r="G1088" s="170">
        <v>511.75</v>
      </c>
      <c r="H1088" s="252">
        <f t="shared" si="33"/>
        <v>-1.7848574992802901E-2</v>
      </c>
    </row>
    <row r="1089" spans="2:8" x14ac:dyDescent="0.3">
      <c r="B1089" s="440">
        <v>44112</v>
      </c>
      <c r="C1089" s="363">
        <v>11834.6</v>
      </c>
      <c r="D1089" s="252">
        <f t="shared" si="32"/>
        <v>8.1566763354161687E-3</v>
      </c>
      <c r="F1089" s="440">
        <v>44112</v>
      </c>
      <c r="G1089" s="170">
        <v>524.1</v>
      </c>
      <c r="H1089" s="252">
        <f t="shared" si="33"/>
        <v>2.4132877381533913E-2</v>
      </c>
    </row>
    <row r="1090" spans="2:8" x14ac:dyDescent="0.3">
      <c r="B1090" s="440">
        <v>44113</v>
      </c>
      <c r="C1090" s="363">
        <v>11914.2</v>
      </c>
      <c r="D1090" s="252">
        <f t="shared" si="32"/>
        <v>6.7260405928379896E-3</v>
      </c>
      <c r="F1090" s="440">
        <v>44113</v>
      </c>
      <c r="G1090" s="170">
        <v>512.9</v>
      </c>
      <c r="H1090" s="252">
        <f t="shared" si="33"/>
        <v>-2.1369967563442227E-2</v>
      </c>
    </row>
    <row r="1091" spans="2:8" x14ac:dyDescent="0.3">
      <c r="B1091" s="440">
        <v>44116</v>
      </c>
      <c r="C1091" s="363">
        <v>11930.95</v>
      </c>
      <c r="D1091" s="252">
        <f t="shared" si="32"/>
        <v>1.4058854140437393E-3</v>
      </c>
      <c r="F1091" s="440">
        <v>44116</v>
      </c>
      <c r="G1091" s="170">
        <v>513.9</v>
      </c>
      <c r="H1091" s="252">
        <f t="shared" si="33"/>
        <v>1.9496977968413987E-3</v>
      </c>
    </row>
    <row r="1092" spans="2:8" x14ac:dyDescent="0.3">
      <c r="B1092" s="440">
        <v>44117</v>
      </c>
      <c r="C1092" s="363">
        <v>11934.5</v>
      </c>
      <c r="D1092" s="252">
        <f t="shared" si="32"/>
        <v>2.9754545949822742E-4</v>
      </c>
      <c r="F1092" s="440">
        <v>44117</v>
      </c>
      <c r="G1092" s="170">
        <v>503.15</v>
      </c>
      <c r="H1092" s="252">
        <f t="shared" si="33"/>
        <v>-2.0918466627748544E-2</v>
      </c>
    </row>
    <row r="1093" spans="2:8" x14ac:dyDescent="0.3">
      <c r="B1093" s="440">
        <v>44118</v>
      </c>
      <c r="C1093" s="363">
        <v>11971.05</v>
      </c>
      <c r="D1093" s="252">
        <f t="shared" si="32"/>
        <v>3.0625497507226207E-3</v>
      </c>
      <c r="F1093" s="440">
        <v>44118</v>
      </c>
      <c r="G1093" s="170">
        <v>502.2</v>
      </c>
      <c r="H1093" s="252">
        <f t="shared" si="33"/>
        <v>-1.8881049388850268E-3</v>
      </c>
    </row>
    <row r="1094" spans="2:8" x14ac:dyDescent="0.3">
      <c r="B1094" s="440">
        <v>44119</v>
      </c>
      <c r="C1094" s="363">
        <v>11680.35</v>
      </c>
      <c r="D1094" s="252">
        <f t="shared" si="32"/>
        <v>-2.4283584146753912E-2</v>
      </c>
      <c r="F1094" s="440">
        <v>44119</v>
      </c>
      <c r="G1094" s="170">
        <v>490.3</v>
      </c>
      <c r="H1094" s="252">
        <f t="shared" si="33"/>
        <v>-2.3695738749502149E-2</v>
      </c>
    </row>
    <row r="1095" spans="2:8" x14ac:dyDescent="0.3">
      <c r="B1095" s="440">
        <v>44120</v>
      </c>
      <c r="C1095" s="363">
        <v>11762.45</v>
      </c>
      <c r="D1095" s="252">
        <f t="shared" si="32"/>
        <v>7.0288989627880216E-3</v>
      </c>
      <c r="F1095" s="440">
        <v>44120</v>
      </c>
      <c r="G1095" s="170">
        <v>486.9</v>
      </c>
      <c r="H1095" s="252">
        <f t="shared" si="33"/>
        <v>-6.9345298796655852E-3</v>
      </c>
    </row>
    <row r="1096" spans="2:8" x14ac:dyDescent="0.3">
      <c r="B1096" s="440">
        <v>44123</v>
      </c>
      <c r="C1096" s="363">
        <v>11873.05</v>
      </c>
      <c r="D1096" s="252">
        <f t="shared" si="32"/>
        <v>9.4028029874726471E-3</v>
      </c>
      <c r="F1096" s="440">
        <v>44123</v>
      </c>
      <c r="G1096" s="170">
        <v>483.65</v>
      </c>
      <c r="H1096" s="252">
        <f t="shared" si="33"/>
        <v>-6.6748819059354592E-3</v>
      </c>
    </row>
    <row r="1097" spans="2:8" x14ac:dyDescent="0.3">
      <c r="B1097" s="440">
        <v>44124</v>
      </c>
      <c r="C1097" s="363">
        <v>11896.8</v>
      </c>
      <c r="D1097" s="252">
        <f t="shared" si="32"/>
        <v>2.0003284749916528E-3</v>
      </c>
      <c r="F1097" s="440">
        <v>44124</v>
      </c>
      <c r="G1097" s="170">
        <v>486.35</v>
      </c>
      <c r="H1097" s="252">
        <f t="shared" si="33"/>
        <v>5.5825493642096546E-3</v>
      </c>
    </row>
    <row r="1098" spans="2:8" x14ac:dyDescent="0.3">
      <c r="B1098" s="440">
        <v>44125</v>
      </c>
      <c r="C1098" s="363">
        <v>11937.65</v>
      </c>
      <c r="D1098" s="252">
        <f t="shared" si="32"/>
        <v>3.4336964561898498E-3</v>
      </c>
      <c r="F1098" s="440">
        <v>44125</v>
      </c>
      <c r="G1098" s="170">
        <v>490.2</v>
      </c>
      <c r="H1098" s="252">
        <f t="shared" si="33"/>
        <v>7.9161097974709271E-3</v>
      </c>
    </row>
    <row r="1099" spans="2:8" x14ac:dyDescent="0.3">
      <c r="B1099" s="440">
        <v>44126</v>
      </c>
      <c r="C1099" s="363">
        <v>11896.45</v>
      </c>
      <c r="D1099" s="252">
        <f t="shared" ref="D1099:D1162" si="34">C1099/C1098-1</f>
        <v>-3.4512655338361231E-3</v>
      </c>
      <c r="F1099" s="440">
        <v>44126</v>
      </c>
      <c r="G1099" s="170">
        <v>485.55</v>
      </c>
      <c r="H1099" s="252">
        <f t="shared" ref="H1099:H1162" si="35">G1099/G1098-1</f>
        <v>-9.4859241126070692E-3</v>
      </c>
    </row>
    <row r="1100" spans="2:8" x14ac:dyDescent="0.3">
      <c r="B1100" s="440">
        <v>44127</v>
      </c>
      <c r="C1100" s="363">
        <v>11930.35</v>
      </c>
      <c r="D1100" s="252">
        <f t="shared" si="34"/>
        <v>2.8495895834470542E-3</v>
      </c>
      <c r="F1100" s="440">
        <v>44127</v>
      </c>
      <c r="G1100" s="170">
        <v>484.5</v>
      </c>
      <c r="H1100" s="252">
        <f t="shared" si="35"/>
        <v>-2.1624961383998054E-3</v>
      </c>
    </row>
    <row r="1101" spans="2:8" x14ac:dyDescent="0.3">
      <c r="B1101" s="440">
        <v>44130</v>
      </c>
      <c r="C1101" s="363">
        <v>11767.75</v>
      </c>
      <c r="D1101" s="252">
        <f t="shared" si="34"/>
        <v>-1.362910560042252E-2</v>
      </c>
      <c r="F1101" s="440">
        <v>44130</v>
      </c>
      <c r="G1101" s="170">
        <v>474.5</v>
      </c>
      <c r="H1101" s="252">
        <f t="shared" si="35"/>
        <v>-2.0639834881320929E-2</v>
      </c>
    </row>
    <row r="1102" spans="2:8" x14ac:dyDescent="0.3">
      <c r="B1102" s="440">
        <v>44131</v>
      </c>
      <c r="C1102" s="363">
        <v>11889.4</v>
      </c>
      <c r="D1102" s="252">
        <f t="shared" si="34"/>
        <v>1.0337575152429279E-2</v>
      </c>
      <c r="F1102" s="440">
        <v>44131</v>
      </c>
      <c r="G1102" s="170">
        <v>470.45</v>
      </c>
      <c r="H1102" s="252">
        <f t="shared" si="35"/>
        <v>-8.5353003161222629E-3</v>
      </c>
    </row>
    <row r="1103" spans="2:8" x14ac:dyDescent="0.3">
      <c r="B1103" s="440">
        <v>44132</v>
      </c>
      <c r="C1103" s="363">
        <v>11729.6</v>
      </c>
      <c r="D1103" s="252">
        <f t="shared" si="34"/>
        <v>-1.3440543677561423E-2</v>
      </c>
      <c r="F1103" s="440">
        <v>44132</v>
      </c>
      <c r="G1103" s="170">
        <v>463.4</v>
      </c>
      <c r="H1103" s="252">
        <f t="shared" si="35"/>
        <v>-1.4985652035285346E-2</v>
      </c>
    </row>
    <row r="1104" spans="2:8" x14ac:dyDescent="0.3">
      <c r="B1104" s="440">
        <v>44133</v>
      </c>
      <c r="C1104" s="363">
        <v>11670.8</v>
      </c>
      <c r="D1104" s="252">
        <f t="shared" si="34"/>
        <v>-5.0129586686673555E-3</v>
      </c>
      <c r="F1104" s="440">
        <v>44133</v>
      </c>
      <c r="G1104" s="170">
        <v>456.35</v>
      </c>
      <c r="H1104" s="252">
        <f t="shared" si="35"/>
        <v>-1.5213638325420664E-2</v>
      </c>
    </row>
    <row r="1105" spans="2:8" x14ac:dyDescent="0.3">
      <c r="B1105" s="440">
        <v>44134</v>
      </c>
      <c r="C1105" s="363">
        <v>11642.4</v>
      </c>
      <c r="D1105" s="252">
        <f t="shared" si="34"/>
        <v>-2.4334235870719922E-3</v>
      </c>
      <c r="F1105" s="440">
        <v>44134</v>
      </c>
      <c r="G1105" s="170">
        <v>465.75</v>
      </c>
      <c r="H1105" s="252">
        <f t="shared" si="35"/>
        <v>2.0598225046565055E-2</v>
      </c>
    </row>
    <row r="1106" spans="2:8" x14ac:dyDescent="0.3">
      <c r="B1106" s="440">
        <v>44137</v>
      </c>
      <c r="C1106" s="363">
        <v>11669.15</v>
      </c>
      <c r="D1106" s="252">
        <f t="shared" si="34"/>
        <v>2.297636226207711E-3</v>
      </c>
      <c r="F1106" s="440">
        <v>44137</v>
      </c>
      <c r="G1106" s="170">
        <v>469.4</v>
      </c>
      <c r="H1106" s="252">
        <f t="shared" si="35"/>
        <v>7.8368223295759432E-3</v>
      </c>
    </row>
    <row r="1107" spans="2:8" x14ac:dyDescent="0.3">
      <c r="B1107" s="440">
        <v>44138</v>
      </c>
      <c r="C1107" s="363">
        <v>11813.5</v>
      </c>
      <c r="D1107" s="252">
        <f t="shared" si="34"/>
        <v>1.237022405230892E-2</v>
      </c>
      <c r="F1107" s="440">
        <v>44138</v>
      </c>
      <c r="G1107" s="170">
        <v>485.6</v>
      </c>
      <c r="H1107" s="252">
        <f t="shared" si="35"/>
        <v>3.4512143161482767E-2</v>
      </c>
    </row>
    <row r="1108" spans="2:8" x14ac:dyDescent="0.3">
      <c r="B1108" s="440">
        <v>44139</v>
      </c>
      <c r="C1108" s="363">
        <v>11908.5</v>
      </c>
      <c r="D1108" s="252">
        <f t="shared" si="34"/>
        <v>8.0416472679560869E-3</v>
      </c>
      <c r="F1108" s="440">
        <v>44139</v>
      </c>
      <c r="G1108" s="170">
        <v>504.65</v>
      </c>
      <c r="H1108" s="252">
        <f t="shared" si="35"/>
        <v>3.9229818780889492E-2</v>
      </c>
    </row>
    <row r="1109" spans="2:8" x14ac:dyDescent="0.3">
      <c r="B1109" s="440">
        <v>44140</v>
      </c>
      <c r="C1109" s="363">
        <v>12120.3</v>
      </c>
      <c r="D1109" s="252">
        <f t="shared" si="34"/>
        <v>1.7785615316790571E-2</v>
      </c>
      <c r="F1109" s="440">
        <v>44140</v>
      </c>
      <c r="G1109" s="170">
        <v>512.5</v>
      </c>
      <c r="H1109" s="252">
        <f t="shared" si="35"/>
        <v>1.5555335380957214E-2</v>
      </c>
    </row>
    <row r="1110" spans="2:8" x14ac:dyDescent="0.3">
      <c r="B1110" s="440">
        <v>44141</v>
      </c>
      <c r="C1110" s="363">
        <v>12263.55</v>
      </c>
      <c r="D1110" s="252">
        <f t="shared" si="34"/>
        <v>1.1819014380832105E-2</v>
      </c>
      <c r="F1110" s="440">
        <v>44141</v>
      </c>
      <c r="G1110" s="170">
        <v>509.15</v>
      </c>
      <c r="H1110" s="252">
        <f t="shared" si="35"/>
        <v>-6.5365853658536643E-3</v>
      </c>
    </row>
    <row r="1111" spans="2:8" x14ac:dyDescent="0.3">
      <c r="B1111" s="440">
        <v>44144</v>
      </c>
      <c r="C1111" s="363">
        <v>12461.05</v>
      </c>
      <c r="D1111" s="252">
        <f t="shared" si="34"/>
        <v>1.6104635280974833E-2</v>
      </c>
      <c r="F1111" s="440">
        <v>44144</v>
      </c>
      <c r="G1111" s="170">
        <v>510.15</v>
      </c>
      <c r="H1111" s="252">
        <f t="shared" si="35"/>
        <v>1.9640577432975537E-3</v>
      </c>
    </row>
    <row r="1112" spans="2:8" x14ac:dyDescent="0.3">
      <c r="B1112" s="440">
        <v>44145</v>
      </c>
      <c r="C1112" s="363">
        <v>12631.1</v>
      </c>
      <c r="D1112" s="252">
        <f t="shared" si="34"/>
        <v>1.3646522564310537E-2</v>
      </c>
      <c r="F1112" s="440">
        <v>44145</v>
      </c>
      <c r="G1112" s="170">
        <v>490.9</v>
      </c>
      <c r="H1112" s="252">
        <f t="shared" si="35"/>
        <v>-3.7733999803979179E-2</v>
      </c>
    </row>
    <row r="1113" spans="2:8" x14ac:dyDescent="0.3">
      <c r="B1113" s="440">
        <v>44146</v>
      </c>
      <c r="C1113" s="363">
        <v>12749.15</v>
      </c>
      <c r="D1113" s="252">
        <f t="shared" si="34"/>
        <v>9.3459793683843273E-3</v>
      </c>
      <c r="F1113" s="440">
        <v>44146</v>
      </c>
      <c r="G1113" s="170">
        <v>506.05</v>
      </c>
      <c r="H1113" s="252">
        <f t="shared" si="35"/>
        <v>3.086168262375244E-2</v>
      </c>
    </row>
    <row r="1114" spans="2:8" x14ac:dyDescent="0.3">
      <c r="B1114" s="440">
        <v>44147</v>
      </c>
      <c r="C1114" s="363">
        <v>12690.8</v>
      </c>
      <c r="D1114" s="252">
        <f t="shared" si="34"/>
        <v>-4.5767757066157433E-3</v>
      </c>
      <c r="F1114" s="440">
        <v>44147</v>
      </c>
      <c r="G1114" s="170">
        <v>509.25</v>
      </c>
      <c r="H1114" s="252">
        <f t="shared" si="35"/>
        <v>6.3234858215590606E-3</v>
      </c>
    </row>
    <row r="1115" spans="2:8" x14ac:dyDescent="0.3">
      <c r="B1115" s="440">
        <v>44148</v>
      </c>
      <c r="C1115" s="363">
        <v>12719.95</v>
      </c>
      <c r="D1115" s="252">
        <f t="shared" si="34"/>
        <v>2.2969395152394601E-3</v>
      </c>
      <c r="F1115" s="440">
        <v>44148</v>
      </c>
      <c r="G1115" s="170">
        <v>508.45</v>
      </c>
      <c r="H1115" s="252">
        <f t="shared" si="35"/>
        <v>-1.5709376534118746E-3</v>
      </c>
    </row>
    <row r="1116" spans="2:8" x14ac:dyDescent="0.3">
      <c r="B1116" s="440">
        <v>44149</v>
      </c>
      <c r="C1116" s="363">
        <v>12780.25</v>
      </c>
      <c r="D1116" s="252">
        <f t="shared" si="34"/>
        <v>4.7405846721095823E-3</v>
      </c>
      <c r="F1116" s="440">
        <v>44152</v>
      </c>
      <c r="G1116" s="170">
        <v>518.4</v>
      </c>
      <c r="H1116" s="252">
        <f t="shared" si="35"/>
        <v>1.9569279181827159E-2</v>
      </c>
    </row>
    <row r="1117" spans="2:8" x14ac:dyDescent="0.3">
      <c r="B1117" s="440">
        <v>44152</v>
      </c>
      <c r="C1117" s="363">
        <v>12874.2</v>
      </c>
      <c r="D1117" s="252">
        <f t="shared" si="34"/>
        <v>7.3511864008921624E-3</v>
      </c>
      <c r="F1117" s="440">
        <v>44153</v>
      </c>
      <c r="G1117" s="170">
        <v>513</v>
      </c>
      <c r="H1117" s="252">
        <f t="shared" si="35"/>
        <v>-1.041666666666663E-2</v>
      </c>
    </row>
    <row r="1118" spans="2:8" x14ac:dyDescent="0.3">
      <c r="B1118" s="440">
        <v>44153</v>
      </c>
      <c r="C1118" s="363">
        <v>12938.25</v>
      </c>
      <c r="D1118" s="252">
        <f t="shared" si="34"/>
        <v>4.9750664118934917E-3</v>
      </c>
      <c r="F1118" s="440">
        <v>44154</v>
      </c>
      <c r="G1118" s="170">
        <v>507.35</v>
      </c>
      <c r="H1118" s="252">
        <f t="shared" si="35"/>
        <v>-1.1013645224171476E-2</v>
      </c>
    </row>
    <row r="1119" spans="2:8" x14ac:dyDescent="0.3">
      <c r="B1119" s="440">
        <v>44154</v>
      </c>
      <c r="C1119" s="363">
        <v>12771.7</v>
      </c>
      <c r="D1119" s="252">
        <f t="shared" si="34"/>
        <v>-1.2872683709156951E-2</v>
      </c>
      <c r="F1119" s="440">
        <v>44155</v>
      </c>
      <c r="G1119" s="170">
        <v>503.25</v>
      </c>
      <c r="H1119" s="252">
        <f t="shared" si="35"/>
        <v>-8.0812062678624619E-3</v>
      </c>
    </row>
    <row r="1120" spans="2:8" x14ac:dyDescent="0.3">
      <c r="B1120" s="440">
        <v>44155</v>
      </c>
      <c r="C1120" s="363">
        <v>12859.05</v>
      </c>
      <c r="D1120" s="252">
        <f t="shared" si="34"/>
        <v>6.8393401035100609E-3</v>
      </c>
      <c r="F1120" s="440">
        <v>44158</v>
      </c>
      <c r="G1120" s="170">
        <v>512.85</v>
      </c>
      <c r="H1120" s="252">
        <f t="shared" si="35"/>
        <v>1.9076005961251807E-2</v>
      </c>
    </row>
    <row r="1121" spans="2:8" x14ac:dyDescent="0.3">
      <c r="B1121" s="440">
        <v>44158</v>
      </c>
      <c r="C1121" s="363">
        <v>12926.45</v>
      </c>
      <c r="D1121" s="252">
        <f t="shared" si="34"/>
        <v>5.2414447412523213E-3</v>
      </c>
      <c r="F1121" s="440">
        <v>44159</v>
      </c>
      <c r="G1121" s="170">
        <v>520.15</v>
      </c>
      <c r="H1121" s="252">
        <f t="shared" si="35"/>
        <v>1.4234181534561685E-2</v>
      </c>
    </row>
    <row r="1122" spans="2:8" x14ac:dyDescent="0.3">
      <c r="B1122" s="440">
        <v>44159</v>
      </c>
      <c r="C1122" s="363">
        <v>13055.15</v>
      </c>
      <c r="D1122" s="252">
        <f t="shared" si="34"/>
        <v>9.956329850809631E-3</v>
      </c>
      <c r="F1122" s="440">
        <v>44160</v>
      </c>
      <c r="G1122" s="170">
        <v>506.2</v>
      </c>
      <c r="H1122" s="252">
        <f t="shared" si="35"/>
        <v>-2.6819186773046177E-2</v>
      </c>
    </row>
    <row r="1123" spans="2:8" x14ac:dyDescent="0.3">
      <c r="B1123" s="440">
        <v>44160</v>
      </c>
      <c r="C1123" s="363">
        <v>12858.4</v>
      </c>
      <c r="D1123" s="252">
        <f t="shared" si="34"/>
        <v>-1.5070680919024304E-2</v>
      </c>
      <c r="F1123" s="440">
        <v>44161</v>
      </c>
      <c r="G1123" s="170">
        <v>511.7</v>
      </c>
      <c r="H1123" s="252">
        <f t="shared" si="35"/>
        <v>1.0865270644014213E-2</v>
      </c>
    </row>
    <row r="1124" spans="2:8" x14ac:dyDescent="0.3">
      <c r="B1124" s="440">
        <v>44161</v>
      </c>
      <c r="C1124" s="363">
        <v>12987</v>
      </c>
      <c r="D1124" s="252">
        <f t="shared" si="34"/>
        <v>1.000124432277727E-2</v>
      </c>
      <c r="F1124" s="440">
        <v>44162</v>
      </c>
      <c r="G1124" s="170">
        <v>511.65</v>
      </c>
      <c r="H1124" s="252">
        <f t="shared" si="35"/>
        <v>-9.7713504006224916E-5</v>
      </c>
    </row>
    <row r="1125" spans="2:8" x14ac:dyDescent="0.3">
      <c r="B1125" s="440">
        <v>44162</v>
      </c>
      <c r="C1125" s="363">
        <v>12968.95</v>
      </c>
      <c r="D1125" s="252">
        <f t="shared" si="34"/>
        <v>-1.3898513898513709E-3</v>
      </c>
      <c r="F1125" s="440">
        <v>44166</v>
      </c>
      <c r="G1125" s="170">
        <v>539.35</v>
      </c>
      <c r="H1125" s="252">
        <f t="shared" si="35"/>
        <v>5.4138571288967263E-2</v>
      </c>
    </row>
    <row r="1126" spans="2:8" x14ac:dyDescent="0.3">
      <c r="B1126" s="440">
        <v>44166</v>
      </c>
      <c r="C1126" s="363">
        <v>13109.05</v>
      </c>
      <c r="D1126" s="252">
        <f t="shared" si="34"/>
        <v>1.0802724970024435E-2</v>
      </c>
      <c r="F1126" s="440">
        <v>44167</v>
      </c>
      <c r="G1126" s="170">
        <v>544.65</v>
      </c>
      <c r="H1126" s="252">
        <f t="shared" si="35"/>
        <v>9.8266431816074196E-3</v>
      </c>
    </row>
    <row r="1127" spans="2:8" x14ac:dyDescent="0.3">
      <c r="B1127" s="440">
        <v>44167</v>
      </c>
      <c r="C1127" s="363">
        <v>13113.75</v>
      </c>
      <c r="D1127" s="252">
        <f t="shared" si="34"/>
        <v>3.5853093855009455E-4</v>
      </c>
      <c r="F1127" s="440">
        <v>44168</v>
      </c>
      <c r="G1127" s="170">
        <v>548.25</v>
      </c>
      <c r="H1127" s="252">
        <f t="shared" si="35"/>
        <v>6.609749380336094E-3</v>
      </c>
    </row>
    <row r="1128" spans="2:8" x14ac:dyDescent="0.3">
      <c r="B1128" s="440">
        <v>44168</v>
      </c>
      <c r="C1128" s="363">
        <v>13133.9</v>
      </c>
      <c r="D1128" s="252">
        <f t="shared" si="34"/>
        <v>1.5365551425030599E-3</v>
      </c>
      <c r="F1128" s="440">
        <v>44169</v>
      </c>
      <c r="G1128" s="170">
        <v>569.04999999999995</v>
      </c>
      <c r="H1128" s="252">
        <f t="shared" si="35"/>
        <v>3.7938896488828089E-2</v>
      </c>
    </row>
    <row r="1129" spans="2:8" x14ac:dyDescent="0.3">
      <c r="B1129" s="440">
        <v>44169</v>
      </c>
      <c r="C1129" s="363">
        <v>13258.55</v>
      </c>
      <c r="D1129" s="252">
        <f t="shared" si="34"/>
        <v>9.4907072537480097E-3</v>
      </c>
      <c r="F1129" s="440">
        <v>44172</v>
      </c>
      <c r="G1129" s="170">
        <v>582.29999999999995</v>
      </c>
      <c r="H1129" s="252">
        <f t="shared" si="35"/>
        <v>2.3284421404094591E-2</v>
      </c>
    </row>
    <row r="1130" spans="2:8" x14ac:dyDescent="0.3">
      <c r="B1130" s="440">
        <v>44172</v>
      </c>
      <c r="C1130" s="363">
        <v>13355.75</v>
      </c>
      <c r="D1130" s="252">
        <f t="shared" si="34"/>
        <v>7.331118410384363E-3</v>
      </c>
      <c r="F1130" s="440">
        <v>44173</v>
      </c>
      <c r="G1130" s="170">
        <v>568.70000000000005</v>
      </c>
      <c r="H1130" s="252">
        <f t="shared" si="35"/>
        <v>-2.3355658595225703E-2</v>
      </c>
    </row>
    <row r="1131" spans="2:8" x14ac:dyDescent="0.3">
      <c r="B1131" s="440">
        <v>44173</v>
      </c>
      <c r="C1131" s="363">
        <v>13392.95</v>
      </c>
      <c r="D1131" s="252">
        <f t="shared" si="34"/>
        <v>2.785317185481917E-3</v>
      </c>
      <c r="F1131" s="440">
        <v>44174</v>
      </c>
      <c r="G1131" s="170">
        <v>569.54999999999995</v>
      </c>
      <c r="H1131" s="252">
        <f t="shared" si="35"/>
        <v>1.4946368911550323E-3</v>
      </c>
    </row>
    <row r="1132" spans="2:8" x14ac:dyDescent="0.3">
      <c r="B1132" s="440">
        <v>44174</v>
      </c>
      <c r="C1132" s="363">
        <v>13529.1</v>
      </c>
      <c r="D1132" s="252">
        <f t="shared" si="34"/>
        <v>1.0165796183813081E-2</v>
      </c>
      <c r="F1132" s="440">
        <v>44175</v>
      </c>
      <c r="G1132" s="170">
        <v>565.20000000000005</v>
      </c>
      <c r="H1132" s="252">
        <f t="shared" si="35"/>
        <v>-7.6376086383985742E-3</v>
      </c>
    </row>
    <row r="1133" spans="2:8" x14ac:dyDescent="0.3">
      <c r="B1133" s="440">
        <v>44175</v>
      </c>
      <c r="C1133" s="363">
        <v>13478.3</v>
      </c>
      <c r="D1133" s="252">
        <f t="shared" si="34"/>
        <v>-3.7548691339409634E-3</v>
      </c>
      <c r="F1133" s="440">
        <v>44176</v>
      </c>
      <c r="G1133" s="170">
        <v>568.1</v>
      </c>
      <c r="H1133" s="252">
        <f t="shared" si="35"/>
        <v>5.1309271054493788E-3</v>
      </c>
    </row>
    <row r="1134" spans="2:8" x14ac:dyDescent="0.3">
      <c r="B1134" s="440">
        <v>44176</v>
      </c>
      <c r="C1134" s="363">
        <v>13513.85</v>
      </c>
      <c r="D1134" s="252">
        <f t="shared" si="34"/>
        <v>2.6375729876915166E-3</v>
      </c>
      <c r="F1134" s="440">
        <v>44179</v>
      </c>
      <c r="G1134" s="170">
        <v>576.25</v>
      </c>
      <c r="H1134" s="252">
        <f t="shared" si="35"/>
        <v>1.4346065833479971E-2</v>
      </c>
    </row>
    <row r="1135" spans="2:8" x14ac:dyDescent="0.3">
      <c r="B1135" s="440">
        <v>44179</v>
      </c>
      <c r="C1135" s="363">
        <v>13558.15</v>
      </c>
      <c r="D1135" s="252">
        <f t="shared" si="34"/>
        <v>3.2781183748524789E-3</v>
      </c>
      <c r="F1135" s="440">
        <v>44180</v>
      </c>
      <c r="G1135" s="170">
        <v>571.65</v>
      </c>
      <c r="H1135" s="252">
        <f t="shared" si="35"/>
        <v>-7.9826464208243575E-3</v>
      </c>
    </row>
    <row r="1136" spans="2:8" x14ac:dyDescent="0.3">
      <c r="B1136" s="440">
        <v>44180</v>
      </c>
      <c r="C1136" s="363">
        <v>13567.85</v>
      </c>
      <c r="D1136" s="252">
        <f t="shared" si="34"/>
        <v>7.1543684057195911E-4</v>
      </c>
      <c r="F1136" s="440">
        <v>44181</v>
      </c>
      <c r="G1136" s="170">
        <v>576.6</v>
      </c>
      <c r="H1136" s="252">
        <f t="shared" si="35"/>
        <v>8.6591445814747647E-3</v>
      </c>
    </row>
    <row r="1137" spans="2:8" x14ac:dyDescent="0.3">
      <c r="B1137" s="440">
        <v>44181</v>
      </c>
      <c r="C1137" s="363">
        <v>13682.7</v>
      </c>
      <c r="D1137" s="252">
        <f t="shared" si="34"/>
        <v>8.4648636298307878E-3</v>
      </c>
      <c r="F1137" s="440">
        <v>44182</v>
      </c>
      <c r="G1137" s="170">
        <v>571.35</v>
      </c>
      <c r="H1137" s="252">
        <f t="shared" si="35"/>
        <v>-9.1050988553590395E-3</v>
      </c>
    </row>
    <row r="1138" spans="2:8" x14ac:dyDescent="0.3">
      <c r="B1138" s="440">
        <v>44182</v>
      </c>
      <c r="C1138" s="363">
        <v>13740.7</v>
      </c>
      <c r="D1138" s="252">
        <f t="shared" si="34"/>
        <v>4.2389294510585263E-3</v>
      </c>
      <c r="F1138" s="440">
        <v>44183</v>
      </c>
      <c r="G1138" s="170">
        <v>575</v>
      </c>
      <c r="H1138" s="252">
        <f t="shared" si="35"/>
        <v>6.3883784020302148E-3</v>
      </c>
    </row>
    <row r="1139" spans="2:8" x14ac:dyDescent="0.3">
      <c r="B1139" s="440">
        <v>44183</v>
      </c>
      <c r="C1139" s="363">
        <v>13760.55</v>
      </c>
      <c r="D1139" s="252">
        <f t="shared" si="34"/>
        <v>1.4446134476409078E-3</v>
      </c>
      <c r="F1139" s="440">
        <v>44186</v>
      </c>
      <c r="G1139" s="170">
        <v>552.54999999999995</v>
      </c>
      <c r="H1139" s="252">
        <f t="shared" si="35"/>
        <v>-3.9043478260869624E-2</v>
      </c>
    </row>
    <row r="1140" spans="2:8" x14ac:dyDescent="0.3">
      <c r="B1140" s="440">
        <v>44186</v>
      </c>
      <c r="C1140" s="363">
        <v>13328.4</v>
      </c>
      <c r="D1140" s="252">
        <f t="shared" si="34"/>
        <v>-3.1404994713147394E-2</v>
      </c>
      <c r="F1140" s="440">
        <v>44187</v>
      </c>
      <c r="G1140" s="170">
        <v>568.29999999999995</v>
      </c>
      <c r="H1140" s="252">
        <f t="shared" si="35"/>
        <v>2.8504207764003198E-2</v>
      </c>
    </row>
    <row r="1141" spans="2:8" x14ac:dyDescent="0.3">
      <c r="B1141" s="440">
        <v>44187</v>
      </c>
      <c r="C1141" s="363">
        <v>13466.3</v>
      </c>
      <c r="D1141" s="252">
        <f t="shared" si="34"/>
        <v>1.0346328141412231E-2</v>
      </c>
      <c r="F1141" s="440">
        <v>44188</v>
      </c>
      <c r="G1141" s="170">
        <v>574.6</v>
      </c>
      <c r="H1141" s="252">
        <f t="shared" si="35"/>
        <v>1.1085694175611671E-2</v>
      </c>
    </row>
    <row r="1142" spans="2:8" x14ac:dyDescent="0.3">
      <c r="B1142" s="440">
        <v>44188</v>
      </c>
      <c r="C1142" s="363">
        <v>13601.1</v>
      </c>
      <c r="D1142" s="252">
        <f t="shared" si="34"/>
        <v>1.0010173544329204E-2</v>
      </c>
      <c r="F1142" s="440">
        <v>44189</v>
      </c>
      <c r="G1142" s="170">
        <v>590.45000000000005</v>
      </c>
      <c r="H1142" s="252">
        <f t="shared" si="35"/>
        <v>2.7584406543682549E-2</v>
      </c>
    </row>
    <row r="1143" spans="2:8" x14ac:dyDescent="0.3">
      <c r="B1143" s="440">
        <v>44189</v>
      </c>
      <c r="C1143" s="363">
        <v>13749.25</v>
      </c>
      <c r="D1143" s="252">
        <f t="shared" si="34"/>
        <v>1.0892501341803307E-2</v>
      </c>
      <c r="F1143" s="440">
        <v>44193</v>
      </c>
      <c r="G1143" s="170">
        <v>586.95000000000005</v>
      </c>
      <c r="H1143" s="252">
        <f t="shared" si="35"/>
        <v>-5.927682276229973E-3</v>
      </c>
    </row>
    <row r="1144" spans="2:8" x14ac:dyDescent="0.3">
      <c r="B1144" s="440">
        <v>44193</v>
      </c>
      <c r="C1144" s="363">
        <v>13873.2</v>
      </c>
      <c r="D1144" s="252">
        <f t="shared" si="34"/>
        <v>9.0150371838464416E-3</v>
      </c>
      <c r="F1144" s="440">
        <v>44194</v>
      </c>
      <c r="G1144" s="170">
        <v>590.6</v>
      </c>
      <c r="H1144" s="252">
        <f t="shared" si="35"/>
        <v>6.2185876139364549E-3</v>
      </c>
    </row>
    <row r="1145" spans="2:8" x14ac:dyDescent="0.3">
      <c r="B1145" s="440">
        <v>44194</v>
      </c>
      <c r="C1145" s="363">
        <v>13932.6</v>
      </c>
      <c r="D1145" s="252">
        <f t="shared" si="34"/>
        <v>4.2816365366318276E-3</v>
      </c>
      <c r="F1145" s="440">
        <v>44195</v>
      </c>
      <c r="G1145" s="170">
        <v>584</v>
      </c>
      <c r="H1145" s="252">
        <f t="shared" si="35"/>
        <v>-1.1175076193701394E-2</v>
      </c>
    </row>
    <row r="1146" spans="2:8" x14ac:dyDescent="0.3">
      <c r="B1146" s="440">
        <v>44195</v>
      </c>
      <c r="C1146" s="363">
        <v>13981.95</v>
      </c>
      <c r="D1146" s="252">
        <f t="shared" si="34"/>
        <v>3.5420524525213715E-3</v>
      </c>
      <c r="F1146" s="440">
        <v>44196</v>
      </c>
      <c r="G1146" s="170">
        <v>592.35</v>
      </c>
      <c r="H1146" s="252">
        <f t="shared" si="35"/>
        <v>1.4297945205479445E-2</v>
      </c>
    </row>
    <row r="1147" spans="2:8" x14ac:dyDescent="0.3">
      <c r="B1147" s="440">
        <v>44196</v>
      </c>
      <c r="C1147" s="363">
        <v>13981.75</v>
      </c>
      <c r="D1147" s="252">
        <f t="shared" si="34"/>
        <v>-1.430415643033367E-5</v>
      </c>
      <c r="F1147" s="440">
        <v>44197</v>
      </c>
      <c r="G1147" s="170">
        <v>596.25</v>
      </c>
      <c r="H1147" s="252">
        <f t="shared" si="35"/>
        <v>6.5839453026081962E-3</v>
      </c>
    </row>
    <row r="1148" spans="2:8" x14ac:dyDescent="0.3">
      <c r="B1148" s="440">
        <v>44197</v>
      </c>
      <c r="C1148" s="363">
        <v>14018.5</v>
      </c>
      <c r="D1148" s="252">
        <f t="shared" si="34"/>
        <v>2.6284263414808606E-3</v>
      </c>
      <c r="F1148" s="440">
        <v>44200</v>
      </c>
      <c r="G1148" s="170">
        <v>604.4</v>
      </c>
      <c r="H1148" s="252">
        <f t="shared" si="35"/>
        <v>1.3668763102725245E-2</v>
      </c>
    </row>
    <row r="1149" spans="2:8" x14ac:dyDescent="0.3">
      <c r="B1149" s="440">
        <v>44200</v>
      </c>
      <c r="C1149" s="363">
        <v>14132.9</v>
      </c>
      <c r="D1149" s="252">
        <f t="shared" si="34"/>
        <v>8.1606448621465155E-3</v>
      </c>
      <c r="F1149" s="440">
        <v>44201</v>
      </c>
      <c r="G1149" s="170">
        <v>603.45000000000005</v>
      </c>
      <c r="H1149" s="252">
        <f t="shared" si="35"/>
        <v>-1.5718067504962852E-3</v>
      </c>
    </row>
    <row r="1150" spans="2:8" x14ac:dyDescent="0.3">
      <c r="B1150" s="440">
        <v>44201</v>
      </c>
      <c r="C1150" s="363">
        <v>14199.5</v>
      </c>
      <c r="D1150" s="252">
        <f t="shared" si="34"/>
        <v>4.7124086351704175E-3</v>
      </c>
      <c r="F1150" s="440">
        <v>44202</v>
      </c>
      <c r="G1150" s="170">
        <v>605.29999999999995</v>
      </c>
      <c r="H1150" s="252">
        <f t="shared" si="35"/>
        <v>3.0657055265554956E-3</v>
      </c>
    </row>
    <row r="1151" spans="2:8" x14ac:dyDescent="0.3">
      <c r="B1151" s="440">
        <v>44202</v>
      </c>
      <c r="C1151" s="363">
        <v>14146.25</v>
      </c>
      <c r="D1151" s="252">
        <f t="shared" si="34"/>
        <v>-3.7501320469031096E-3</v>
      </c>
      <c r="F1151" s="440">
        <v>44203</v>
      </c>
      <c r="G1151" s="170">
        <v>601.9</v>
      </c>
      <c r="H1151" s="252">
        <f t="shared" si="35"/>
        <v>-5.6170493969931456E-3</v>
      </c>
    </row>
    <row r="1152" spans="2:8" x14ac:dyDescent="0.3">
      <c r="B1152" s="440">
        <v>44203</v>
      </c>
      <c r="C1152" s="363">
        <v>14137.35</v>
      </c>
      <c r="D1152" s="252">
        <f t="shared" si="34"/>
        <v>-6.2914199876284993E-4</v>
      </c>
      <c r="F1152" s="440">
        <v>44204</v>
      </c>
      <c r="G1152" s="170">
        <v>620.79999999999995</v>
      </c>
      <c r="H1152" s="252">
        <f t="shared" si="35"/>
        <v>3.1400564877886561E-2</v>
      </c>
    </row>
    <row r="1153" spans="2:8" x14ac:dyDescent="0.3">
      <c r="B1153" s="440">
        <v>44204</v>
      </c>
      <c r="C1153" s="363">
        <v>14347.25</v>
      </c>
      <c r="D1153" s="252">
        <f t="shared" si="34"/>
        <v>1.4847195549378078E-2</v>
      </c>
      <c r="F1153" s="440">
        <v>44207</v>
      </c>
      <c r="G1153" s="170">
        <v>621</v>
      </c>
      <c r="H1153" s="252">
        <f t="shared" si="35"/>
        <v>3.2216494845371813E-4</v>
      </c>
    </row>
    <row r="1154" spans="2:8" x14ac:dyDescent="0.3">
      <c r="B1154" s="440">
        <v>44207</v>
      </c>
      <c r="C1154" s="363">
        <v>14484.75</v>
      </c>
      <c r="D1154" s="252">
        <f t="shared" si="34"/>
        <v>9.5837181341371647E-3</v>
      </c>
      <c r="F1154" s="440">
        <v>44208</v>
      </c>
      <c r="G1154" s="170">
        <v>609.65</v>
      </c>
      <c r="H1154" s="252">
        <f t="shared" si="35"/>
        <v>-1.8276972624798771E-2</v>
      </c>
    </row>
    <row r="1155" spans="2:8" x14ac:dyDescent="0.3">
      <c r="B1155" s="440">
        <v>44208</v>
      </c>
      <c r="C1155" s="363">
        <v>14563.45</v>
      </c>
      <c r="D1155" s="252">
        <f t="shared" si="34"/>
        <v>5.4333005402233958E-3</v>
      </c>
      <c r="F1155" s="440">
        <v>44209</v>
      </c>
      <c r="G1155" s="170">
        <v>602.29999999999995</v>
      </c>
      <c r="H1155" s="252">
        <f t="shared" si="35"/>
        <v>-1.2056097761010465E-2</v>
      </c>
    </row>
    <row r="1156" spans="2:8" x14ac:dyDescent="0.3">
      <c r="B1156" s="440">
        <v>44209</v>
      </c>
      <c r="C1156" s="363">
        <v>14564.85</v>
      </c>
      <c r="D1156" s="252">
        <f t="shared" si="34"/>
        <v>9.6131067844451579E-5</v>
      </c>
      <c r="F1156" s="440">
        <v>44210</v>
      </c>
      <c r="G1156" s="170">
        <v>607.04999999999995</v>
      </c>
      <c r="H1156" s="252">
        <f t="shared" si="35"/>
        <v>7.8864353312302349E-3</v>
      </c>
    </row>
    <row r="1157" spans="2:8" x14ac:dyDescent="0.3">
      <c r="B1157" s="440">
        <v>44210</v>
      </c>
      <c r="C1157" s="363">
        <v>14595.6</v>
      </c>
      <c r="D1157" s="252">
        <f t="shared" si="34"/>
        <v>2.1112472837001572E-3</v>
      </c>
      <c r="F1157" s="440">
        <v>44211</v>
      </c>
      <c r="G1157" s="170">
        <v>604.29999999999995</v>
      </c>
      <c r="H1157" s="252">
        <f t="shared" si="35"/>
        <v>-4.5301046042336424E-3</v>
      </c>
    </row>
    <row r="1158" spans="2:8" x14ac:dyDescent="0.3">
      <c r="B1158" s="440">
        <v>44211</v>
      </c>
      <c r="C1158" s="363">
        <v>14433.7</v>
      </c>
      <c r="D1158" s="252">
        <f t="shared" si="34"/>
        <v>-1.1092384006138767E-2</v>
      </c>
      <c r="F1158" s="440">
        <v>44214</v>
      </c>
      <c r="G1158" s="170">
        <v>581.45000000000005</v>
      </c>
      <c r="H1158" s="252">
        <f t="shared" si="35"/>
        <v>-3.7812344861823499E-2</v>
      </c>
    </row>
    <row r="1159" spans="2:8" x14ac:dyDescent="0.3">
      <c r="B1159" s="440">
        <v>44214</v>
      </c>
      <c r="C1159" s="363">
        <v>14281.3</v>
      </c>
      <c r="D1159" s="252">
        <f t="shared" si="34"/>
        <v>-1.0558623222042929E-2</v>
      </c>
      <c r="F1159" s="440">
        <v>44215</v>
      </c>
      <c r="G1159" s="170">
        <v>596.54999999999995</v>
      </c>
      <c r="H1159" s="252">
        <f t="shared" si="35"/>
        <v>2.596955886146679E-2</v>
      </c>
    </row>
    <row r="1160" spans="2:8" x14ac:dyDescent="0.3">
      <c r="B1160" s="440">
        <v>44215</v>
      </c>
      <c r="C1160" s="363">
        <v>14521.15</v>
      </c>
      <c r="D1160" s="252">
        <f t="shared" si="34"/>
        <v>1.6794689559073817E-2</v>
      </c>
      <c r="F1160" s="440">
        <v>44216</v>
      </c>
      <c r="G1160" s="170">
        <v>594.70000000000005</v>
      </c>
      <c r="H1160" s="252">
        <f t="shared" si="35"/>
        <v>-3.1011650322687601E-3</v>
      </c>
    </row>
    <row r="1161" spans="2:8" x14ac:dyDescent="0.3">
      <c r="B1161" s="440">
        <v>44216</v>
      </c>
      <c r="C1161" s="363">
        <v>14644.7</v>
      </c>
      <c r="D1161" s="252">
        <f t="shared" si="34"/>
        <v>8.508279302947841E-3</v>
      </c>
      <c r="F1161" s="440">
        <v>44217</v>
      </c>
      <c r="G1161" s="170">
        <v>582.9</v>
      </c>
      <c r="H1161" s="252">
        <f t="shared" si="35"/>
        <v>-1.9841937111148567E-2</v>
      </c>
    </row>
    <row r="1162" spans="2:8" x14ac:dyDescent="0.3">
      <c r="B1162" s="440">
        <v>44217</v>
      </c>
      <c r="C1162" s="363">
        <v>14590.35</v>
      </c>
      <c r="D1162" s="252">
        <f t="shared" si="34"/>
        <v>-3.711240243910785E-3</v>
      </c>
      <c r="F1162" s="440">
        <v>44218</v>
      </c>
      <c r="G1162" s="170">
        <v>575.20000000000005</v>
      </c>
      <c r="H1162" s="252">
        <f t="shared" si="35"/>
        <v>-1.3209813003945636E-2</v>
      </c>
    </row>
    <row r="1163" spans="2:8" x14ac:dyDescent="0.3">
      <c r="B1163" s="440">
        <v>44218</v>
      </c>
      <c r="C1163" s="363">
        <v>14371.9</v>
      </c>
      <c r="D1163" s="252">
        <f t="shared" ref="D1163:D1226" si="36">C1163/C1162-1</f>
        <v>-1.4972224792414224E-2</v>
      </c>
      <c r="F1163" s="440">
        <v>44221</v>
      </c>
      <c r="G1163" s="170">
        <v>586.4</v>
      </c>
      <c r="H1163" s="252">
        <f t="shared" ref="H1163:H1226" si="37">G1163/G1162-1</f>
        <v>1.9471488178024909E-2</v>
      </c>
    </row>
    <row r="1164" spans="2:8" x14ac:dyDescent="0.3">
      <c r="B1164" s="440">
        <v>44221</v>
      </c>
      <c r="C1164" s="363">
        <v>14238.9</v>
      </c>
      <c r="D1164" s="252">
        <f t="shared" si="36"/>
        <v>-9.2541695948343827E-3</v>
      </c>
      <c r="F1164" s="440">
        <v>44223</v>
      </c>
      <c r="G1164" s="170">
        <v>569.79999999999995</v>
      </c>
      <c r="H1164" s="252">
        <f t="shared" si="37"/>
        <v>-2.830832196452937E-2</v>
      </c>
    </row>
    <row r="1165" spans="2:8" x14ac:dyDescent="0.3">
      <c r="B1165" s="440">
        <v>44223</v>
      </c>
      <c r="C1165" s="363">
        <v>13967.5</v>
      </c>
      <c r="D1165" s="252">
        <f t="shared" si="36"/>
        <v>-1.9060461131126694E-2</v>
      </c>
      <c r="F1165" s="440">
        <v>44224</v>
      </c>
      <c r="G1165" s="170">
        <v>564.35</v>
      </c>
      <c r="H1165" s="252">
        <f t="shared" si="37"/>
        <v>-9.5647595647594397E-3</v>
      </c>
    </row>
    <row r="1166" spans="2:8" x14ac:dyDescent="0.3">
      <c r="B1166" s="440">
        <v>44224</v>
      </c>
      <c r="C1166" s="363">
        <v>13817.55</v>
      </c>
      <c r="D1166" s="252">
        <f t="shared" si="36"/>
        <v>-1.0735636298550233E-2</v>
      </c>
      <c r="F1166" s="440">
        <v>44225</v>
      </c>
      <c r="G1166" s="170">
        <v>586.20000000000005</v>
      </c>
      <c r="H1166" s="252">
        <f t="shared" si="37"/>
        <v>3.8717108177549475E-2</v>
      </c>
    </row>
    <row r="1167" spans="2:8" x14ac:dyDescent="0.3">
      <c r="B1167" s="440">
        <v>44225</v>
      </c>
      <c r="C1167" s="363">
        <v>13634.6</v>
      </c>
      <c r="D1167" s="252">
        <f t="shared" si="36"/>
        <v>-1.3240408031814588E-2</v>
      </c>
      <c r="F1167" s="440">
        <v>44228</v>
      </c>
      <c r="G1167" s="170">
        <v>590.15</v>
      </c>
      <c r="H1167" s="252">
        <f t="shared" si="37"/>
        <v>6.7383145684065671E-3</v>
      </c>
    </row>
    <row r="1168" spans="2:8" x14ac:dyDescent="0.3">
      <c r="B1168" s="440">
        <v>44228</v>
      </c>
      <c r="C1168" s="363">
        <v>14281.2</v>
      </c>
      <c r="D1168" s="252">
        <f t="shared" si="36"/>
        <v>4.7423466768368838E-2</v>
      </c>
      <c r="F1168" s="440">
        <v>44229</v>
      </c>
      <c r="G1168" s="170">
        <v>609.45000000000005</v>
      </c>
      <c r="H1168" s="252">
        <f t="shared" si="37"/>
        <v>3.27035499449293E-2</v>
      </c>
    </row>
    <row r="1169" spans="2:8" x14ac:dyDescent="0.3">
      <c r="B1169" s="440">
        <v>44229</v>
      </c>
      <c r="C1169" s="363">
        <v>14647.85</v>
      </c>
      <c r="D1169" s="252">
        <f t="shared" si="36"/>
        <v>2.5673612861664363E-2</v>
      </c>
      <c r="F1169" s="440">
        <v>44230</v>
      </c>
      <c r="G1169" s="170">
        <v>629.20000000000005</v>
      </c>
      <c r="H1169" s="252">
        <f t="shared" si="37"/>
        <v>3.2406267946509137E-2</v>
      </c>
    </row>
    <row r="1170" spans="2:8" x14ac:dyDescent="0.3">
      <c r="B1170" s="440">
        <v>44230</v>
      </c>
      <c r="C1170" s="363">
        <v>14789.95</v>
      </c>
      <c r="D1170" s="252">
        <f t="shared" si="36"/>
        <v>9.7010824114118765E-3</v>
      </c>
      <c r="F1170" s="440">
        <v>44231</v>
      </c>
      <c r="G1170" s="170">
        <v>631.5</v>
      </c>
      <c r="H1170" s="252">
        <f t="shared" si="37"/>
        <v>3.6554354736171302E-3</v>
      </c>
    </row>
    <row r="1171" spans="2:8" x14ac:dyDescent="0.3">
      <c r="B1171" s="440">
        <v>44231</v>
      </c>
      <c r="C1171" s="363">
        <v>14895.65</v>
      </c>
      <c r="D1171" s="252">
        <f t="shared" si="36"/>
        <v>7.1467449180016018E-3</v>
      </c>
      <c r="F1171" s="440">
        <v>44232</v>
      </c>
      <c r="G1171" s="170">
        <v>634.75</v>
      </c>
      <c r="H1171" s="252">
        <f t="shared" si="37"/>
        <v>5.1464766429136777E-3</v>
      </c>
    </row>
    <row r="1172" spans="2:8" x14ac:dyDescent="0.3">
      <c r="B1172" s="440">
        <v>44232</v>
      </c>
      <c r="C1172" s="363">
        <v>14924.25</v>
      </c>
      <c r="D1172" s="252">
        <f t="shared" si="36"/>
        <v>1.9200236310601415E-3</v>
      </c>
      <c r="F1172" s="440">
        <v>44235</v>
      </c>
      <c r="G1172" s="170">
        <v>634.65</v>
      </c>
      <c r="H1172" s="252">
        <f t="shared" si="37"/>
        <v>-1.5754233950382446E-4</v>
      </c>
    </row>
    <row r="1173" spans="2:8" x14ac:dyDescent="0.3">
      <c r="B1173" s="440">
        <v>44235</v>
      </c>
      <c r="C1173" s="363">
        <v>15115.8</v>
      </c>
      <c r="D1173" s="252">
        <f t="shared" si="36"/>
        <v>1.2834815819890322E-2</v>
      </c>
      <c r="F1173" s="440">
        <v>44236</v>
      </c>
      <c r="G1173" s="170">
        <v>623.6</v>
      </c>
      <c r="H1173" s="252">
        <f t="shared" si="37"/>
        <v>-1.7411171511856893E-2</v>
      </c>
    </row>
    <row r="1174" spans="2:8" x14ac:dyDescent="0.3">
      <c r="B1174" s="440">
        <v>44236</v>
      </c>
      <c r="C1174" s="363">
        <v>15109.3</v>
      </c>
      <c r="D1174" s="252">
        <f t="shared" si="36"/>
        <v>-4.3001362812422617E-4</v>
      </c>
      <c r="F1174" s="440">
        <v>44237</v>
      </c>
      <c r="G1174" s="170">
        <v>627.1</v>
      </c>
      <c r="H1174" s="252">
        <f t="shared" si="37"/>
        <v>5.6125721616420154E-3</v>
      </c>
    </row>
    <row r="1175" spans="2:8" x14ac:dyDescent="0.3">
      <c r="B1175" s="440">
        <v>44237</v>
      </c>
      <c r="C1175" s="363">
        <v>15106.5</v>
      </c>
      <c r="D1175" s="252">
        <f t="shared" si="36"/>
        <v>-1.8531632835405709E-4</v>
      </c>
      <c r="F1175" s="440">
        <v>44238</v>
      </c>
      <c r="G1175" s="170">
        <v>643.65</v>
      </c>
      <c r="H1175" s="252">
        <f t="shared" si="37"/>
        <v>2.6391325147504308E-2</v>
      </c>
    </row>
    <row r="1176" spans="2:8" x14ac:dyDescent="0.3">
      <c r="B1176" s="440">
        <v>44238</v>
      </c>
      <c r="C1176" s="363">
        <v>15173.3</v>
      </c>
      <c r="D1176" s="252">
        <f t="shared" si="36"/>
        <v>4.4219375765397473E-3</v>
      </c>
      <c r="F1176" s="440">
        <v>44239</v>
      </c>
      <c r="G1176" s="170">
        <v>627.15</v>
      </c>
      <c r="H1176" s="252">
        <f t="shared" si="37"/>
        <v>-2.563505010487066E-2</v>
      </c>
    </row>
    <row r="1177" spans="2:8" x14ac:dyDescent="0.3">
      <c r="B1177" s="440">
        <v>44239</v>
      </c>
      <c r="C1177" s="363">
        <v>15163.3</v>
      </c>
      <c r="D1177" s="252">
        <f t="shared" si="36"/>
        <v>-6.5905241443853235E-4</v>
      </c>
      <c r="F1177" s="440">
        <v>44242</v>
      </c>
      <c r="G1177" s="170">
        <v>627.5</v>
      </c>
      <c r="H1177" s="252">
        <f t="shared" si="37"/>
        <v>5.5808020409786607E-4</v>
      </c>
    </row>
    <row r="1178" spans="2:8" x14ac:dyDescent="0.3">
      <c r="B1178" s="440">
        <v>44242</v>
      </c>
      <c r="C1178" s="363">
        <v>15314.7</v>
      </c>
      <c r="D1178" s="252">
        <f t="shared" si="36"/>
        <v>9.9846339517124516E-3</v>
      </c>
      <c r="F1178" s="440">
        <v>44243</v>
      </c>
      <c r="G1178" s="170">
        <v>631.15</v>
      </c>
      <c r="H1178" s="252">
        <f t="shared" si="37"/>
        <v>5.8167330677290074E-3</v>
      </c>
    </row>
    <row r="1179" spans="2:8" x14ac:dyDescent="0.3">
      <c r="B1179" s="440">
        <v>44243</v>
      </c>
      <c r="C1179" s="363">
        <v>15313.45</v>
      </c>
      <c r="D1179" s="252">
        <f t="shared" si="36"/>
        <v>-8.1620926299597052E-5</v>
      </c>
      <c r="F1179" s="440">
        <v>44244</v>
      </c>
      <c r="G1179" s="170">
        <v>621.25</v>
      </c>
      <c r="H1179" s="252">
        <f t="shared" si="37"/>
        <v>-1.5685653172779812E-2</v>
      </c>
    </row>
    <row r="1180" spans="2:8" x14ac:dyDescent="0.3">
      <c r="B1180" s="440">
        <v>44244</v>
      </c>
      <c r="C1180" s="363">
        <v>15208.9</v>
      </c>
      <c r="D1180" s="252">
        <f t="shared" si="36"/>
        <v>-6.8273315288195358E-3</v>
      </c>
      <c r="F1180" s="440">
        <v>44245</v>
      </c>
      <c r="G1180" s="170">
        <v>616.04999999999995</v>
      </c>
      <c r="H1180" s="252">
        <f t="shared" si="37"/>
        <v>-8.3702213279678306E-3</v>
      </c>
    </row>
    <row r="1181" spans="2:8" x14ac:dyDescent="0.3">
      <c r="B1181" s="440">
        <v>44245</v>
      </c>
      <c r="C1181" s="363">
        <v>15118.95</v>
      </c>
      <c r="D1181" s="252">
        <f t="shared" si="36"/>
        <v>-5.9143001795001204E-3</v>
      </c>
      <c r="F1181" s="440">
        <v>44246</v>
      </c>
      <c r="G1181" s="170">
        <v>607.29999999999995</v>
      </c>
      <c r="H1181" s="252">
        <f t="shared" si="37"/>
        <v>-1.4203392581770946E-2</v>
      </c>
    </row>
    <row r="1182" spans="2:8" x14ac:dyDescent="0.3">
      <c r="B1182" s="440">
        <v>44246</v>
      </c>
      <c r="C1182" s="363">
        <v>14981.75</v>
      </c>
      <c r="D1182" s="252">
        <f t="shared" si="36"/>
        <v>-9.0747042618700702E-3</v>
      </c>
      <c r="F1182" s="440">
        <v>44249</v>
      </c>
      <c r="G1182" s="170">
        <v>595.29999999999995</v>
      </c>
      <c r="H1182" s="252">
        <f t="shared" si="37"/>
        <v>-1.9759591635106211E-2</v>
      </c>
    </row>
    <row r="1183" spans="2:8" x14ac:dyDescent="0.3">
      <c r="B1183" s="440">
        <v>44249</v>
      </c>
      <c r="C1183" s="363">
        <v>14675.7</v>
      </c>
      <c r="D1183" s="252">
        <f t="shared" si="36"/>
        <v>-2.0428187628281025E-2</v>
      </c>
      <c r="F1183" s="440">
        <v>44250</v>
      </c>
      <c r="G1183" s="170">
        <v>604.04999999999995</v>
      </c>
      <c r="H1183" s="252">
        <f t="shared" si="37"/>
        <v>1.4698471358978615E-2</v>
      </c>
    </row>
    <row r="1184" spans="2:8" x14ac:dyDescent="0.3">
      <c r="B1184" s="440">
        <v>44250</v>
      </c>
      <c r="C1184" s="363">
        <v>14707.8</v>
      </c>
      <c r="D1184" s="252">
        <f t="shared" si="36"/>
        <v>2.1872891923382376E-3</v>
      </c>
      <c r="F1184" s="440">
        <v>44251</v>
      </c>
      <c r="G1184" s="170">
        <v>601.45000000000005</v>
      </c>
      <c r="H1184" s="252">
        <f t="shared" si="37"/>
        <v>-4.3042794470654622E-3</v>
      </c>
    </row>
    <row r="1185" spans="2:8" x14ac:dyDescent="0.3">
      <c r="B1185" s="440">
        <v>44251</v>
      </c>
      <c r="C1185" s="363">
        <v>14982</v>
      </c>
      <c r="D1185" s="252">
        <f t="shared" si="36"/>
        <v>1.8643168930771559E-2</v>
      </c>
      <c r="F1185" s="440">
        <v>44252</v>
      </c>
      <c r="G1185" s="170">
        <v>609.54999999999995</v>
      </c>
      <c r="H1185" s="252">
        <f t="shared" si="37"/>
        <v>1.3467453653670081E-2</v>
      </c>
    </row>
    <row r="1186" spans="2:8" x14ac:dyDescent="0.3">
      <c r="B1186" s="440">
        <v>44252</v>
      </c>
      <c r="C1186" s="363">
        <v>15097.35</v>
      </c>
      <c r="D1186" s="252">
        <f t="shared" si="36"/>
        <v>7.699239086904397E-3</v>
      </c>
      <c r="F1186" s="440">
        <v>44253</v>
      </c>
      <c r="G1186" s="170">
        <v>594.6</v>
      </c>
      <c r="H1186" s="252">
        <f t="shared" si="37"/>
        <v>-2.4526289885981378E-2</v>
      </c>
    </row>
    <row r="1187" spans="2:8" x14ac:dyDescent="0.3">
      <c r="B1187" s="440">
        <v>44253</v>
      </c>
      <c r="C1187" s="363">
        <v>14529.15</v>
      </c>
      <c r="D1187" s="252">
        <f t="shared" si="36"/>
        <v>-3.7635744021301765E-2</v>
      </c>
      <c r="F1187" s="440">
        <v>44256</v>
      </c>
      <c r="G1187" s="170">
        <v>604.45000000000005</v>
      </c>
      <c r="H1187" s="252">
        <f t="shared" si="37"/>
        <v>1.656575849310471E-2</v>
      </c>
    </row>
    <row r="1188" spans="2:8" x14ac:dyDescent="0.3">
      <c r="B1188" s="440">
        <v>44256</v>
      </c>
      <c r="C1188" s="363">
        <v>14761.55</v>
      </c>
      <c r="D1188" s="252">
        <f t="shared" si="36"/>
        <v>1.5995429877177836E-2</v>
      </c>
      <c r="F1188" s="440">
        <v>44257</v>
      </c>
      <c r="G1188" s="170">
        <v>614.20000000000005</v>
      </c>
      <c r="H1188" s="252">
        <f t="shared" si="37"/>
        <v>1.6130366448837696E-2</v>
      </c>
    </row>
    <row r="1189" spans="2:8" x14ac:dyDescent="0.3">
      <c r="B1189" s="440">
        <v>44257</v>
      </c>
      <c r="C1189" s="363">
        <v>14919.1</v>
      </c>
      <c r="D1189" s="252">
        <f t="shared" si="36"/>
        <v>1.0672998431736636E-2</v>
      </c>
      <c r="F1189" s="440">
        <v>44258</v>
      </c>
      <c r="G1189" s="170">
        <v>624.35</v>
      </c>
      <c r="H1189" s="252">
        <f t="shared" si="37"/>
        <v>1.6525561706284497E-2</v>
      </c>
    </row>
    <row r="1190" spans="2:8" x14ac:dyDescent="0.3">
      <c r="B1190" s="440">
        <v>44258</v>
      </c>
      <c r="C1190" s="363">
        <v>15245.6</v>
      </c>
      <c r="D1190" s="252">
        <f t="shared" si="36"/>
        <v>2.188469813862759E-2</v>
      </c>
      <c r="F1190" s="440">
        <v>44259</v>
      </c>
      <c r="G1190" s="170">
        <v>618.95000000000005</v>
      </c>
      <c r="H1190" s="252">
        <f t="shared" si="37"/>
        <v>-8.6489949547529088E-3</v>
      </c>
    </row>
    <row r="1191" spans="2:8" x14ac:dyDescent="0.3">
      <c r="B1191" s="440">
        <v>44259</v>
      </c>
      <c r="C1191" s="363">
        <v>15080.75</v>
      </c>
      <c r="D1191" s="252">
        <f t="shared" si="36"/>
        <v>-1.0812955869234475E-2</v>
      </c>
      <c r="F1191" s="440">
        <v>44260</v>
      </c>
      <c r="G1191" s="170">
        <v>611.20000000000005</v>
      </c>
      <c r="H1191" s="252">
        <f t="shared" si="37"/>
        <v>-1.2521205266984414E-2</v>
      </c>
    </row>
    <row r="1192" spans="2:8" x14ac:dyDescent="0.3">
      <c r="B1192" s="440">
        <v>44260</v>
      </c>
      <c r="C1192" s="363">
        <v>14938.1</v>
      </c>
      <c r="D1192" s="252">
        <f t="shared" si="36"/>
        <v>-9.4590786267261251E-3</v>
      </c>
      <c r="F1192" s="440">
        <v>44263</v>
      </c>
      <c r="G1192" s="170">
        <v>614.79999999999995</v>
      </c>
      <c r="H1192" s="252">
        <f t="shared" si="37"/>
        <v>5.8900523560208029E-3</v>
      </c>
    </row>
    <row r="1193" spans="2:8" x14ac:dyDescent="0.3">
      <c r="B1193" s="440">
        <v>44263</v>
      </c>
      <c r="C1193" s="363">
        <v>14956.2</v>
      </c>
      <c r="D1193" s="252">
        <f t="shared" si="36"/>
        <v>1.2116668117096996E-3</v>
      </c>
      <c r="F1193" s="440">
        <v>44264</v>
      </c>
      <c r="G1193" s="170">
        <v>612.6</v>
      </c>
      <c r="H1193" s="252">
        <f t="shared" si="37"/>
        <v>-3.5783994795054452E-3</v>
      </c>
    </row>
    <row r="1194" spans="2:8" x14ac:dyDescent="0.3">
      <c r="B1194" s="440">
        <v>44264</v>
      </c>
      <c r="C1194" s="363">
        <v>15098.4</v>
      </c>
      <c r="D1194" s="252">
        <f t="shared" si="36"/>
        <v>9.5077626669874959E-3</v>
      </c>
      <c r="F1194" s="440">
        <v>44265</v>
      </c>
      <c r="G1194" s="170">
        <v>626</v>
      </c>
      <c r="H1194" s="252">
        <f t="shared" si="37"/>
        <v>2.1873979758406659E-2</v>
      </c>
    </row>
    <row r="1195" spans="2:8" x14ac:dyDescent="0.3">
      <c r="B1195" s="440">
        <v>44265</v>
      </c>
      <c r="C1195" s="363">
        <v>15174.8</v>
      </c>
      <c r="D1195" s="252">
        <f t="shared" si="36"/>
        <v>5.0601388226567678E-3</v>
      </c>
      <c r="F1195" s="440">
        <v>44267</v>
      </c>
      <c r="G1195" s="170">
        <v>613.6</v>
      </c>
      <c r="H1195" s="252">
        <f t="shared" si="37"/>
        <v>-1.9808306709265144E-2</v>
      </c>
    </row>
    <row r="1196" spans="2:8" x14ac:dyDescent="0.3">
      <c r="B1196" s="440">
        <v>44267</v>
      </c>
      <c r="C1196" s="363">
        <v>15030.95</v>
      </c>
      <c r="D1196" s="252">
        <f t="shared" si="36"/>
        <v>-9.4795318554444785E-3</v>
      </c>
      <c r="F1196" s="440">
        <v>44270</v>
      </c>
      <c r="G1196" s="170">
        <v>605.5</v>
      </c>
      <c r="H1196" s="252">
        <f t="shared" si="37"/>
        <v>-1.3200782268578903E-2</v>
      </c>
    </row>
    <row r="1197" spans="2:8" x14ac:dyDescent="0.3">
      <c r="B1197" s="440">
        <v>44270</v>
      </c>
      <c r="C1197" s="363">
        <v>14929.5</v>
      </c>
      <c r="D1197" s="252">
        <f t="shared" si="36"/>
        <v>-6.7494070567729603E-3</v>
      </c>
      <c r="F1197" s="440">
        <v>44271</v>
      </c>
      <c r="G1197" s="170">
        <v>602.29999999999995</v>
      </c>
      <c r="H1197" s="252">
        <f t="shared" si="37"/>
        <v>-5.2848885218828023E-3</v>
      </c>
    </row>
    <row r="1198" spans="2:8" x14ac:dyDescent="0.3">
      <c r="B1198" s="440">
        <v>44271</v>
      </c>
      <c r="C1198" s="363">
        <v>14910.45</v>
      </c>
      <c r="D1198" s="252">
        <f t="shared" si="36"/>
        <v>-1.2759971867778441E-3</v>
      </c>
      <c r="F1198" s="440">
        <v>44272</v>
      </c>
      <c r="G1198" s="170">
        <v>584.75</v>
      </c>
      <c r="H1198" s="252">
        <f t="shared" si="37"/>
        <v>-2.9138303171177049E-2</v>
      </c>
    </row>
    <row r="1199" spans="2:8" x14ac:dyDescent="0.3">
      <c r="B1199" s="440">
        <v>44272</v>
      </c>
      <c r="C1199" s="363">
        <v>14721.3</v>
      </c>
      <c r="D1199" s="252">
        <f t="shared" si="36"/>
        <v>-1.2685733830971047E-2</v>
      </c>
      <c r="F1199" s="440">
        <v>44273</v>
      </c>
      <c r="G1199" s="170">
        <v>574.54999999999995</v>
      </c>
      <c r="H1199" s="252">
        <f t="shared" si="37"/>
        <v>-1.7443351859769196E-2</v>
      </c>
    </row>
    <row r="1200" spans="2:8" x14ac:dyDescent="0.3">
      <c r="B1200" s="440">
        <v>44273</v>
      </c>
      <c r="C1200" s="363">
        <v>14557.85</v>
      </c>
      <c r="D1200" s="252">
        <f t="shared" si="36"/>
        <v>-1.1102959657095401E-2</v>
      </c>
      <c r="F1200" s="440">
        <v>44274</v>
      </c>
      <c r="G1200" s="170">
        <v>578.29999999999995</v>
      </c>
      <c r="H1200" s="252">
        <f t="shared" si="37"/>
        <v>6.5268470977286608E-3</v>
      </c>
    </row>
    <row r="1201" spans="2:8" x14ac:dyDescent="0.3">
      <c r="B1201" s="440">
        <v>44274</v>
      </c>
      <c r="C1201" s="363">
        <v>14744</v>
      </c>
      <c r="D1201" s="252">
        <f t="shared" si="36"/>
        <v>1.2786915650319308E-2</v>
      </c>
      <c r="F1201" s="440">
        <v>44277</v>
      </c>
      <c r="G1201" s="170">
        <v>591</v>
      </c>
      <c r="H1201" s="252">
        <f t="shared" si="37"/>
        <v>2.1960919937748624E-2</v>
      </c>
    </row>
    <row r="1202" spans="2:8" x14ac:dyDescent="0.3">
      <c r="B1202" s="440">
        <v>44277</v>
      </c>
      <c r="C1202" s="363">
        <v>14736.4</v>
      </c>
      <c r="D1202" s="252">
        <f t="shared" si="36"/>
        <v>-5.1546391752577136E-4</v>
      </c>
      <c r="F1202" s="440">
        <v>44278</v>
      </c>
      <c r="G1202" s="170">
        <v>587.85</v>
      </c>
      <c r="H1202" s="252">
        <f t="shared" si="37"/>
        <v>-5.3299492385786573E-3</v>
      </c>
    </row>
    <row r="1203" spans="2:8" x14ac:dyDescent="0.3">
      <c r="B1203" s="440">
        <v>44278</v>
      </c>
      <c r="C1203" s="363">
        <v>14814.75</v>
      </c>
      <c r="D1203" s="252">
        <f t="shared" si="36"/>
        <v>5.3167666458564522E-3</v>
      </c>
      <c r="F1203" s="440">
        <v>44279</v>
      </c>
      <c r="G1203" s="170">
        <v>585.29999999999995</v>
      </c>
      <c r="H1203" s="252">
        <f t="shared" si="37"/>
        <v>-4.3378412860424209E-3</v>
      </c>
    </row>
    <row r="1204" spans="2:8" x14ac:dyDescent="0.3">
      <c r="B1204" s="440">
        <v>44279</v>
      </c>
      <c r="C1204" s="363">
        <v>14549.4</v>
      </c>
      <c r="D1204" s="252">
        <f t="shared" si="36"/>
        <v>-1.7911203361514749E-2</v>
      </c>
      <c r="F1204" s="440">
        <v>44280</v>
      </c>
      <c r="G1204" s="170">
        <v>575.75</v>
      </c>
      <c r="H1204" s="252">
        <f t="shared" si="37"/>
        <v>-1.6316418930462984E-2</v>
      </c>
    </row>
    <row r="1205" spans="2:8" x14ac:dyDescent="0.3">
      <c r="B1205" s="440">
        <v>44280</v>
      </c>
      <c r="C1205" s="363">
        <v>14324.9</v>
      </c>
      <c r="D1205" s="252">
        <f t="shared" si="36"/>
        <v>-1.5430189561081553E-2</v>
      </c>
      <c r="F1205" s="440">
        <v>44281</v>
      </c>
      <c r="G1205" s="170">
        <v>587.20000000000005</v>
      </c>
      <c r="H1205" s="252">
        <f t="shared" si="37"/>
        <v>1.9887103777681325E-2</v>
      </c>
    </row>
    <row r="1206" spans="2:8" x14ac:dyDescent="0.3">
      <c r="B1206" s="440">
        <v>44281</v>
      </c>
      <c r="C1206" s="363">
        <v>14507.3</v>
      </c>
      <c r="D1206" s="252">
        <f t="shared" si="36"/>
        <v>1.2733073180266397E-2</v>
      </c>
      <c r="F1206" s="440">
        <v>44285</v>
      </c>
      <c r="G1206" s="170">
        <v>597.70000000000005</v>
      </c>
      <c r="H1206" s="252">
        <f t="shared" si="37"/>
        <v>1.7881471389645798E-2</v>
      </c>
    </row>
    <row r="1207" spans="2:8" x14ac:dyDescent="0.3">
      <c r="B1207" s="440">
        <v>44285</v>
      </c>
      <c r="C1207" s="363">
        <v>14845.1</v>
      </c>
      <c r="D1207" s="252">
        <f t="shared" si="36"/>
        <v>2.3284829017115705E-2</v>
      </c>
      <c r="F1207" s="440">
        <v>44286</v>
      </c>
      <c r="G1207" s="170">
        <v>597.79999999999995</v>
      </c>
      <c r="H1207" s="252">
        <f t="shared" si="37"/>
        <v>1.6730801405362428E-4</v>
      </c>
    </row>
    <row r="1208" spans="2:8" x14ac:dyDescent="0.3">
      <c r="B1208" s="440">
        <v>44286</v>
      </c>
      <c r="C1208" s="363">
        <v>14690.7</v>
      </c>
      <c r="D1208" s="252">
        <f t="shared" si="36"/>
        <v>-1.0400738290749056E-2</v>
      </c>
      <c r="F1208" s="440">
        <v>44287</v>
      </c>
      <c r="G1208" s="170">
        <v>610.75</v>
      </c>
      <c r="H1208" s="252">
        <f t="shared" si="37"/>
        <v>2.1662763466042234E-2</v>
      </c>
    </row>
    <row r="1209" spans="2:8" x14ac:dyDescent="0.3">
      <c r="B1209" s="440">
        <v>44287</v>
      </c>
      <c r="C1209" s="363">
        <v>14867.35</v>
      </c>
      <c r="D1209" s="252">
        <f t="shared" si="36"/>
        <v>1.2024614211712192E-2</v>
      </c>
      <c r="F1209" s="440">
        <v>44291</v>
      </c>
      <c r="G1209" s="170">
        <v>608.79999999999995</v>
      </c>
      <c r="H1209" s="252">
        <f t="shared" si="37"/>
        <v>-3.1927957429390696E-3</v>
      </c>
    </row>
    <row r="1210" spans="2:8" x14ac:dyDescent="0.3">
      <c r="B1210" s="440">
        <v>44291</v>
      </c>
      <c r="C1210" s="363">
        <v>14637.8</v>
      </c>
      <c r="D1210" s="252">
        <f t="shared" si="36"/>
        <v>-1.5439873279367244E-2</v>
      </c>
      <c r="F1210" s="440">
        <v>44292</v>
      </c>
      <c r="G1210" s="170">
        <v>620.45000000000005</v>
      </c>
      <c r="H1210" s="252">
        <f t="shared" si="37"/>
        <v>1.9136005256241928E-2</v>
      </c>
    </row>
    <row r="1211" spans="2:8" x14ac:dyDescent="0.3">
      <c r="B1211" s="440">
        <v>44292</v>
      </c>
      <c r="C1211" s="363">
        <v>14683.5</v>
      </c>
      <c r="D1211" s="252">
        <f t="shared" si="36"/>
        <v>3.1220538605529757E-3</v>
      </c>
      <c r="F1211" s="440">
        <v>44293</v>
      </c>
      <c r="G1211" s="170">
        <v>621.04999999999995</v>
      </c>
      <c r="H1211" s="252">
        <f t="shared" si="37"/>
        <v>9.6704005157532968E-4</v>
      </c>
    </row>
    <row r="1212" spans="2:8" x14ac:dyDescent="0.3">
      <c r="B1212" s="440">
        <v>44293</v>
      </c>
      <c r="C1212" s="363">
        <v>14819.05</v>
      </c>
      <c r="D1212" s="252">
        <f t="shared" si="36"/>
        <v>9.2314502673067622E-3</v>
      </c>
      <c r="F1212" s="440">
        <v>44294</v>
      </c>
      <c r="G1212" s="170">
        <v>614.25</v>
      </c>
      <c r="H1212" s="252">
        <f t="shared" si="37"/>
        <v>-1.0949198937283522E-2</v>
      </c>
    </row>
    <row r="1213" spans="2:8" x14ac:dyDescent="0.3">
      <c r="B1213" s="440">
        <v>44294</v>
      </c>
      <c r="C1213" s="363">
        <v>14873.8</v>
      </c>
      <c r="D1213" s="252">
        <f t="shared" si="36"/>
        <v>3.6945688151399647E-3</v>
      </c>
      <c r="F1213" s="440">
        <v>44295</v>
      </c>
      <c r="G1213" s="170">
        <v>636.75</v>
      </c>
      <c r="H1213" s="252">
        <f t="shared" si="37"/>
        <v>3.6630036630036722E-2</v>
      </c>
    </row>
    <row r="1214" spans="2:8" x14ac:dyDescent="0.3">
      <c r="B1214" s="440">
        <v>44295</v>
      </c>
      <c r="C1214" s="363">
        <v>14834.85</v>
      </c>
      <c r="D1214" s="252">
        <f t="shared" si="36"/>
        <v>-2.6186986513196953E-3</v>
      </c>
      <c r="F1214" s="440">
        <v>44298</v>
      </c>
      <c r="G1214" s="170">
        <v>619.35</v>
      </c>
      <c r="H1214" s="252">
        <f t="shared" si="37"/>
        <v>-2.732626619552414E-2</v>
      </c>
    </row>
    <row r="1215" spans="2:8" x14ac:dyDescent="0.3">
      <c r="B1215" s="440">
        <v>44298</v>
      </c>
      <c r="C1215" s="363">
        <v>14310.8</v>
      </c>
      <c r="D1215" s="252">
        <f t="shared" si="36"/>
        <v>-3.5325601539617946E-2</v>
      </c>
      <c r="F1215" s="440">
        <v>44299</v>
      </c>
      <c r="G1215" s="170">
        <v>627.35</v>
      </c>
      <c r="H1215" s="252">
        <f t="shared" si="37"/>
        <v>1.2916767578913468E-2</v>
      </c>
    </row>
    <row r="1216" spans="2:8" x14ac:dyDescent="0.3">
      <c r="B1216" s="440">
        <v>44299</v>
      </c>
      <c r="C1216" s="363">
        <v>14504.8</v>
      </c>
      <c r="D1216" s="252">
        <f t="shared" si="36"/>
        <v>1.3556195321016373E-2</v>
      </c>
      <c r="F1216" s="440">
        <v>44301</v>
      </c>
      <c r="G1216" s="170">
        <v>633.25</v>
      </c>
      <c r="H1216" s="252">
        <f t="shared" si="37"/>
        <v>9.4046385590180748E-3</v>
      </c>
    </row>
    <row r="1217" spans="2:8" x14ac:dyDescent="0.3">
      <c r="B1217" s="440">
        <v>44301</v>
      </c>
      <c r="C1217" s="363">
        <v>14581.45</v>
      </c>
      <c r="D1217" s="252">
        <f t="shared" si="36"/>
        <v>5.2844575588770759E-3</v>
      </c>
      <c r="F1217" s="440">
        <v>44302</v>
      </c>
      <c r="G1217" s="170">
        <v>646.04999999999995</v>
      </c>
      <c r="H1217" s="252">
        <f t="shared" si="37"/>
        <v>2.0213185945519019E-2</v>
      </c>
    </row>
    <row r="1218" spans="2:8" x14ac:dyDescent="0.3">
      <c r="B1218" s="440">
        <v>44302</v>
      </c>
      <c r="C1218" s="363">
        <v>14617.85</v>
      </c>
      <c r="D1218" s="252">
        <f t="shared" si="36"/>
        <v>2.4963223822047631E-3</v>
      </c>
      <c r="F1218" s="440">
        <v>44305</v>
      </c>
      <c r="G1218" s="170">
        <v>640.65</v>
      </c>
      <c r="H1218" s="252">
        <f t="shared" si="37"/>
        <v>-8.3584861852797898E-3</v>
      </c>
    </row>
    <row r="1219" spans="2:8" x14ac:dyDescent="0.3">
      <c r="B1219" s="440">
        <v>44305</v>
      </c>
      <c r="C1219" s="363">
        <v>14359.45</v>
      </c>
      <c r="D1219" s="252">
        <f t="shared" si="36"/>
        <v>-1.7677018166146197E-2</v>
      </c>
      <c r="F1219" s="440">
        <v>44306</v>
      </c>
      <c r="G1219" s="170">
        <v>645.15</v>
      </c>
      <c r="H1219" s="252">
        <f t="shared" si="37"/>
        <v>7.0241161320534484E-3</v>
      </c>
    </row>
    <row r="1220" spans="2:8" x14ac:dyDescent="0.3">
      <c r="B1220" s="440">
        <v>44306</v>
      </c>
      <c r="C1220" s="363">
        <v>14296.4</v>
      </c>
      <c r="D1220" s="252">
        <f t="shared" si="36"/>
        <v>-4.3908366963916201E-3</v>
      </c>
      <c r="F1220" s="440">
        <v>44308</v>
      </c>
      <c r="G1220" s="170">
        <v>639.95000000000005</v>
      </c>
      <c r="H1220" s="252">
        <f t="shared" si="37"/>
        <v>-8.0601410524683281E-3</v>
      </c>
    </row>
    <row r="1221" spans="2:8" x14ac:dyDescent="0.3">
      <c r="B1221" s="440">
        <v>44308</v>
      </c>
      <c r="C1221" s="363">
        <v>14406.15</v>
      </c>
      <c r="D1221" s="252">
        <f t="shared" si="36"/>
        <v>7.6767577851766244E-3</v>
      </c>
      <c r="F1221" s="440">
        <v>44309</v>
      </c>
      <c r="G1221" s="170">
        <v>637.95000000000005</v>
      </c>
      <c r="H1221" s="252">
        <f t="shared" si="37"/>
        <v>-3.125244159699947E-3</v>
      </c>
    </row>
    <row r="1222" spans="2:8" x14ac:dyDescent="0.3">
      <c r="B1222" s="440">
        <v>44309</v>
      </c>
      <c r="C1222" s="363">
        <v>14341.35</v>
      </c>
      <c r="D1222" s="252">
        <f t="shared" si="36"/>
        <v>-4.4980789454502901E-3</v>
      </c>
      <c r="F1222" s="440">
        <v>44312</v>
      </c>
      <c r="G1222" s="170">
        <v>634.70000000000005</v>
      </c>
      <c r="H1222" s="252">
        <f t="shared" si="37"/>
        <v>-5.0944431381769739E-3</v>
      </c>
    </row>
    <row r="1223" spans="2:8" x14ac:dyDescent="0.3">
      <c r="B1223" s="440">
        <v>44312</v>
      </c>
      <c r="C1223" s="363">
        <v>14485</v>
      </c>
      <c r="D1223" s="252">
        <f t="shared" si="36"/>
        <v>1.0016490776670217E-2</v>
      </c>
      <c r="F1223" s="440">
        <v>44313</v>
      </c>
      <c r="G1223" s="170">
        <v>639.25</v>
      </c>
      <c r="H1223" s="252">
        <f t="shared" si="37"/>
        <v>7.1687411375451759E-3</v>
      </c>
    </row>
    <row r="1224" spans="2:8" x14ac:dyDescent="0.3">
      <c r="B1224" s="440">
        <v>44313</v>
      </c>
      <c r="C1224" s="363">
        <v>14653.05</v>
      </c>
      <c r="D1224" s="252">
        <f t="shared" si="36"/>
        <v>1.1601656886434109E-2</v>
      </c>
      <c r="F1224" s="440">
        <v>44314</v>
      </c>
      <c r="G1224" s="170">
        <v>643.4</v>
      </c>
      <c r="H1224" s="252">
        <f t="shared" si="37"/>
        <v>6.4919827923346496E-3</v>
      </c>
    </row>
    <row r="1225" spans="2:8" x14ac:dyDescent="0.3">
      <c r="B1225" s="440">
        <v>44314</v>
      </c>
      <c r="C1225" s="363">
        <v>14864.55</v>
      </c>
      <c r="D1225" s="252">
        <f t="shared" si="36"/>
        <v>1.4433855067716328E-2</v>
      </c>
      <c r="F1225" s="440">
        <v>44315</v>
      </c>
      <c r="G1225" s="170">
        <v>644.5</v>
      </c>
      <c r="H1225" s="252">
        <f t="shared" si="37"/>
        <v>1.7096673919800853E-3</v>
      </c>
    </row>
    <row r="1226" spans="2:8" x14ac:dyDescent="0.3">
      <c r="B1226" s="440">
        <v>44315</v>
      </c>
      <c r="C1226" s="363">
        <v>14894.9</v>
      </c>
      <c r="D1226" s="252">
        <f t="shared" si="36"/>
        <v>2.0417705211392967E-3</v>
      </c>
      <c r="F1226" s="440">
        <v>44316</v>
      </c>
      <c r="G1226" s="170">
        <v>654.45000000000005</v>
      </c>
      <c r="H1226" s="252">
        <f t="shared" si="37"/>
        <v>1.5438324282389448E-2</v>
      </c>
    </row>
    <row r="1227" spans="2:8" x14ac:dyDescent="0.3">
      <c r="B1227" s="440">
        <v>44316</v>
      </c>
      <c r="C1227" s="363">
        <v>14631.1</v>
      </c>
      <c r="D1227" s="252">
        <f t="shared" ref="D1227:D1290" si="38">C1227/C1226-1</f>
        <v>-1.7710760058812003E-2</v>
      </c>
      <c r="F1227" s="440">
        <v>44319</v>
      </c>
      <c r="G1227" s="170">
        <v>659.2</v>
      </c>
      <c r="H1227" s="252">
        <f t="shared" ref="H1227:H1290" si="39">G1227/G1226-1</f>
        <v>7.2580029032012217E-3</v>
      </c>
    </row>
    <row r="1228" spans="2:8" x14ac:dyDescent="0.3">
      <c r="B1228" s="440">
        <v>44319</v>
      </c>
      <c r="C1228" s="363">
        <v>14634.15</v>
      </c>
      <c r="D1228" s="252">
        <f t="shared" si="38"/>
        <v>2.0846006110275539E-4</v>
      </c>
      <c r="F1228" s="440">
        <v>44320</v>
      </c>
      <c r="G1228" s="170">
        <v>645.15</v>
      </c>
      <c r="H1228" s="252">
        <f t="shared" si="39"/>
        <v>-2.1313713592233108E-2</v>
      </c>
    </row>
    <row r="1229" spans="2:8" x14ac:dyDescent="0.3">
      <c r="B1229" s="440">
        <v>44320</v>
      </c>
      <c r="C1229" s="363">
        <v>14496.5</v>
      </c>
      <c r="D1229" s="252">
        <f t="shared" si="38"/>
        <v>-9.4060809818130586E-3</v>
      </c>
      <c r="F1229" s="440">
        <v>44321</v>
      </c>
      <c r="G1229" s="170">
        <v>683.4</v>
      </c>
      <c r="H1229" s="252">
        <f t="shared" si="39"/>
        <v>5.9288537549407216E-2</v>
      </c>
    </row>
    <row r="1230" spans="2:8" x14ac:dyDescent="0.3">
      <c r="B1230" s="440">
        <v>44321</v>
      </c>
      <c r="C1230" s="363">
        <v>14617.85</v>
      </c>
      <c r="D1230" s="252">
        <f t="shared" si="38"/>
        <v>8.3709861000931252E-3</v>
      </c>
      <c r="F1230" s="440">
        <v>44322</v>
      </c>
      <c r="G1230" s="170">
        <v>679.4</v>
      </c>
      <c r="H1230" s="252">
        <f t="shared" si="39"/>
        <v>-5.8530875036582053E-3</v>
      </c>
    </row>
    <row r="1231" spans="2:8" x14ac:dyDescent="0.3">
      <c r="B1231" s="440">
        <v>44322</v>
      </c>
      <c r="C1231" s="363">
        <v>14724.8</v>
      </c>
      <c r="D1231" s="252">
        <f t="shared" si="38"/>
        <v>7.3163974182248737E-3</v>
      </c>
      <c r="F1231" s="440">
        <v>44323</v>
      </c>
      <c r="G1231" s="170">
        <v>679.45</v>
      </c>
      <c r="H1231" s="252">
        <f t="shared" si="39"/>
        <v>7.3594347954175632E-5</v>
      </c>
    </row>
    <row r="1232" spans="2:8" x14ac:dyDescent="0.3">
      <c r="B1232" s="440">
        <v>44323</v>
      </c>
      <c r="C1232" s="363">
        <v>14823.15</v>
      </c>
      <c r="D1232" s="252">
        <f t="shared" si="38"/>
        <v>6.6792078669999366E-3</v>
      </c>
      <c r="F1232" s="440">
        <v>44326</v>
      </c>
      <c r="G1232" s="170">
        <v>698.2</v>
      </c>
      <c r="H1232" s="252">
        <f t="shared" si="39"/>
        <v>2.7595849584222565E-2</v>
      </c>
    </row>
    <row r="1233" spans="2:8" x14ac:dyDescent="0.3">
      <c r="B1233" s="440">
        <v>44326</v>
      </c>
      <c r="C1233" s="363">
        <v>14942.35</v>
      </c>
      <c r="D1233" s="252">
        <f t="shared" si="38"/>
        <v>8.0414756647542163E-3</v>
      </c>
      <c r="F1233" s="440">
        <v>44327</v>
      </c>
      <c r="G1233" s="170">
        <v>708.1</v>
      </c>
      <c r="H1233" s="252">
        <f t="shared" si="39"/>
        <v>1.4179318246920536E-2</v>
      </c>
    </row>
    <row r="1234" spans="2:8" x14ac:dyDescent="0.3">
      <c r="B1234" s="440">
        <v>44327</v>
      </c>
      <c r="C1234" s="363">
        <v>14850.75</v>
      </c>
      <c r="D1234" s="252">
        <f t="shared" si="38"/>
        <v>-6.1302271731019653E-3</v>
      </c>
      <c r="F1234" s="440">
        <v>44328</v>
      </c>
      <c r="G1234" s="170">
        <v>702.85</v>
      </c>
      <c r="H1234" s="252">
        <f t="shared" si="39"/>
        <v>-7.4142070329049625E-3</v>
      </c>
    </row>
    <row r="1235" spans="2:8" x14ac:dyDescent="0.3">
      <c r="B1235" s="440">
        <v>44328</v>
      </c>
      <c r="C1235" s="363">
        <v>14696.5</v>
      </c>
      <c r="D1235" s="252">
        <f t="shared" si="38"/>
        <v>-1.0386680807366599E-2</v>
      </c>
      <c r="F1235" s="440">
        <v>44330</v>
      </c>
      <c r="G1235" s="170">
        <v>691.45</v>
      </c>
      <c r="H1235" s="252">
        <f t="shared" si="39"/>
        <v>-1.62196770292381E-2</v>
      </c>
    </row>
    <row r="1236" spans="2:8" x14ac:dyDescent="0.3">
      <c r="B1236" s="440">
        <v>44330</v>
      </c>
      <c r="C1236" s="363">
        <v>14677.8</v>
      </c>
      <c r="D1236" s="252">
        <f t="shared" si="38"/>
        <v>-1.2724117987276129E-3</v>
      </c>
      <c r="F1236" s="440">
        <v>44333</v>
      </c>
      <c r="G1236" s="170">
        <v>687.15</v>
      </c>
      <c r="H1236" s="252">
        <f t="shared" si="39"/>
        <v>-6.2188155325765271E-3</v>
      </c>
    </row>
    <row r="1237" spans="2:8" x14ac:dyDescent="0.3">
      <c r="B1237" s="440">
        <v>44333</v>
      </c>
      <c r="C1237" s="363">
        <v>14923.15</v>
      </c>
      <c r="D1237" s="252">
        <f t="shared" si="38"/>
        <v>1.671572033956048E-2</v>
      </c>
      <c r="F1237" s="440">
        <v>44334</v>
      </c>
      <c r="G1237" s="170">
        <v>690.8</v>
      </c>
      <c r="H1237" s="252">
        <f t="shared" si="39"/>
        <v>5.3117950956851345E-3</v>
      </c>
    </row>
    <row r="1238" spans="2:8" x14ac:dyDescent="0.3">
      <c r="B1238" s="440">
        <v>44334</v>
      </c>
      <c r="C1238" s="363">
        <v>15108.1</v>
      </c>
      <c r="D1238" s="252">
        <f t="shared" si="38"/>
        <v>1.2393496011230853E-2</v>
      </c>
      <c r="F1238" s="440">
        <v>44335</v>
      </c>
      <c r="G1238" s="170">
        <v>703.4</v>
      </c>
      <c r="H1238" s="252">
        <f t="shared" si="39"/>
        <v>1.8239722061378139E-2</v>
      </c>
    </row>
    <row r="1239" spans="2:8" x14ac:dyDescent="0.3">
      <c r="B1239" s="440">
        <v>44335</v>
      </c>
      <c r="C1239" s="363">
        <v>15030.15</v>
      </c>
      <c r="D1239" s="252">
        <f t="shared" si="38"/>
        <v>-5.1594839854118835E-3</v>
      </c>
      <c r="F1239" s="440">
        <v>44336</v>
      </c>
      <c r="G1239" s="170">
        <v>686.85</v>
      </c>
      <c r="H1239" s="252">
        <f t="shared" si="39"/>
        <v>-2.3528575490474823E-2</v>
      </c>
    </row>
    <row r="1240" spans="2:8" x14ac:dyDescent="0.3">
      <c r="B1240" s="440">
        <v>44336</v>
      </c>
      <c r="C1240" s="363">
        <v>14906.05</v>
      </c>
      <c r="D1240" s="252">
        <f t="shared" si="38"/>
        <v>-8.2567372913776582E-3</v>
      </c>
      <c r="F1240" s="440">
        <v>44337</v>
      </c>
      <c r="G1240" s="170">
        <v>690.4</v>
      </c>
      <c r="H1240" s="252">
        <f t="shared" si="39"/>
        <v>5.1685229671689648E-3</v>
      </c>
    </row>
    <row r="1241" spans="2:8" x14ac:dyDescent="0.3">
      <c r="B1241" s="440">
        <v>44337</v>
      </c>
      <c r="C1241" s="363">
        <v>15175.3</v>
      </c>
      <c r="D1241" s="252">
        <f t="shared" si="38"/>
        <v>1.8063135438295186E-2</v>
      </c>
      <c r="F1241" s="440">
        <v>44340</v>
      </c>
      <c r="G1241" s="170">
        <v>690.95</v>
      </c>
      <c r="H1241" s="252">
        <f t="shared" si="39"/>
        <v>7.966396292005129E-4</v>
      </c>
    </row>
    <row r="1242" spans="2:8" x14ac:dyDescent="0.3">
      <c r="B1242" s="440">
        <v>44340</v>
      </c>
      <c r="C1242" s="363">
        <v>15197.7</v>
      </c>
      <c r="D1242" s="252">
        <f t="shared" si="38"/>
        <v>1.4760828451498842E-3</v>
      </c>
      <c r="F1242" s="440">
        <v>44341</v>
      </c>
      <c r="G1242" s="170">
        <v>696.1</v>
      </c>
      <c r="H1242" s="252">
        <f t="shared" si="39"/>
        <v>7.4535060424052446E-3</v>
      </c>
    </row>
    <row r="1243" spans="2:8" x14ac:dyDescent="0.3">
      <c r="B1243" s="440">
        <v>44341</v>
      </c>
      <c r="C1243" s="363">
        <v>15208.45</v>
      </c>
      <c r="D1243" s="252">
        <f t="shared" si="38"/>
        <v>7.0734387440207769E-4</v>
      </c>
      <c r="F1243" s="440">
        <v>44342</v>
      </c>
      <c r="G1243" s="170">
        <v>703.8</v>
      </c>
      <c r="H1243" s="252">
        <f t="shared" si="39"/>
        <v>1.1061629076281942E-2</v>
      </c>
    </row>
    <row r="1244" spans="2:8" x14ac:dyDescent="0.3">
      <c r="B1244" s="440">
        <v>44342</v>
      </c>
      <c r="C1244" s="363">
        <v>15301.45</v>
      </c>
      <c r="D1244" s="252">
        <f t="shared" si="38"/>
        <v>6.115021583396052E-3</v>
      </c>
      <c r="F1244" s="440">
        <v>44343</v>
      </c>
      <c r="G1244" s="170">
        <v>699.5</v>
      </c>
      <c r="H1244" s="252">
        <f t="shared" si="39"/>
        <v>-6.1096902529127473E-3</v>
      </c>
    </row>
    <row r="1245" spans="2:8" x14ac:dyDescent="0.3">
      <c r="B1245" s="440">
        <v>44343</v>
      </c>
      <c r="C1245" s="363">
        <v>15337.85</v>
      </c>
      <c r="D1245" s="252">
        <f t="shared" si="38"/>
        <v>2.3788595198495077E-3</v>
      </c>
      <c r="F1245" s="440">
        <v>44344</v>
      </c>
      <c r="G1245" s="170">
        <v>669.75</v>
      </c>
      <c r="H1245" s="252">
        <f t="shared" si="39"/>
        <v>-4.2530378842030037E-2</v>
      </c>
    </row>
    <row r="1246" spans="2:8" x14ac:dyDescent="0.3">
      <c r="B1246" s="440">
        <v>44344</v>
      </c>
      <c r="C1246" s="363">
        <v>15435.65</v>
      </c>
      <c r="D1246" s="252">
        <f t="shared" si="38"/>
        <v>6.3763826090357245E-3</v>
      </c>
      <c r="F1246" s="440">
        <v>44347</v>
      </c>
      <c r="G1246" s="170">
        <v>668.3</v>
      </c>
      <c r="H1246" s="252">
        <f t="shared" si="39"/>
        <v>-2.1649869354237739E-3</v>
      </c>
    </row>
    <row r="1247" spans="2:8" x14ac:dyDescent="0.3">
      <c r="B1247" s="440">
        <v>44347</v>
      </c>
      <c r="C1247" s="363">
        <v>15582.8</v>
      </c>
      <c r="D1247" s="252">
        <f t="shared" si="38"/>
        <v>9.5331262369904302E-3</v>
      </c>
      <c r="F1247" s="440">
        <v>44348</v>
      </c>
      <c r="G1247" s="170">
        <v>671.05</v>
      </c>
      <c r="H1247" s="252">
        <f t="shared" si="39"/>
        <v>4.1149184497979441E-3</v>
      </c>
    </row>
    <row r="1248" spans="2:8" x14ac:dyDescent="0.3">
      <c r="B1248" s="440">
        <v>44348</v>
      </c>
      <c r="C1248" s="363">
        <v>15574.85</v>
      </c>
      <c r="D1248" s="252">
        <f t="shared" si="38"/>
        <v>-5.1017788844098799E-4</v>
      </c>
      <c r="F1248" s="440">
        <v>44349</v>
      </c>
      <c r="G1248" s="170">
        <v>677.45</v>
      </c>
      <c r="H1248" s="252">
        <f t="shared" si="39"/>
        <v>9.537292303107181E-3</v>
      </c>
    </row>
    <row r="1249" spans="2:8" x14ac:dyDescent="0.3">
      <c r="B1249" s="440">
        <v>44349</v>
      </c>
      <c r="C1249" s="363">
        <v>15576.2</v>
      </c>
      <c r="D1249" s="252">
        <f t="shared" si="38"/>
        <v>8.667820235830348E-5</v>
      </c>
      <c r="F1249" s="440">
        <v>44350</v>
      </c>
      <c r="G1249" s="170">
        <v>675.5</v>
      </c>
      <c r="H1249" s="252">
        <f t="shared" si="39"/>
        <v>-2.8784412133737725E-3</v>
      </c>
    </row>
    <row r="1250" spans="2:8" x14ac:dyDescent="0.3">
      <c r="B1250" s="440">
        <v>44350</v>
      </c>
      <c r="C1250" s="363">
        <v>15690.35</v>
      </c>
      <c r="D1250" s="252">
        <f t="shared" si="38"/>
        <v>7.3284883347670693E-3</v>
      </c>
      <c r="F1250" s="440">
        <v>44351</v>
      </c>
      <c r="G1250" s="170">
        <v>673.95</v>
      </c>
      <c r="H1250" s="252">
        <f t="shared" si="39"/>
        <v>-2.2945965951146619E-3</v>
      </c>
    </row>
    <row r="1251" spans="2:8" x14ac:dyDescent="0.3">
      <c r="B1251" s="440">
        <v>44351</v>
      </c>
      <c r="C1251" s="363">
        <v>15670.25</v>
      </c>
      <c r="D1251" s="252">
        <f t="shared" si="38"/>
        <v>-1.2810421692314167E-3</v>
      </c>
      <c r="F1251" s="440">
        <v>44354</v>
      </c>
      <c r="G1251" s="170">
        <v>675.35</v>
      </c>
      <c r="H1251" s="252">
        <f t="shared" si="39"/>
        <v>2.0773054380889278E-3</v>
      </c>
    </row>
    <row r="1252" spans="2:8" x14ac:dyDescent="0.3">
      <c r="B1252" s="440">
        <v>44354</v>
      </c>
      <c r="C1252" s="363">
        <v>15751.65</v>
      </c>
      <c r="D1252" s="252">
        <f t="shared" si="38"/>
        <v>5.1945565641899893E-3</v>
      </c>
      <c r="F1252" s="440">
        <v>44355</v>
      </c>
      <c r="G1252" s="170">
        <v>678.75</v>
      </c>
      <c r="H1252" s="252">
        <f t="shared" si="39"/>
        <v>5.0344265936181909E-3</v>
      </c>
    </row>
    <row r="1253" spans="2:8" x14ac:dyDescent="0.3">
      <c r="B1253" s="440">
        <v>44355</v>
      </c>
      <c r="C1253" s="363">
        <v>15740.1</v>
      </c>
      <c r="D1253" s="252">
        <f t="shared" si="38"/>
        <v>-7.3325651598399322E-4</v>
      </c>
      <c r="F1253" s="440">
        <v>44356</v>
      </c>
      <c r="G1253" s="170">
        <v>672.85</v>
      </c>
      <c r="H1253" s="252">
        <f t="shared" si="39"/>
        <v>-8.6924493554327853E-3</v>
      </c>
    </row>
    <row r="1254" spans="2:8" x14ac:dyDescent="0.3">
      <c r="B1254" s="440">
        <v>44356</v>
      </c>
      <c r="C1254" s="363">
        <v>15635.35</v>
      </c>
      <c r="D1254" s="252">
        <f t="shared" si="38"/>
        <v>-6.6549767790547998E-3</v>
      </c>
      <c r="F1254" s="440">
        <v>44357</v>
      </c>
      <c r="G1254" s="170">
        <v>676.05</v>
      </c>
      <c r="H1254" s="252">
        <f t="shared" si="39"/>
        <v>4.7558891283345783E-3</v>
      </c>
    </row>
    <row r="1255" spans="2:8" x14ac:dyDescent="0.3">
      <c r="B1255" s="440">
        <v>44357</v>
      </c>
      <c r="C1255" s="363">
        <v>15737.75</v>
      </c>
      <c r="D1255" s="252">
        <f t="shared" si="38"/>
        <v>6.5492617690041666E-3</v>
      </c>
      <c r="F1255" s="440">
        <v>44358</v>
      </c>
      <c r="G1255" s="170">
        <v>681.3</v>
      </c>
      <c r="H1255" s="252">
        <f t="shared" si="39"/>
        <v>7.7656978034168489E-3</v>
      </c>
    </row>
    <row r="1256" spans="2:8" x14ac:dyDescent="0.3">
      <c r="B1256" s="440">
        <v>44358</v>
      </c>
      <c r="C1256" s="363">
        <v>15799.35</v>
      </c>
      <c r="D1256" s="252">
        <f t="shared" si="38"/>
        <v>3.9141554542421186E-3</v>
      </c>
      <c r="F1256" s="440">
        <v>44361</v>
      </c>
      <c r="G1256" s="170">
        <v>677.1</v>
      </c>
      <c r="H1256" s="252">
        <f t="shared" si="39"/>
        <v>-6.1646851607219944E-3</v>
      </c>
    </row>
    <row r="1257" spans="2:8" x14ac:dyDescent="0.3">
      <c r="B1257" s="440">
        <v>44361</v>
      </c>
      <c r="C1257" s="363">
        <v>15811.85</v>
      </c>
      <c r="D1257" s="252">
        <f t="shared" si="38"/>
        <v>7.911717887127967E-4</v>
      </c>
      <c r="F1257" s="440">
        <v>44362</v>
      </c>
      <c r="G1257" s="170">
        <v>673.2</v>
      </c>
      <c r="H1257" s="252">
        <f t="shared" si="39"/>
        <v>-5.7598582188745917E-3</v>
      </c>
    </row>
    <row r="1258" spans="2:8" x14ac:dyDescent="0.3">
      <c r="B1258" s="440">
        <v>44362</v>
      </c>
      <c r="C1258" s="363">
        <v>15869.25</v>
      </c>
      <c r="D1258" s="252">
        <f t="shared" si="38"/>
        <v>3.6301887508418673E-3</v>
      </c>
      <c r="F1258" s="440">
        <v>44363</v>
      </c>
      <c r="G1258" s="170">
        <v>668.55</v>
      </c>
      <c r="H1258" s="252">
        <f t="shared" si="39"/>
        <v>-6.9073083778967703E-3</v>
      </c>
    </row>
    <row r="1259" spans="2:8" x14ac:dyDescent="0.3">
      <c r="B1259" s="440">
        <v>44363</v>
      </c>
      <c r="C1259" s="363">
        <v>15767.55</v>
      </c>
      <c r="D1259" s="252">
        <f t="shared" si="38"/>
        <v>-6.4086204452006301E-3</v>
      </c>
      <c r="F1259" s="440">
        <v>44364</v>
      </c>
      <c r="G1259" s="170">
        <v>665.05</v>
      </c>
      <c r="H1259" s="252">
        <f t="shared" si="39"/>
        <v>-5.2352105302519991E-3</v>
      </c>
    </row>
    <row r="1260" spans="2:8" x14ac:dyDescent="0.3">
      <c r="B1260" s="440">
        <v>44364</v>
      </c>
      <c r="C1260" s="363">
        <v>15691.4</v>
      </c>
      <c r="D1260" s="252">
        <f t="shared" si="38"/>
        <v>-4.8295391484409755E-3</v>
      </c>
      <c r="F1260" s="440">
        <v>44365</v>
      </c>
      <c r="G1260" s="170">
        <v>668.5</v>
      </c>
      <c r="H1260" s="252">
        <f t="shared" si="39"/>
        <v>5.18757988121199E-3</v>
      </c>
    </row>
    <row r="1261" spans="2:8" x14ac:dyDescent="0.3">
      <c r="B1261" s="440">
        <v>44365</v>
      </c>
      <c r="C1261" s="363">
        <v>15683.35</v>
      </c>
      <c r="D1261" s="252">
        <f t="shared" si="38"/>
        <v>-5.1301987075713651E-4</v>
      </c>
      <c r="F1261" s="440">
        <v>44368</v>
      </c>
      <c r="G1261" s="170">
        <v>671.35</v>
      </c>
      <c r="H1261" s="252">
        <f t="shared" si="39"/>
        <v>4.2632759910246065E-3</v>
      </c>
    </row>
    <row r="1262" spans="2:8" x14ac:dyDescent="0.3">
      <c r="B1262" s="440">
        <v>44368</v>
      </c>
      <c r="C1262" s="363">
        <v>15746.5</v>
      </c>
      <c r="D1262" s="252">
        <f t="shared" si="38"/>
        <v>4.0265632023770426E-3</v>
      </c>
      <c r="F1262" s="440">
        <v>44369</v>
      </c>
      <c r="G1262" s="170">
        <v>666.8</v>
      </c>
      <c r="H1262" s="252">
        <f t="shared" si="39"/>
        <v>-6.7773888433754204E-3</v>
      </c>
    </row>
    <row r="1263" spans="2:8" x14ac:dyDescent="0.3">
      <c r="B1263" s="440">
        <v>44369</v>
      </c>
      <c r="C1263" s="363">
        <v>15772.75</v>
      </c>
      <c r="D1263" s="252">
        <f t="shared" si="38"/>
        <v>1.6670371193598932E-3</v>
      </c>
      <c r="F1263" s="440">
        <v>44370</v>
      </c>
      <c r="G1263" s="170">
        <v>665.25</v>
      </c>
      <c r="H1263" s="252">
        <f t="shared" si="39"/>
        <v>-2.3245350929813613E-3</v>
      </c>
    </row>
    <row r="1264" spans="2:8" x14ac:dyDescent="0.3">
      <c r="B1264" s="440">
        <v>44370</v>
      </c>
      <c r="C1264" s="363">
        <v>15686.95</v>
      </c>
      <c r="D1264" s="252">
        <f t="shared" si="38"/>
        <v>-5.4397616141762528E-3</v>
      </c>
      <c r="F1264" s="440">
        <v>44371</v>
      </c>
      <c r="G1264" s="170">
        <v>664.8</v>
      </c>
      <c r="H1264" s="252">
        <f t="shared" si="39"/>
        <v>-6.7643742953782393E-4</v>
      </c>
    </row>
    <row r="1265" spans="2:8" x14ac:dyDescent="0.3">
      <c r="B1265" s="440">
        <v>44371</v>
      </c>
      <c r="C1265" s="363">
        <v>15790.45</v>
      </c>
      <c r="D1265" s="252">
        <f t="shared" si="38"/>
        <v>6.5978408804769906E-3</v>
      </c>
      <c r="F1265" s="440">
        <v>44372</v>
      </c>
      <c r="G1265" s="170">
        <v>672.25</v>
      </c>
      <c r="H1265" s="252">
        <f t="shared" si="39"/>
        <v>1.1206377858002492E-2</v>
      </c>
    </row>
    <row r="1266" spans="2:8" x14ac:dyDescent="0.3">
      <c r="B1266" s="440">
        <v>44372</v>
      </c>
      <c r="C1266" s="363">
        <v>15860.35</v>
      </c>
      <c r="D1266" s="252">
        <f t="shared" si="38"/>
        <v>4.4267262807582419E-3</v>
      </c>
      <c r="F1266" s="440">
        <v>44375</v>
      </c>
      <c r="G1266" s="170">
        <v>676.3</v>
      </c>
      <c r="H1266" s="252">
        <f t="shared" si="39"/>
        <v>6.0245444403124182E-3</v>
      </c>
    </row>
    <row r="1267" spans="2:8" x14ac:dyDescent="0.3">
      <c r="B1267" s="440">
        <v>44375</v>
      </c>
      <c r="C1267" s="363">
        <v>15814.7</v>
      </c>
      <c r="D1267" s="252">
        <f t="shared" si="38"/>
        <v>-2.8782466969518028E-3</v>
      </c>
      <c r="F1267" s="440">
        <v>44376</v>
      </c>
      <c r="G1267" s="170">
        <v>677.6</v>
      </c>
      <c r="H1267" s="252">
        <f t="shared" si="39"/>
        <v>1.9222238651486201E-3</v>
      </c>
    </row>
    <row r="1268" spans="2:8" x14ac:dyDescent="0.3">
      <c r="B1268" s="440">
        <v>44376</v>
      </c>
      <c r="C1268" s="363">
        <v>15748.45</v>
      </c>
      <c r="D1268" s="252">
        <f t="shared" si="38"/>
        <v>-4.1891404832212764E-3</v>
      </c>
      <c r="F1268" s="440">
        <v>44377</v>
      </c>
      <c r="G1268" s="170">
        <v>675.45</v>
      </c>
      <c r="H1268" s="252">
        <f t="shared" si="39"/>
        <v>-3.1729634002360951E-3</v>
      </c>
    </row>
    <row r="1269" spans="2:8" x14ac:dyDescent="0.3">
      <c r="B1269" s="440">
        <v>44377</v>
      </c>
      <c r="C1269" s="363">
        <v>15721.5</v>
      </c>
      <c r="D1269" s="252">
        <f t="shared" si="38"/>
        <v>-1.7112795227467448E-3</v>
      </c>
      <c r="F1269" s="440">
        <v>44378</v>
      </c>
      <c r="G1269" s="170">
        <v>684.15</v>
      </c>
      <c r="H1269" s="252">
        <f t="shared" si="39"/>
        <v>1.2880302020874979E-2</v>
      </c>
    </row>
    <row r="1270" spans="2:8" x14ac:dyDescent="0.3">
      <c r="B1270" s="440">
        <v>44378</v>
      </c>
      <c r="C1270" s="363">
        <v>15680</v>
      </c>
      <c r="D1270" s="252">
        <f t="shared" si="38"/>
        <v>-2.639697229908089E-3</v>
      </c>
      <c r="F1270" s="440">
        <v>44379</v>
      </c>
      <c r="G1270" s="170">
        <v>681.25</v>
      </c>
      <c r="H1270" s="252">
        <f t="shared" si="39"/>
        <v>-4.2388365124607086E-3</v>
      </c>
    </row>
    <row r="1271" spans="2:8" x14ac:dyDescent="0.3">
      <c r="B1271" s="440">
        <v>44379</v>
      </c>
      <c r="C1271" s="363">
        <v>15722.2</v>
      </c>
      <c r="D1271" s="252">
        <f t="shared" si="38"/>
        <v>2.6913265306123257E-3</v>
      </c>
      <c r="F1271" s="440">
        <v>44382</v>
      </c>
      <c r="G1271" s="170">
        <v>680.2</v>
      </c>
      <c r="H1271" s="252">
        <f t="shared" si="39"/>
        <v>-1.5412844036696294E-3</v>
      </c>
    </row>
    <row r="1272" spans="2:8" x14ac:dyDescent="0.3">
      <c r="B1272" s="440">
        <v>44382</v>
      </c>
      <c r="C1272" s="363">
        <v>15834.35</v>
      </c>
      <c r="D1272" s="252">
        <f t="shared" si="38"/>
        <v>7.1332256300009611E-3</v>
      </c>
      <c r="F1272" s="440">
        <v>44383</v>
      </c>
      <c r="G1272" s="170">
        <v>673.25</v>
      </c>
      <c r="H1272" s="252">
        <f t="shared" si="39"/>
        <v>-1.0217583063804825E-2</v>
      </c>
    </row>
    <row r="1273" spans="2:8" x14ac:dyDescent="0.3">
      <c r="B1273" s="440">
        <v>44383</v>
      </c>
      <c r="C1273" s="363">
        <v>15818.25</v>
      </c>
      <c r="D1273" s="252">
        <f t="shared" si="38"/>
        <v>-1.0167768174885738E-3</v>
      </c>
      <c r="F1273" s="440">
        <v>44384</v>
      </c>
      <c r="G1273" s="170">
        <v>680.1</v>
      </c>
      <c r="H1273" s="252">
        <f t="shared" si="39"/>
        <v>1.0174526550315699E-2</v>
      </c>
    </row>
    <row r="1274" spans="2:8" x14ac:dyDescent="0.3">
      <c r="B1274" s="440">
        <v>44384</v>
      </c>
      <c r="C1274" s="363">
        <v>15879.65</v>
      </c>
      <c r="D1274" s="252">
        <f t="shared" si="38"/>
        <v>3.8815924644002298E-3</v>
      </c>
      <c r="F1274" s="440">
        <v>44385</v>
      </c>
      <c r="G1274" s="170">
        <v>666.9</v>
      </c>
      <c r="H1274" s="252">
        <f t="shared" si="39"/>
        <v>-1.9408910454345008E-2</v>
      </c>
    </row>
    <row r="1275" spans="2:8" x14ac:dyDescent="0.3">
      <c r="B1275" s="440">
        <v>44385</v>
      </c>
      <c r="C1275" s="363">
        <v>15727.9</v>
      </c>
      <c r="D1275" s="252">
        <f t="shared" si="38"/>
        <v>-9.5562559628203925E-3</v>
      </c>
      <c r="F1275" s="440">
        <v>44386</v>
      </c>
      <c r="G1275" s="170">
        <v>667.9</v>
      </c>
      <c r="H1275" s="252">
        <f t="shared" si="39"/>
        <v>1.4994751836856501E-3</v>
      </c>
    </row>
    <row r="1276" spans="2:8" x14ac:dyDescent="0.3">
      <c r="B1276" s="440">
        <v>44386</v>
      </c>
      <c r="C1276" s="363">
        <v>15689.8</v>
      </c>
      <c r="D1276" s="252">
        <f t="shared" si="38"/>
        <v>-2.4224467347834233E-3</v>
      </c>
      <c r="F1276" s="440">
        <v>44389</v>
      </c>
      <c r="G1276" s="170">
        <v>668.55</v>
      </c>
      <c r="H1276" s="252">
        <f t="shared" si="39"/>
        <v>9.7319958077557445E-4</v>
      </c>
    </row>
    <row r="1277" spans="2:8" x14ac:dyDescent="0.3">
      <c r="B1277" s="440">
        <v>44389</v>
      </c>
      <c r="C1277" s="363">
        <v>15692.6</v>
      </c>
      <c r="D1277" s="252">
        <f t="shared" si="38"/>
        <v>1.7845989113962624E-4</v>
      </c>
      <c r="F1277" s="440">
        <v>44390</v>
      </c>
      <c r="G1277" s="170">
        <v>683</v>
      </c>
      <c r="H1277" s="252">
        <f t="shared" si="39"/>
        <v>2.1613940617754901E-2</v>
      </c>
    </row>
    <row r="1278" spans="2:8" x14ac:dyDescent="0.3">
      <c r="B1278" s="440">
        <v>44390</v>
      </c>
      <c r="C1278" s="363">
        <v>15812.35</v>
      </c>
      <c r="D1278" s="252">
        <f t="shared" si="38"/>
        <v>7.6309853051756971E-3</v>
      </c>
      <c r="F1278" s="440">
        <v>44391</v>
      </c>
      <c r="G1278" s="170">
        <v>685.95</v>
      </c>
      <c r="H1278" s="252">
        <f t="shared" si="39"/>
        <v>4.3191800878477071E-3</v>
      </c>
    </row>
    <row r="1279" spans="2:8" x14ac:dyDescent="0.3">
      <c r="B1279" s="440">
        <v>44391</v>
      </c>
      <c r="C1279" s="363">
        <v>15853.95</v>
      </c>
      <c r="D1279" s="252">
        <f t="shared" si="38"/>
        <v>2.6308549962530403E-3</v>
      </c>
      <c r="F1279" s="440">
        <v>44392</v>
      </c>
      <c r="G1279" s="170">
        <v>683</v>
      </c>
      <c r="H1279" s="252">
        <f t="shared" si="39"/>
        <v>-4.3006050003645546E-3</v>
      </c>
    </row>
    <row r="1280" spans="2:8" x14ac:dyDescent="0.3">
      <c r="B1280" s="440">
        <v>44392</v>
      </c>
      <c r="C1280" s="363">
        <v>15924.2</v>
      </c>
      <c r="D1280" s="252">
        <f t="shared" si="38"/>
        <v>4.4310723825924381E-3</v>
      </c>
      <c r="F1280" s="440">
        <v>44393</v>
      </c>
      <c r="G1280" s="170">
        <v>688.6</v>
      </c>
      <c r="H1280" s="252">
        <f t="shared" si="39"/>
        <v>8.1991215226939751E-3</v>
      </c>
    </row>
    <row r="1281" spans="2:8" x14ac:dyDescent="0.3">
      <c r="B1281" s="440">
        <v>44393</v>
      </c>
      <c r="C1281" s="363">
        <v>15923.4</v>
      </c>
      <c r="D1281" s="252">
        <f t="shared" si="38"/>
        <v>-5.023800253711741E-5</v>
      </c>
      <c r="F1281" s="440">
        <v>44396</v>
      </c>
      <c r="G1281" s="170">
        <v>689.25</v>
      </c>
      <c r="H1281" s="252">
        <f t="shared" si="39"/>
        <v>9.4394423467902833E-4</v>
      </c>
    </row>
    <row r="1282" spans="2:8" x14ac:dyDescent="0.3">
      <c r="B1282" s="440">
        <v>44396</v>
      </c>
      <c r="C1282" s="363">
        <v>15752.4</v>
      </c>
      <c r="D1282" s="252">
        <f t="shared" si="38"/>
        <v>-1.0738912543803436E-2</v>
      </c>
      <c r="F1282" s="440">
        <v>44397</v>
      </c>
      <c r="G1282" s="170">
        <v>676.45</v>
      </c>
      <c r="H1282" s="252">
        <f t="shared" si="39"/>
        <v>-1.8570910409865693E-2</v>
      </c>
    </row>
    <row r="1283" spans="2:8" x14ac:dyDescent="0.3">
      <c r="B1283" s="440">
        <v>44397</v>
      </c>
      <c r="C1283" s="363">
        <v>15632.1</v>
      </c>
      <c r="D1283" s="252">
        <f t="shared" si="38"/>
        <v>-7.6369315151976203E-3</v>
      </c>
      <c r="F1283" s="440">
        <v>44399</v>
      </c>
      <c r="G1283" s="170">
        <v>687.3</v>
      </c>
      <c r="H1283" s="252">
        <f t="shared" si="39"/>
        <v>1.603961859708769E-2</v>
      </c>
    </row>
    <row r="1284" spans="2:8" x14ac:dyDescent="0.3">
      <c r="B1284" s="440">
        <v>44399</v>
      </c>
      <c r="C1284" s="363">
        <v>15824.05</v>
      </c>
      <c r="D1284" s="252">
        <f t="shared" si="38"/>
        <v>1.2279220322285456E-2</v>
      </c>
      <c r="F1284" s="440">
        <v>44400</v>
      </c>
      <c r="G1284" s="170">
        <v>694</v>
      </c>
      <c r="H1284" s="252">
        <f t="shared" si="39"/>
        <v>9.7482904117562885E-3</v>
      </c>
    </row>
    <row r="1285" spans="2:8" x14ac:dyDescent="0.3">
      <c r="B1285" s="440">
        <v>44400</v>
      </c>
      <c r="C1285" s="363">
        <v>15856.05</v>
      </c>
      <c r="D1285" s="252">
        <f t="shared" si="38"/>
        <v>2.022238301825352E-3</v>
      </c>
      <c r="F1285" s="440">
        <v>44403</v>
      </c>
      <c r="G1285" s="170">
        <v>703.4</v>
      </c>
      <c r="H1285" s="252">
        <f t="shared" si="39"/>
        <v>1.3544668587896158E-2</v>
      </c>
    </row>
    <row r="1286" spans="2:8" x14ac:dyDescent="0.3">
      <c r="B1286" s="440">
        <v>44403</v>
      </c>
      <c r="C1286" s="363">
        <v>15824.45</v>
      </c>
      <c r="D1286" s="252">
        <f t="shared" si="38"/>
        <v>-1.9929301433836422E-3</v>
      </c>
      <c r="F1286" s="440">
        <v>44404</v>
      </c>
      <c r="G1286" s="170">
        <v>688.3</v>
      </c>
      <c r="H1286" s="252">
        <f t="shared" si="39"/>
        <v>-2.1467159510946909E-2</v>
      </c>
    </row>
    <row r="1287" spans="2:8" x14ac:dyDescent="0.3">
      <c r="B1287" s="440">
        <v>44404</v>
      </c>
      <c r="C1287" s="363">
        <v>15746.45</v>
      </c>
      <c r="D1287" s="252">
        <f t="shared" si="38"/>
        <v>-4.929081263487789E-3</v>
      </c>
      <c r="F1287" s="440">
        <v>44405</v>
      </c>
      <c r="G1287" s="170">
        <v>687.8</v>
      </c>
      <c r="H1287" s="252">
        <f t="shared" si="39"/>
        <v>-7.2642742989970088E-4</v>
      </c>
    </row>
    <row r="1288" spans="2:8" x14ac:dyDescent="0.3">
      <c r="B1288" s="440">
        <v>44405</v>
      </c>
      <c r="C1288" s="363">
        <v>15709.4</v>
      </c>
      <c r="D1288" s="252">
        <f t="shared" si="38"/>
        <v>-2.3529112911164773E-3</v>
      </c>
      <c r="F1288" s="440">
        <v>44406</v>
      </c>
      <c r="G1288" s="170">
        <v>703</v>
      </c>
      <c r="H1288" s="252">
        <f t="shared" si="39"/>
        <v>2.209944751381232E-2</v>
      </c>
    </row>
    <row r="1289" spans="2:8" x14ac:dyDescent="0.3">
      <c r="B1289" s="440">
        <v>44406</v>
      </c>
      <c r="C1289" s="363">
        <v>15778.45</v>
      </c>
      <c r="D1289" s="252">
        <f t="shared" si="38"/>
        <v>4.3954574967854931E-3</v>
      </c>
      <c r="F1289" s="440">
        <v>44407</v>
      </c>
      <c r="G1289" s="170">
        <v>773.95</v>
      </c>
      <c r="H1289" s="252">
        <f t="shared" si="39"/>
        <v>0.10092460881934562</v>
      </c>
    </row>
    <row r="1290" spans="2:8" x14ac:dyDescent="0.3">
      <c r="B1290" s="440">
        <v>44407</v>
      </c>
      <c r="C1290" s="363">
        <v>15763.05</v>
      </c>
      <c r="D1290" s="252">
        <f t="shared" si="38"/>
        <v>-9.7601475430109108E-4</v>
      </c>
      <c r="F1290" s="440">
        <v>44410</v>
      </c>
      <c r="G1290" s="170">
        <v>775</v>
      </c>
      <c r="H1290" s="252">
        <f t="shared" si="39"/>
        <v>1.3566767879060748E-3</v>
      </c>
    </row>
    <row r="1291" spans="2:8" x14ac:dyDescent="0.3">
      <c r="B1291" s="440">
        <v>44410</v>
      </c>
      <c r="C1291" s="363">
        <v>15885.15</v>
      </c>
      <c r="D1291" s="252">
        <f t="shared" ref="D1291:D1354" si="40">C1291/C1290-1</f>
        <v>7.7459628688609783E-3</v>
      </c>
      <c r="F1291" s="440">
        <v>44411</v>
      </c>
      <c r="G1291" s="170">
        <v>794.8</v>
      </c>
      <c r="H1291" s="252">
        <f t="shared" ref="H1291:H1354" si="41">G1291/G1290-1</f>
        <v>2.5548387096774094E-2</v>
      </c>
    </row>
    <row r="1292" spans="2:8" x14ac:dyDescent="0.3">
      <c r="B1292" s="440">
        <v>44411</v>
      </c>
      <c r="C1292" s="363">
        <v>16130.75</v>
      </c>
      <c r="D1292" s="252">
        <f t="shared" si="40"/>
        <v>1.5460980853186701E-2</v>
      </c>
      <c r="F1292" s="440">
        <v>44412</v>
      </c>
      <c r="G1292" s="170">
        <v>785.75</v>
      </c>
      <c r="H1292" s="252">
        <f t="shared" si="41"/>
        <v>-1.138651233014587E-2</v>
      </c>
    </row>
    <row r="1293" spans="2:8" x14ac:dyDescent="0.3">
      <c r="B1293" s="440">
        <v>44412</v>
      </c>
      <c r="C1293" s="363">
        <v>16258.8</v>
      </c>
      <c r="D1293" s="252">
        <f t="shared" si="40"/>
        <v>7.9382545758877043E-3</v>
      </c>
      <c r="F1293" s="440">
        <v>44413</v>
      </c>
      <c r="G1293" s="170">
        <v>786.15</v>
      </c>
      <c r="H1293" s="252">
        <f t="shared" si="41"/>
        <v>5.0906776964687594E-4</v>
      </c>
    </row>
    <row r="1294" spans="2:8" x14ac:dyDescent="0.3">
      <c r="B1294" s="440">
        <v>44413</v>
      </c>
      <c r="C1294" s="363">
        <v>16294.6</v>
      </c>
      <c r="D1294" s="252">
        <f t="shared" si="40"/>
        <v>2.201884517922581E-3</v>
      </c>
      <c r="F1294" s="440">
        <v>44414</v>
      </c>
      <c r="G1294" s="170">
        <v>785.2</v>
      </c>
      <c r="H1294" s="252">
        <f t="shared" si="41"/>
        <v>-1.2084207848374051E-3</v>
      </c>
    </row>
    <row r="1295" spans="2:8" x14ac:dyDescent="0.3">
      <c r="B1295" s="440">
        <v>44414</v>
      </c>
      <c r="C1295" s="363">
        <v>16238.2</v>
      </c>
      <c r="D1295" s="252">
        <f t="shared" si="40"/>
        <v>-3.4612693775851744E-3</v>
      </c>
      <c r="F1295" s="440">
        <v>44417</v>
      </c>
      <c r="G1295" s="170">
        <v>788.8</v>
      </c>
      <c r="H1295" s="252">
        <f t="shared" si="41"/>
        <v>4.5848191543553796E-3</v>
      </c>
    </row>
    <row r="1296" spans="2:8" x14ac:dyDescent="0.3">
      <c r="B1296" s="440">
        <v>44417</v>
      </c>
      <c r="C1296" s="363">
        <v>16258.25</v>
      </c>
      <c r="D1296" s="252">
        <f t="shared" si="40"/>
        <v>1.2347427670553746E-3</v>
      </c>
      <c r="F1296" s="440">
        <v>44418</v>
      </c>
      <c r="G1296" s="170">
        <v>793.35</v>
      </c>
      <c r="H1296" s="252">
        <f t="shared" si="41"/>
        <v>5.7682555780933509E-3</v>
      </c>
    </row>
    <row r="1297" spans="2:8" x14ac:dyDescent="0.3">
      <c r="B1297" s="440">
        <v>44418</v>
      </c>
      <c r="C1297" s="363">
        <v>16280.1</v>
      </c>
      <c r="D1297" s="252">
        <f t="shared" si="40"/>
        <v>1.3439330801285898E-3</v>
      </c>
      <c r="F1297" s="440">
        <v>44419</v>
      </c>
      <c r="G1297" s="170">
        <v>779.55</v>
      </c>
      <c r="H1297" s="252">
        <f t="shared" si="41"/>
        <v>-1.7394592550576737E-2</v>
      </c>
    </row>
    <row r="1298" spans="2:8" x14ac:dyDescent="0.3">
      <c r="B1298" s="440">
        <v>44419</v>
      </c>
      <c r="C1298" s="363">
        <v>16282.25</v>
      </c>
      <c r="D1298" s="252">
        <f t="shared" si="40"/>
        <v>1.3206307086566227E-4</v>
      </c>
      <c r="F1298" s="440">
        <v>44420</v>
      </c>
      <c r="G1298" s="170">
        <v>778.65</v>
      </c>
      <c r="H1298" s="252">
        <f t="shared" si="41"/>
        <v>-1.1545122185876444E-3</v>
      </c>
    </row>
    <row r="1299" spans="2:8" x14ac:dyDescent="0.3">
      <c r="B1299" s="440">
        <v>44420</v>
      </c>
      <c r="C1299" s="363">
        <v>16364.4</v>
      </c>
      <c r="D1299" s="252">
        <f t="shared" si="40"/>
        <v>5.0453714934974858E-3</v>
      </c>
      <c r="F1299" s="440">
        <v>44421</v>
      </c>
      <c r="G1299" s="170">
        <v>778.3</v>
      </c>
      <c r="H1299" s="252">
        <f t="shared" si="41"/>
        <v>-4.4949592242982117E-4</v>
      </c>
    </row>
    <row r="1300" spans="2:8" x14ac:dyDescent="0.3">
      <c r="B1300" s="440">
        <v>44421</v>
      </c>
      <c r="C1300" s="363">
        <v>16529.099999999999</v>
      </c>
      <c r="D1300" s="252">
        <f t="shared" si="40"/>
        <v>1.006453032191823E-2</v>
      </c>
      <c r="F1300" s="440">
        <v>44424</v>
      </c>
      <c r="G1300" s="170">
        <v>780.8</v>
      </c>
      <c r="H1300" s="252">
        <f t="shared" si="41"/>
        <v>3.2121289991005053E-3</v>
      </c>
    </row>
    <row r="1301" spans="2:8" x14ac:dyDescent="0.3">
      <c r="B1301" s="440">
        <v>44424</v>
      </c>
      <c r="C1301" s="363">
        <v>16563.05</v>
      </c>
      <c r="D1301" s="252">
        <f t="shared" si="40"/>
        <v>2.0539533307923907E-3</v>
      </c>
      <c r="F1301" s="440">
        <v>44425</v>
      </c>
      <c r="G1301" s="170">
        <v>784.15</v>
      </c>
      <c r="H1301" s="252">
        <f t="shared" si="41"/>
        <v>4.29047131147553E-3</v>
      </c>
    </row>
    <row r="1302" spans="2:8" x14ac:dyDescent="0.3">
      <c r="B1302" s="440">
        <v>44425</v>
      </c>
      <c r="C1302" s="363">
        <v>16614.599999999999</v>
      </c>
      <c r="D1302" s="252">
        <f t="shared" si="40"/>
        <v>3.1123494766964743E-3</v>
      </c>
      <c r="F1302" s="440">
        <v>44426</v>
      </c>
      <c r="G1302" s="170">
        <v>782.9</v>
      </c>
      <c r="H1302" s="252">
        <f t="shared" si="41"/>
        <v>-1.5940827647771272E-3</v>
      </c>
    </row>
    <row r="1303" spans="2:8" x14ac:dyDescent="0.3">
      <c r="B1303" s="440">
        <v>44426</v>
      </c>
      <c r="C1303" s="363">
        <v>16568.849999999999</v>
      </c>
      <c r="D1303" s="252">
        <f t="shared" si="40"/>
        <v>-2.7536022534397908E-3</v>
      </c>
      <c r="F1303" s="440">
        <v>44428</v>
      </c>
      <c r="G1303" s="170">
        <v>761.15</v>
      </c>
      <c r="H1303" s="252">
        <f t="shared" si="41"/>
        <v>-2.7781325839826287E-2</v>
      </c>
    </row>
    <row r="1304" spans="2:8" x14ac:dyDescent="0.3">
      <c r="B1304" s="440">
        <v>44428</v>
      </c>
      <c r="C1304" s="363">
        <v>16450.5</v>
      </c>
      <c r="D1304" s="252">
        <f t="shared" si="40"/>
        <v>-7.1429218080916179E-3</v>
      </c>
      <c r="F1304" s="440">
        <v>44431</v>
      </c>
      <c r="G1304" s="170">
        <v>759.35</v>
      </c>
      <c r="H1304" s="252">
        <f t="shared" si="41"/>
        <v>-2.364842672272105E-3</v>
      </c>
    </row>
    <row r="1305" spans="2:8" x14ac:dyDescent="0.3">
      <c r="B1305" s="440">
        <v>44431</v>
      </c>
      <c r="C1305" s="363">
        <v>16496.45</v>
      </c>
      <c r="D1305" s="252">
        <f t="shared" si="40"/>
        <v>2.7932281693565653E-3</v>
      </c>
      <c r="F1305" s="440">
        <v>44432</v>
      </c>
      <c r="G1305" s="170">
        <v>771.35</v>
      </c>
      <c r="H1305" s="252">
        <f t="shared" si="41"/>
        <v>1.5802989398827849E-2</v>
      </c>
    </row>
    <row r="1306" spans="2:8" x14ac:dyDescent="0.3">
      <c r="B1306" s="440">
        <v>44432</v>
      </c>
      <c r="C1306" s="363">
        <v>16624.599999999999</v>
      </c>
      <c r="D1306" s="252">
        <f t="shared" si="40"/>
        <v>7.7683380363653409E-3</v>
      </c>
      <c r="F1306" s="440">
        <v>44433</v>
      </c>
      <c r="G1306" s="170">
        <v>769.05</v>
      </c>
      <c r="H1306" s="252">
        <f t="shared" si="41"/>
        <v>-2.9817851818241259E-3</v>
      </c>
    </row>
    <row r="1307" spans="2:8" x14ac:dyDescent="0.3">
      <c r="B1307" s="440">
        <v>44433</v>
      </c>
      <c r="C1307" s="363">
        <v>16634.650000000001</v>
      </c>
      <c r="D1307" s="252">
        <f t="shared" si="40"/>
        <v>6.0452582317793713E-4</v>
      </c>
      <c r="F1307" s="440">
        <v>44434</v>
      </c>
      <c r="G1307" s="170">
        <v>760.55</v>
      </c>
      <c r="H1307" s="252">
        <f t="shared" si="41"/>
        <v>-1.1052597360379668E-2</v>
      </c>
    </row>
    <row r="1308" spans="2:8" x14ac:dyDescent="0.3">
      <c r="B1308" s="440">
        <v>44434</v>
      </c>
      <c r="C1308" s="363">
        <v>16636.900000000001</v>
      </c>
      <c r="D1308" s="252">
        <f t="shared" si="40"/>
        <v>1.3525983414131026E-4</v>
      </c>
      <c r="F1308" s="440">
        <v>44435</v>
      </c>
      <c r="G1308" s="170">
        <v>771.8</v>
      </c>
      <c r="H1308" s="252">
        <f t="shared" si="41"/>
        <v>1.4791926895010299E-2</v>
      </c>
    </row>
    <row r="1309" spans="2:8" x14ac:dyDescent="0.3">
      <c r="B1309" s="440">
        <v>44435</v>
      </c>
      <c r="C1309" s="363">
        <v>16705.2</v>
      </c>
      <c r="D1309" s="252">
        <f t="shared" si="40"/>
        <v>4.1053321231718787E-3</v>
      </c>
      <c r="F1309" s="440">
        <v>44438</v>
      </c>
      <c r="G1309" s="170">
        <v>787.2</v>
      </c>
      <c r="H1309" s="252">
        <f t="shared" si="41"/>
        <v>1.9953355791656024E-2</v>
      </c>
    </row>
    <row r="1310" spans="2:8" x14ac:dyDescent="0.3">
      <c r="B1310" s="440">
        <v>44438</v>
      </c>
      <c r="C1310" s="363">
        <v>16931.05</v>
      </c>
      <c r="D1310" s="252">
        <f t="shared" si="40"/>
        <v>1.3519742355673658E-2</v>
      </c>
      <c r="F1310" s="440">
        <v>44439</v>
      </c>
      <c r="G1310" s="170">
        <v>794.05</v>
      </c>
      <c r="H1310" s="252">
        <f t="shared" si="41"/>
        <v>8.7017276422762802E-3</v>
      </c>
    </row>
    <row r="1311" spans="2:8" x14ac:dyDescent="0.3">
      <c r="B1311" s="440">
        <v>44439</v>
      </c>
      <c r="C1311" s="363">
        <v>17132.2</v>
      </c>
      <c r="D1311" s="252">
        <f t="shared" si="40"/>
        <v>1.1880539009689439E-2</v>
      </c>
      <c r="F1311" s="440">
        <v>44440</v>
      </c>
      <c r="G1311" s="170">
        <v>788.5</v>
      </c>
      <c r="H1311" s="252">
        <f t="shared" si="41"/>
        <v>-6.9894842894023812E-3</v>
      </c>
    </row>
    <row r="1312" spans="2:8" x14ac:dyDescent="0.3">
      <c r="B1312" s="440">
        <v>44440</v>
      </c>
      <c r="C1312" s="363">
        <v>17076.25</v>
      </c>
      <c r="D1312" s="252">
        <f t="shared" si="40"/>
        <v>-3.2657802267076486E-3</v>
      </c>
      <c r="F1312" s="440">
        <v>44441</v>
      </c>
      <c r="G1312" s="170">
        <v>789.95</v>
      </c>
      <c r="H1312" s="252">
        <f t="shared" si="41"/>
        <v>1.8389346861129585E-3</v>
      </c>
    </row>
    <row r="1313" spans="2:8" x14ac:dyDescent="0.3">
      <c r="B1313" s="440">
        <v>44441</v>
      </c>
      <c r="C1313" s="363">
        <v>17234.150000000001</v>
      </c>
      <c r="D1313" s="252">
        <f t="shared" si="40"/>
        <v>9.2467608520607758E-3</v>
      </c>
      <c r="F1313" s="440">
        <v>44442</v>
      </c>
      <c r="G1313" s="170">
        <v>789.4</v>
      </c>
      <c r="H1313" s="252">
        <f t="shared" si="41"/>
        <v>-6.9624659788602994E-4</v>
      </c>
    </row>
    <row r="1314" spans="2:8" x14ac:dyDescent="0.3">
      <c r="B1314" s="440">
        <v>44442</v>
      </c>
      <c r="C1314" s="363">
        <v>17323.599999999999</v>
      </c>
      <c r="D1314" s="252">
        <f t="shared" si="40"/>
        <v>5.1902762828452964E-3</v>
      </c>
      <c r="F1314" s="440">
        <v>44445</v>
      </c>
      <c r="G1314" s="170">
        <v>784.25</v>
      </c>
      <c r="H1314" s="252">
        <f t="shared" si="41"/>
        <v>-6.5239422346085041E-3</v>
      </c>
    </row>
    <row r="1315" spans="2:8" x14ac:dyDescent="0.3">
      <c r="B1315" s="440">
        <v>44445</v>
      </c>
      <c r="C1315" s="363">
        <v>17377.8</v>
      </c>
      <c r="D1315" s="252">
        <f t="shared" si="40"/>
        <v>3.1286799510494845E-3</v>
      </c>
      <c r="F1315" s="440">
        <v>44446</v>
      </c>
      <c r="G1315" s="170">
        <v>769.9</v>
      </c>
      <c r="H1315" s="252">
        <f t="shared" si="41"/>
        <v>-1.8297736691106237E-2</v>
      </c>
    </row>
    <row r="1316" spans="2:8" x14ac:dyDescent="0.3">
      <c r="B1316" s="440">
        <v>44446</v>
      </c>
      <c r="C1316" s="363">
        <v>17362.099999999999</v>
      </c>
      <c r="D1316" s="252">
        <f t="shared" si="40"/>
        <v>-9.0345153011317514E-4</v>
      </c>
      <c r="F1316" s="440">
        <v>44447</v>
      </c>
      <c r="G1316" s="170">
        <v>777.45</v>
      </c>
      <c r="H1316" s="252">
        <f t="shared" si="41"/>
        <v>9.8064683725160862E-3</v>
      </c>
    </row>
    <row r="1317" spans="2:8" x14ac:dyDescent="0.3">
      <c r="B1317" s="440">
        <v>44447</v>
      </c>
      <c r="C1317" s="363">
        <v>17353.5</v>
      </c>
      <c r="D1317" s="252">
        <f t="shared" si="40"/>
        <v>-4.9533178590144278E-4</v>
      </c>
      <c r="F1317" s="440">
        <v>44448</v>
      </c>
      <c r="G1317" s="170">
        <v>776.3</v>
      </c>
      <c r="H1317" s="252">
        <f t="shared" si="41"/>
        <v>-1.4791948035244307E-3</v>
      </c>
    </row>
    <row r="1318" spans="2:8" x14ac:dyDescent="0.3">
      <c r="B1318" s="440">
        <v>44448</v>
      </c>
      <c r="C1318" s="363">
        <v>17369.25</v>
      </c>
      <c r="D1318" s="252">
        <f t="shared" si="40"/>
        <v>9.0759789091543475E-4</v>
      </c>
      <c r="F1318" s="440">
        <v>44452</v>
      </c>
      <c r="G1318" s="170">
        <v>780.3</v>
      </c>
      <c r="H1318" s="252">
        <f t="shared" si="41"/>
        <v>5.1526471724847589E-3</v>
      </c>
    </row>
    <row r="1319" spans="2:8" x14ac:dyDescent="0.3">
      <c r="B1319" s="440">
        <v>44452</v>
      </c>
      <c r="C1319" s="363">
        <v>17355.3</v>
      </c>
      <c r="D1319" s="252">
        <f t="shared" si="40"/>
        <v>-8.0314348633370169E-4</v>
      </c>
      <c r="F1319" s="440">
        <v>44453</v>
      </c>
      <c r="G1319" s="170">
        <v>781.4</v>
      </c>
      <c r="H1319" s="252">
        <f t="shared" si="41"/>
        <v>1.4097142124824824E-3</v>
      </c>
    </row>
    <row r="1320" spans="2:8" x14ac:dyDescent="0.3">
      <c r="B1320" s="440">
        <v>44453</v>
      </c>
      <c r="C1320" s="363">
        <v>17380</v>
      </c>
      <c r="D1320" s="252">
        <f t="shared" si="40"/>
        <v>1.4231963722897145E-3</v>
      </c>
      <c r="F1320" s="440">
        <v>44454</v>
      </c>
      <c r="G1320" s="170">
        <v>780.65</v>
      </c>
      <c r="H1320" s="252">
        <f t="shared" si="41"/>
        <v>-9.5981571538261701E-4</v>
      </c>
    </row>
    <row r="1321" spans="2:8" x14ac:dyDescent="0.3">
      <c r="B1321" s="440">
        <v>44454</v>
      </c>
      <c r="C1321" s="363">
        <v>17519.45</v>
      </c>
      <c r="D1321" s="252">
        <f t="shared" si="40"/>
        <v>8.0235903337169123E-3</v>
      </c>
      <c r="F1321" s="440">
        <v>44455</v>
      </c>
      <c r="G1321" s="170">
        <v>781.05</v>
      </c>
      <c r="H1321" s="252">
        <f t="shared" si="41"/>
        <v>5.1239351822207624E-4</v>
      </c>
    </row>
    <row r="1322" spans="2:8" x14ac:dyDescent="0.3">
      <c r="B1322" s="440">
        <v>44455</v>
      </c>
      <c r="C1322" s="363">
        <v>17629.5</v>
      </c>
      <c r="D1322" s="252">
        <f t="shared" si="40"/>
        <v>6.2815898900936418E-3</v>
      </c>
      <c r="F1322" s="440">
        <v>44456</v>
      </c>
      <c r="G1322" s="170">
        <v>769.9</v>
      </c>
      <c r="H1322" s="252">
        <f t="shared" si="41"/>
        <v>-1.4275654567569296E-2</v>
      </c>
    </row>
    <row r="1323" spans="2:8" x14ac:dyDescent="0.3">
      <c r="B1323" s="440">
        <v>44456</v>
      </c>
      <c r="C1323" s="363">
        <v>17585.150000000001</v>
      </c>
      <c r="D1323" s="252">
        <f t="shared" si="40"/>
        <v>-2.5156697580758225E-3</v>
      </c>
      <c r="F1323" s="440">
        <v>44459</v>
      </c>
      <c r="G1323" s="170">
        <v>756.5</v>
      </c>
      <c r="H1323" s="252">
        <f t="shared" si="41"/>
        <v>-1.7404857773736793E-2</v>
      </c>
    </row>
    <row r="1324" spans="2:8" x14ac:dyDescent="0.3">
      <c r="B1324" s="440">
        <v>44459</v>
      </c>
      <c r="C1324" s="363">
        <v>17396.900000000001</v>
      </c>
      <c r="D1324" s="252">
        <f t="shared" si="40"/>
        <v>-1.0705055117528173E-2</v>
      </c>
      <c r="F1324" s="440">
        <v>44460</v>
      </c>
      <c r="G1324" s="170">
        <v>764.5</v>
      </c>
      <c r="H1324" s="252">
        <f t="shared" si="41"/>
        <v>1.0575016523463265E-2</v>
      </c>
    </row>
    <row r="1325" spans="2:8" x14ac:dyDescent="0.3">
      <c r="B1325" s="440">
        <v>44460</v>
      </c>
      <c r="C1325" s="363">
        <v>17562</v>
      </c>
      <c r="D1325" s="252">
        <f t="shared" si="40"/>
        <v>9.4901965292666368E-3</v>
      </c>
      <c r="F1325" s="440">
        <v>44461</v>
      </c>
      <c r="G1325" s="170">
        <v>770.1</v>
      </c>
      <c r="H1325" s="252">
        <f t="shared" si="41"/>
        <v>7.3250490516678646E-3</v>
      </c>
    </row>
    <row r="1326" spans="2:8" x14ac:dyDescent="0.3">
      <c r="B1326" s="440">
        <v>44461</v>
      </c>
      <c r="C1326" s="363">
        <v>17546.650000000001</v>
      </c>
      <c r="D1326" s="252">
        <f t="shared" si="40"/>
        <v>-8.7404623619169453E-4</v>
      </c>
      <c r="F1326" s="440">
        <v>44462</v>
      </c>
      <c r="G1326" s="170">
        <v>769.85</v>
      </c>
      <c r="H1326" s="252">
        <f t="shared" si="41"/>
        <v>-3.2463316452413515E-4</v>
      </c>
    </row>
    <row r="1327" spans="2:8" x14ac:dyDescent="0.3">
      <c r="B1327" s="440">
        <v>44462</v>
      </c>
      <c r="C1327" s="363">
        <v>17822.95</v>
      </c>
      <c r="D1327" s="252">
        <f t="shared" si="40"/>
        <v>1.574659550398505E-2</v>
      </c>
      <c r="F1327" s="440">
        <v>44463</v>
      </c>
      <c r="G1327" s="170">
        <v>770.45</v>
      </c>
      <c r="H1327" s="252">
        <f t="shared" si="41"/>
        <v>7.7937260505289707E-4</v>
      </c>
    </row>
    <row r="1328" spans="2:8" x14ac:dyDescent="0.3">
      <c r="B1328" s="440">
        <v>44463</v>
      </c>
      <c r="C1328" s="363">
        <v>17853.2</v>
      </c>
      <c r="D1328" s="252">
        <f t="shared" si="40"/>
        <v>1.6972498940972525E-3</v>
      </c>
      <c r="F1328" s="440">
        <v>44466</v>
      </c>
      <c r="G1328" s="170">
        <v>763.05</v>
      </c>
      <c r="H1328" s="252">
        <f t="shared" si="41"/>
        <v>-9.6047764293595295E-3</v>
      </c>
    </row>
    <row r="1329" spans="2:8" x14ac:dyDescent="0.3">
      <c r="B1329" s="440">
        <v>44466</v>
      </c>
      <c r="C1329" s="363">
        <v>17855.099999999999</v>
      </c>
      <c r="D1329" s="252">
        <f t="shared" si="40"/>
        <v>1.0642349830836118E-4</v>
      </c>
      <c r="F1329" s="440">
        <v>44467</v>
      </c>
      <c r="G1329" s="170">
        <v>775.1</v>
      </c>
      <c r="H1329" s="252">
        <f t="shared" si="41"/>
        <v>1.579188781862273E-2</v>
      </c>
    </row>
    <row r="1330" spans="2:8" x14ac:dyDescent="0.3">
      <c r="B1330" s="440">
        <v>44467</v>
      </c>
      <c r="C1330" s="363">
        <v>17748.599999999999</v>
      </c>
      <c r="D1330" s="252">
        <f t="shared" si="40"/>
        <v>-5.9646823596619658E-3</v>
      </c>
      <c r="F1330" s="440">
        <v>44468</v>
      </c>
      <c r="G1330" s="170">
        <v>811.3</v>
      </c>
      <c r="H1330" s="252">
        <f t="shared" si="41"/>
        <v>4.6703651141787983E-2</v>
      </c>
    </row>
    <row r="1331" spans="2:8" x14ac:dyDescent="0.3">
      <c r="B1331" s="440">
        <v>44468</v>
      </c>
      <c r="C1331" s="363">
        <v>17711.3</v>
      </c>
      <c r="D1331" s="252">
        <f t="shared" si="40"/>
        <v>-2.1015742086699651E-3</v>
      </c>
      <c r="F1331" s="440">
        <v>44469</v>
      </c>
      <c r="G1331" s="170">
        <v>818.25</v>
      </c>
      <c r="H1331" s="252">
        <f t="shared" si="41"/>
        <v>8.5664982127451328E-3</v>
      </c>
    </row>
    <row r="1332" spans="2:8" x14ac:dyDescent="0.3">
      <c r="B1332" s="440">
        <v>44469</v>
      </c>
      <c r="C1332" s="363">
        <v>17618.150000000001</v>
      </c>
      <c r="D1332" s="252">
        <f t="shared" si="40"/>
        <v>-5.2593541976024838E-3</v>
      </c>
      <c r="F1332" s="440">
        <v>44470</v>
      </c>
      <c r="G1332" s="170">
        <v>826.6</v>
      </c>
      <c r="H1332" s="252">
        <f t="shared" si="41"/>
        <v>1.0204705163458616E-2</v>
      </c>
    </row>
    <row r="1333" spans="2:8" x14ac:dyDescent="0.3">
      <c r="B1333" s="440">
        <v>44470</v>
      </c>
      <c r="C1333" s="363">
        <v>17532.05</v>
      </c>
      <c r="D1333" s="252">
        <f t="shared" si="40"/>
        <v>-4.8870057298866509E-3</v>
      </c>
      <c r="F1333" s="440">
        <v>44473</v>
      </c>
      <c r="G1333" s="170">
        <v>832</v>
      </c>
      <c r="H1333" s="252">
        <f t="shared" si="41"/>
        <v>6.5327849020082596E-3</v>
      </c>
    </row>
    <row r="1334" spans="2:8" x14ac:dyDescent="0.3">
      <c r="B1334" s="440">
        <v>44473</v>
      </c>
      <c r="C1334" s="363">
        <v>17691.25</v>
      </c>
      <c r="D1334" s="252">
        <f t="shared" si="40"/>
        <v>9.0805125470210246E-3</v>
      </c>
      <c r="F1334" s="440">
        <v>44474</v>
      </c>
      <c r="G1334" s="170">
        <v>820.5</v>
      </c>
      <c r="H1334" s="252">
        <f t="shared" si="41"/>
        <v>-1.3822115384615419E-2</v>
      </c>
    </row>
    <row r="1335" spans="2:8" x14ac:dyDescent="0.3">
      <c r="B1335" s="440">
        <v>44474</v>
      </c>
      <c r="C1335" s="363">
        <v>17822.3</v>
      </c>
      <c r="D1335" s="252">
        <f t="shared" si="40"/>
        <v>7.4076167596974773E-3</v>
      </c>
      <c r="F1335" s="440">
        <v>44475</v>
      </c>
      <c r="G1335" s="170">
        <v>800.6</v>
      </c>
      <c r="H1335" s="252">
        <f t="shared" si="41"/>
        <v>-2.4253503960999345E-2</v>
      </c>
    </row>
    <row r="1336" spans="2:8" x14ac:dyDescent="0.3">
      <c r="B1336" s="440">
        <v>44475</v>
      </c>
      <c r="C1336" s="363">
        <v>17646</v>
      </c>
      <c r="D1336" s="252">
        <f t="shared" si="40"/>
        <v>-9.8921014683850395E-3</v>
      </c>
      <c r="F1336" s="440">
        <v>44476</v>
      </c>
      <c r="G1336" s="170">
        <v>823.25</v>
      </c>
      <c r="H1336" s="252">
        <f t="shared" si="41"/>
        <v>2.8291281538845858E-2</v>
      </c>
    </row>
    <row r="1337" spans="2:8" x14ac:dyDescent="0.3">
      <c r="B1337" s="440">
        <v>44476</v>
      </c>
      <c r="C1337" s="363">
        <v>17790.349999999999</v>
      </c>
      <c r="D1337" s="252">
        <f t="shared" si="40"/>
        <v>8.1803241527824699E-3</v>
      </c>
      <c r="F1337" s="440">
        <v>44477</v>
      </c>
      <c r="G1337" s="170">
        <v>821.4</v>
      </c>
      <c r="H1337" s="252">
        <f t="shared" si="41"/>
        <v>-2.2471910112359383E-3</v>
      </c>
    </row>
    <row r="1338" spans="2:8" x14ac:dyDescent="0.3">
      <c r="B1338" s="440">
        <v>44477</v>
      </c>
      <c r="C1338" s="363">
        <v>17895.2</v>
      </c>
      <c r="D1338" s="252">
        <f t="shared" si="40"/>
        <v>5.893644588217839E-3</v>
      </c>
      <c r="F1338" s="440">
        <v>44480</v>
      </c>
      <c r="G1338" s="170">
        <v>832.55</v>
      </c>
      <c r="H1338" s="252">
        <f t="shared" si="41"/>
        <v>1.3574385196006844E-2</v>
      </c>
    </row>
    <row r="1339" spans="2:8" x14ac:dyDescent="0.3">
      <c r="B1339" s="440">
        <v>44480</v>
      </c>
      <c r="C1339" s="363">
        <v>17945.95</v>
      </c>
      <c r="D1339" s="252">
        <f t="shared" si="40"/>
        <v>2.8359560105504222E-3</v>
      </c>
      <c r="F1339" s="440">
        <v>44481</v>
      </c>
      <c r="G1339" s="170">
        <v>829.7</v>
      </c>
      <c r="H1339" s="252">
        <f t="shared" si="41"/>
        <v>-3.423217824755187E-3</v>
      </c>
    </row>
    <row r="1340" spans="2:8" x14ac:dyDescent="0.3">
      <c r="B1340" s="440">
        <v>44481</v>
      </c>
      <c r="C1340" s="363">
        <v>17991.95</v>
      </c>
      <c r="D1340" s="252">
        <f t="shared" si="40"/>
        <v>2.5632524330001516E-3</v>
      </c>
      <c r="F1340" s="440">
        <v>44482</v>
      </c>
      <c r="G1340" s="170">
        <v>842.55</v>
      </c>
      <c r="H1340" s="252">
        <f t="shared" si="41"/>
        <v>1.5487525611666664E-2</v>
      </c>
    </row>
    <row r="1341" spans="2:8" x14ac:dyDescent="0.3">
      <c r="B1341" s="440">
        <v>44482</v>
      </c>
      <c r="C1341" s="363">
        <v>18161.75</v>
      </c>
      <c r="D1341" s="252">
        <f t="shared" si="40"/>
        <v>9.4375540172131345E-3</v>
      </c>
      <c r="F1341" s="440">
        <v>44483</v>
      </c>
      <c r="G1341" s="170">
        <v>841.3</v>
      </c>
      <c r="H1341" s="252">
        <f t="shared" si="41"/>
        <v>-1.4835914782505011E-3</v>
      </c>
    </row>
    <row r="1342" spans="2:8" x14ac:dyDescent="0.3">
      <c r="B1342" s="440">
        <v>44483</v>
      </c>
      <c r="C1342" s="363">
        <v>18338.55</v>
      </c>
      <c r="D1342" s="252">
        <f t="shared" si="40"/>
        <v>9.7347447244895413E-3</v>
      </c>
      <c r="F1342" s="440">
        <v>44487</v>
      </c>
      <c r="G1342" s="170">
        <v>835.9</v>
      </c>
      <c r="H1342" s="252">
        <f t="shared" si="41"/>
        <v>-6.4186378224176943E-3</v>
      </c>
    </row>
    <row r="1343" spans="2:8" x14ac:dyDescent="0.3">
      <c r="B1343" s="440">
        <v>44487</v>
      </c>
      <c r="C1343" s="363">
        <v>18477.05</v>
      </c>
      <c r="D1343" s="252">
        <f t="shared" si="40"/>
        <v>7.5523964544634836E-3</v>
      </c>
      <c r="F1343" s="440">
        <v>44488</v>
      </c>
      <c r="G1343" s="170">
        <v>827.35</v>
      </c>
      <c r="H1343" s="252">
        <f t="shared" si="41"/>
        <v>-1.0228496231606599E-2</v>
      </c>
    </row>
    <row r="1344" spans="2:8" x14ac:dyDescent="0.3">
      <c r="B1344" s="440">
        <v>44488</v>
      </c>
      <c r="C1344" s="363">
        <v>18418.75</v>
      </c>
      <c r="D1344" s="252">
        <f t="shared" si="40"/>
        <v>-3.1552655862272516E-3</v>
      </c>
      <c r="F1344" s="440">
        <v>44489</v>
      </c>
      <c r="G1344" s="170">
        <v>814.9</v>
      </c>
      <c r="H1344" s="252">
        <f t="shared" si="41"/>
        <v>-1.5048044962833185E-2</v>
      </c>
    </row>
    <row r="1345" spans="2:8" x14ac:dyDescent="0.3">
      <c r="B1345" s="440">
        <v>44489</v>
      </c>
      <c r="C1345" s="363">
        <v>18266.599999999999</v>
      </c>
      <c r="D1345" s="252">
        <f t="shared" si="40"/>
        <v>-8.2606040040720252E-3</v>
      </c>
      <c r="F1345" s="440">
        <v>44490</v>
      </c>
      <c r="G1345" s="170">
        <v>818.4</v>
      </c>
      <c r="H1345" s="252">
        <f t="shared" si="41"/>
        <v>4.2950055221500083E-3</v>
      </c>
    </row>
    <row r="1346" spans="2:8" x14ac:dyDescent="0.3">
      <c r="B1346" s="440">
        <v>44490</v>
      </c>
      <c r="C1346" s="363">
        <v>18178.099999999999</v>
      </c>
      <c r="D1346" s="252">
        <f t="shared" si="40"/>
        <v>-4.8449081930955762E-3</v>
      </c>
      <c r="F1346" s="440">
        <v>44491</v>
      </c>
      <c r="G1346" s="170">
        <v>812.55</v>
      </c>
      <c r="H1346" s="252">
        <f t="shared" si="41"/>
        <v>-7.1480938416422779E-3</v>
      </c>
    </row>
    <row r="1347" spans="2:8" x14ac:dyDescent="0.3">
      <c r="B1347" s="440">
        <v>44491</v>
      </c>
      <c r="C1347" s="363">
        <v>18114.900000000001</v>
      </c>
      <c r="D1347" s="252">
        <f t="shared" si="40"/>
        <v>-3.4767109873967694E-3</v>
      </c>
      <c r="F1347" s="440">
        <v>44494</v>
      </c>
      <c r="G1347" s="170">
        <v>813.2</v>
      </c>
      <c r="H1347" s="252">
        <f t="shared" si="41"/>
        <v>7.9995077226024947E-4</v>
      </c>
    </row>
    <row r="1348" spans="2:8" x14ac:dyDescent="0.3">
      <c r="B1348" s="440">
        <v>44494</v>
      </c>
      <c r="C1348" s="363">
        <v>18125.400000000001</v>
      </c>
      <c r="D1348" s="252">
        <f t="shared" si="40"/>
        <v>5.7963334050969983E-4</v>
      </c>
      <c r="F1348" s="440">
        <v>44495</v>
      </c>
      <c r="G1348" s="170">
        <v>813.5</v>
      </c>
      <c r="H1348" s="252">
        <f t="shared" si="41"/>
        <v>3.6891293654695012E-4</v>
      </c>
    </row>
    <row r="1349" spans="2:8" x14ac:dyDescent="0.3">
      <c r="B1349" s="440">
        <v>44495</v>
      </c>
      <c r="C1349" s="363">
        <v>18268.400000000001</v>
      </c>
      <c r="D1349" s="252">
        <f t="shared" si="40"/>
        <v>7.8894810597283094E-3</v>
      </c>
      <c r="F1349" s="440">
        <v>44496</v>
      </c>
      <c r="G1349" s="170">
        <v>825.1</v>
      </c>
      <c r="H1349" s="252">
        <f t="shared" si="41"/>
        <v>1.4259373079287041E-2</v>
      </c>
    </row>
    <row r="1350" spans="2:8" x14ac:dyDescent="0.3">
      <c r="B1350" s="440">
        <v>44496</v>
      </c>
      <c r="C1350" s="363">
        <v>18210.95</v>
      </c>
      <c r="D1350" s="252">
        <f t="shared" si="40"/>
        <v>-3.1447745834337626E-3</v>
      </c>
      <c r="F1350" s="440">
        <v>44497</v>
      </c>
      <c r="G1350" s="170">
        <v>807.6</v>
      </c>
      <c r="H1350" s="252">
        <f t="shared" si="41"/>
        <v>-2.120955035753247E-2</v>
      </c>
    </row>
    <row r="1351" spans="2:8" x14ac:dyDescent="0.3">
      <c r="B1351" s="440">
        <v>44497</v>
      </c>
      <c r="C1351" s="363">
        <v>17857.25</v>
      </c>
      <c r="D1351" s="252">
        <f t="shared" si="40"/>
        <v>-1.9422380490858537E-2</v>
      </c>
      <c r="F1351" s="440">
        <v>44498</v>
      </c>
      <c r="G1351" s="170">
        <v>795</v>
      </c>
      <c r="H1351" s="252">
        <f t="shared" si="41"/>
        <v>-1.5601783060921304E-2</v>
      </c>
    </row>
    <row r="1352" spans="2:8" x14ac:dyDescent="0.3">
      <c r="B1352" s="440">
        <v>44498</v>
      </c>
      <c r="C1352" s="363">
        <v>17671.650000000001</v>
      </c>
      <c r="D1352" s="252">
        <f t="shared" si="40"/>
        <v>-1.0393537638774042E-2</v>
      </c>
      <c r="F1352" s="440">
        <v>44501</v>
      </c>
      <c r="G1352" s="170">
        <v>811.8</v>
      </c>
      <c r="H1352" s="252">
        <f t="shared" si="41"/>
        <v>2.1132075471698153E-2</v>
      </c>
    </row>
    <row r="1353" spans="2:8" x14ac:dyDescent="0.3">
      <c r="B1353" s="440">
        <v>44501</v>
      </c>
      <c r="C1353" s="363">
        <v>17929.650000000001</v>
      </c>
      <c r="D1353" s="252">
        <f t="shared" si="40"/>
        <v>1.4599655380227672E-2</v>
      </c>
      <c r="F1353" s="440">
        <v>44502</v>
      </c>
      <c r="G1353" s="170">
        <v>815.4</v>
      </c>
      <c r="H1353" s="252">
        <f t="shared" si="41"/>
        <v>4.4345898004434225E-3</v>
      </c>
    </row>
    <row r="1354" spans="2:8" x14ac:dyDescent="0.3">
      <c r="B1354" s="440">
        <v>44502</v>
      </c>
      <c r="C1354" s="363">
        <v>17888.95</v>
      </c>
      <c r="D1354" s="252">
        <f t="shared" si="40"/>
        <v>-2.2699829611844136E-3</v>
      </c>
      <c r="F1354" s="440">
        <v>44503</v>
      </c>
      <c r="G1354" s="170">
        <v>787.95</v>
      </c>
      <c r="H1354" s="252">
        <f t="shared" si="41"/>
        <v>-3.3664459161147797E-2</v>
      </c>
    </row>
    <row r="1355" spans="2:8" x14ac:dyDescent="0.3">
      <c r="B1355" s="440">
        <v>44503</v>
      </c>
      <c r="C1355" s="363">
        <v>17829.2</v>
      </c>
      <c r="D1355" s="252">
        <f t="shared" ref="D1355:D1418" si="42">C1355/C1354-1</f>
        <v>-3.3400507016901892E-3</v>
      </c>
      <c r="F1355" s="440">
        <v>44504</v>
      </c>
      <c r="G1355" s="170">
        <v>795.45</v>
      </c>
      <c r="H1355" s="252">
        <f t="shared" ref="H1355:H1418" si="43">G1355/G1354-1</f>
        <v>9.5183704549781645E-3</v>
      </c>
    </row>
    <row r="1356" spans="2:8" x14ac:dyDescent="0.3">
      <c r="B1356" s="440">
        <v>44504</v>
      </c>
      <c r="C1356" s="363">
        <v>17916.8</v>
      </c>
      <c r="D1356" s="252">
        <f t="shared" si="42"/>
        <v>4.913288313552977E-3</v>
      </c>
      <c r="F1356" s="440">
        <v>44508</v>
      </c>
      <c r="G1356" s="170">
        <v>800</v>
      </c>
      <c r="H1356" s="252">
        <f t="shared" si="43"/>
        <v>5.7200326859010442E-3</v>
      </c>
    </row>
    <row r="1357" spans="2:8" x14ac:dyDescent="0.3">
      <c r="B1357" s="440">
        <v>44508</v>
      </c>
      <c r="C1357" s="363">
        <v>18068.55</v>
      </c>
      <c r="D1357" s="252">
        <f t="shared" si="42"/>
        <v>8.469704411502077E-3</v>
      </c>
      <c r="F1357" s="440">
        <v>44509</v>
      </c>
      <c r="G1357" s="170">
        <v>801.35</v>
      </c>
      <c r="H1357" s="252">
        <f t="shared" si="43"/>
        <v>1.6875000000000639E-3</v>
      </c>
    </row>
    <row r="1358" spans="2:8" x14ac:dyDescent="0.3">
      <c r="B1358" s="440">
        <v>44509</v>
      </c>
      <c r="C1358" s="363">
        <v>18044.25</v>
      </c>
      <c r="D1358" s="252">
        <f t="shared" si="42"/>
        <v>-1.3448782553109329E-3</v>
      </c>
      <c r="F1358" s="440">
        <v>44510</v>
      </c>
      <c r="G1358" s="170">
        <v>811.1</v>
      </c>
      <c r="H1358" s="252">
        <f t="shared" si="43"/>
        <v>1.2166968241093201E-2</v>
      </c>
    </row>
    <row r="1359" spans="2:8" x14ac:dyDescent="0.3">
      <c r="B1359" s="440">
        <v>44510</v>
      </c>
      <c r="C1359" s="363">
        <v>18017.2</v>
      </c>
      <c r="D1359" s="252">
        <f t="shared" si="42"/>
        <v>-1.4990925086938445E-3</v>
      </c>
      <c r="F1359" s="440">
        <v>44511</v>
      </c>
      <c r="G1359" s="170">
        <v>794.85</v>
      </c>
      <c r="H1359" s="252">
        <f t="shared" si="43"/>
        <v>-2.0034521020835916E-2</v>
      </c>
    </row>
    <row r="1360" spans="2:8" x14ac:dyDescent="0.3">
      <c r="B1360" s="440">
        <v>44511</v>
      </c>
      <c r="C1360" s="363">
        <v>17873.599999999999</v>
      </c>
      <c r="D1360" s="252">
        <f t="shared" si="42"/>
        <v>-7.9701618453479339E-3</v>
      </c>
      <c r="F1360" s="440">
        <v>44512</v>
      </c>
      <c r="G1360" s="170">
        <v>806.5</v>
      </c>
      <c r="H1360" s="252">
        <f t="shared" si="43"/>
        <v>1.465685349437007E-2</v>
      </c>
    </row>
    <row r="1361" spans="2:8" x14ac:dyDescent="0.3">
      <c r="B1361" s="440">
        <v>44512</v>
      </c>
      <c r="C1361" s="363">
        <v>18102.75</v>
      </c>
      <c r="D1361" s="252">
        <f t="shared" si="42"/>
        <v>1.2820584549279479E-2</v>
      </c>
      <c r="F1361" s="440">
        <v>44515</v>
      </c>
      <c r="G1361" s="170">
        <v>810.7</v>
      </c>
      <c r="H1361" s="252">
        <f t="shared" si="43"/>
        <v>5.207687538747674E-3</v>
      </c>
    </row>
    <row r="1362" spans="2:8" x14ac:dyDescent="0.3">
      <c r="B1362" s="440">
        <v>44515</v>
      </c>
      <c r="C1362" s="363">
        <v>18109.45</v>
      </c>
      <c r="D1362" s="252">
        <f t="shared" si="42"/>
        <v>3.7010951374805146E-4</v>
      </c>
      <c r="F1362" s="440">
        <v>44516</v>
      </c>
      <c r="G1362" s="170">
        <v>798.45</v>
      </c>
      <c r="H1362" s="252">
        <f t="shared" si="43"/>
        <v>-1.5110398421117499E-2</v>
      </c>
    </row>
    <row r="1363" spans="2:8" x14ac:dyDescent="0.3">
      <c r="B1363" s="440">
        <v>44516</v>
      </c>
      <c r="C1363" s="363">
        <v>17999.2</v>
      </c>
      <c r="D1363" s="252">
        <f t="shared" si="42"/>
        <v>-6.0879816891180605E-3</v>
      </c>
      <c r="F1363" s="440">
        <v>44517</v>
      </c>
      <c r="G1363" s="170">
        <v>791.35</v>
      </c>
      <c r="H1363" s="252">
        <f t="shared" si="43"/>
        <v>-8.8922286930929184E-3</v>
      </c>
    </row>
    <row r="1364" spans="2:8" x14ac:dyDescent="0.3">
      <c r="B1364" s="440">
        <v>44517</v>
      </c>
      <c r="C1364" s="363">
        <v>17898.650000000001</v>
      </c>
      <c r="D1364" s="252">
        <f t="shared" si="42"/>
        <v>-5.5863593937507394E-3</v>
      </c>
      <c r="F1364" s="440">
        <v>44518</v>
      </c>
      <c r="G1364" s="170">
        <v>790.65</v>
      </c>
      <c r="H1364" s="252">
        <f t="shared" si="43"/>
        <v>-8.8456435205663819E-4</v>
      </c>
    </row>
    <row r="1365" spans="2:8" x14ac:dyDescent="0.3">
      <c r="B1365" s="440">
        <v>44518</v>
      </c>
      <c r="C1365" s="363">
        <v>17764.8</v>
      </c>
      <c r="D1365" s="252">
        <f t="shared" si="42"/>
        <v>-7.4782176309388104E-3</v>
      </c>
      <c r="F1365" s="440">
        <v>44522</v>
      </c>
      <c r="G1365" s="170">
        <v>770.75</v>
      </c>
      <c r="H1365" s="252">
        <f t="shared" si="43"/>
        <v>-2.5169164611395622E-2</v>
      </c>
    </row>
    <row r="1366" spans="2:8" x14ac:dyDescent="0.3">
      <c r="B1366" s="440">
        <v>44522</v>
      </c>
      <c r="C1366" s="363">
        <v>17416.55</v>
      </c>
      <c r="D1366" s="252">
        <f t="shared" si="42"/>
        <v>-1.9603372962262444E-2</v>
      </c>
      <c r="F1366" s="440">
        <v>44523</v>
      </c>
      <c r="G1366" s="170">
        <v>785.2</v>
      </c>
      <c r="H1366" s="252">
        <f t="shared" si="43"/>
        <v>1.8747972753811348E-2</v>
      </c>
    </row>
    <row r="1367" spans="2:8" x14ac:dyDescent="0.3">
      <c r="B1367" s="440">
        <v>44523</v>
      </c>
      <c r="C1367" s="363">
        <v>17503.349999999999</v>
      </c>
      <c r="D1367" s="252">
        <f t="shared" si="42"/>
        <v>4.9837654414910393E-3</v>
      </c>
      <c r="F1367" s="440">
        <v>44524</v>
      </c>
      <c r="G1367" s="170">
        <v>778.95</v>
      </c>
      <c r="H1367" s="252">
        <f t="shared" si="43"/>
        <v>-7.9597554763117806E-3</v>
      </c>
    </row>
    <row r="1368" spans="2:8" x14ac:dyDescent="0.3">
      <c r="B1368" s="440">
        <v>44524</v>
      </c>
      <c r="C1368" s="363">
        <v>17415.05</v>
      </c>
      <c r="D1368" s="252">
        <f t="shared" si="42"/>
        <v>-5.0447485767010081E-3</v>
      </c>
      <c r="F1368" s="440">
        <v>44525</v>
      </c>
      <c r="G1368" s="170">
        <v>782.9</v>
      </c>
      <c r="H1368" s="252">
        <f t="shared" si="43"/>
        <v>5.0709288144294984E-3</v>
      </c>
    </row>
    <row r="1369" spans="2:8" x14ac:dyDescent="0.3">
      <c r="B1369" s="440">
        <v>44525</v>
      </c>
      <c r="C1369" s="363">
        <v>17536.25</v>
      </c>
      <c r="D1369" s="252">
        <f t="shared" si="42"/>
        <v>6.959497675860904E-3</v>
      </c>
      <c r="F1369" s="440">
        <v>44526</v>
      </c>
      <c r="G1369" s="170">
        <v>767.3</v>
      </c>
      <c r="H1369" s="252">
        <f t="shared" si="43"/>
        <v>-1.9925916464427207E-2</v>
      </c>
    </row>
    <row r="1370" spans="2:8" x14ac:dyDescent="0.3">
      <c r="B1370" s="440">
        <v>44526</v>
      </c>
      <c r="C1370" s="363">
        <v>17026.45</v>
      </c>
      <c r="D1370" s="252">
        <f t="shared" si="42"/>
        <v>-2.9071209637180129E-2</v>
      </c>
      <c r="F1370" s="440">
        <v>44529</v>
      </c>
      <c r="G1370" s="170">
        <v>751.05</v>
      </c>
      <c r="H1370" s="252">
        <f t="shared" si="43"/>
        <v>-2.1178157174507994E-2</v>
      </c>
    </row>
    <row r="1371" spans="2:8" x14ac:dyDescent="0.3">
      <c r="B1371" s="440">
        <v>44529</v>
      </c>
      <c r="C1371" s="363">
        <v>17053.95</v>
      </c>
      <c r="D1371" s="252">
        <f t="shared" si="42"/>
        <v>1.6151341001793273E-3</v>
      </c>
      <c r="F1371" s="440">
        <v>44530</v>
      </c>
      <c r="G1371" s="170">
        <v>753.6</v>
      </c>
      <c r="H1371" s="252">
        <f t="shared" si="43"/>
        <v>3.3952466546836035E-3</v>
      </c>
    </row>
    <row r="1372" spans="2:8" x14ac:dyDescent="0.3">
      <c r="B1372" s="440">
        <v>44530</v>
      </c>
      <c r="C1372" s="363">
        <v>16983.2</v>
      </c>
      <c r="D1372" s="252">
        <f t="shared" si="42"/>
        <v>-4.1485990049225929E-3</v>
      </c>
      <c r="F1372" s="440">
        <v>44531</v>
      </c>
      <c r="G1372" s="170">
        <v>745.35</v>
      </c>
      <c r="H1372" s="252">
        <f t="shared" si="43"/>
        <v>-1.0947452229299381E-2</v>
      </c>
    </row>
    <row r="1373" spans="2:8" x14ac:dyDescent="0.3">
      <c r="B1373" s="440">
        <v>44531</v>
      </c>
      <c r="C1373" s="363">
        <v>17166.900000000001</v>
      </c>
      <c r="D1373" s="252">
        <f t="shared" si="42"/>
        <v>1.0816571670827724E-2</v>
      </c>
      <c r="F1373" s="440">
        <v>44532</v>
      </c>
      <c r="G1373" s="170">
        <v>766.25</v>
      </c>
      <c r="H1373" s="252">
        <f t="shared" si="43"/>
        <v>2.8040517877507165E-2</v>
      </c>
    </row>
    <row r="1374" spans="2:8" x14ac:dyDescent="0.3">
      <c r="B1374" s="440">
        <v>44532</v>
      </c>
      <c r="C1374" s="363">
        <v>17401.650000000001</v>
      </c>
      <c r="D1374" s="252">
        <f t="shared" si="42"/>
        <v>1.3674571413592407E-2</v>
      </c>
      <c r="F1374" s="440">
        <v>44533</v>
      </c>
      <c r="G1374" s="170">
        <v>751.8</v>
      </c>
      <c r="H1374" s="252">
        <f t="shared" si="43"/>
        <v>-1.8858075040783073E-2</v>
      </c>
    </row>
    <row r="1375" spans="2:8" x14ac:dyDescent="0.3">
      <c r="B1375" s="440">
        <v>44533</v>
      </c>
      <c r="C1375" s="363">
        <v>17196.7</v>
      </c>
      <c r="D1375" s="252">
        <f t="shared" si="42"/>
        <v>-1.1777618789022948E-2</v>
      </c>
      <c r="F1375" s="440">
        <v>44536</v>
      </c>
      <c r="G1375" s="170">
        <v>737.15</v>
      </c>
      <c r="H1375" s="252">
        <f t="shared" si="43"/>
        <v>-1.9486565575951076E-2</v>
      </c>
    </row>
    <row r="1376" spans="2:8" x14ac:dyDescent="0.3">
      <c r="B1376" s="440">
        <v>44536</v>
      </c>
      <c r="C1376" s="363">
        <v>16912.25</v>
      </c>
      <c r="D1376" s="252">
        <f t="shared" si="42"/>
        <v>-1.6540964254769808E-2</v>
      </c>
      <c r="F1376" s="440">
        <v>44537</v>
      </c>
      <c r="G1376" s="170">
        <v>743.7</v>
      </c>
      <c r="H1376" s="252">
        <f t="shared" si="43"/>
        <v>8.8855728142169799E-3</v>
      </c>
    </row>
    <row r="1377" spans="2:8" x14ac:dyDescent="0.3">
      <c r="B1377" s="440">
        <v>44537</v>
      </c>
      <c r="C1377" s="363">
        <v>17176.7</v>
      </c>
      <c r="D1377" s="252">
        <f t="shared" si="42"/>
        <v>1.5636594775976009E-2</v>
      </c>
      <c r="F1377" s="440">
        <v>44538</v>
      </c>
      <c r="G1377" s="170">
        <v>757.55</v>
      </c>
      <c r="H1377" s="252">
        <f t="shared" si="43"/>
        <v>1.8623100712652718E-2</v>
      </c>
    </row>
    <row r="1378" spans="2:8" x14ac:dyDescent="0.3">
      <c r="B1378" s="440">
        <v>44538</v>
      </c>
      <c r="C1378" s="363">
        <v>17469.75</v>
      </c>
      <c r="D1378" s="252">
        <f t="shared" si="42"/>
        <v>1.7060902268771105E-2</v>
      </c>
      <c r="F1378" s="440">
        <v>44539</v>
      </c>
      <c r="G1378" s="170">
        <v>759.75</v>
      </c>
      <c r="H1378" s="252">
        <f t="shared" si="43"/>
        <v>2.9040987393571527E-3</v>
      </c>
    </row>
    <row r="1379" spans="2:8" x14ac:dyDescent="0.3">
      <c r="B1379" s="440">
        <v>44539</v>
      </c>
      <c r="C1379" s="363">
        <v>17516.849999999999</v>
      </c>
      <c r="D1379" s="252">
        <f t="shared" si="42"/>
        <v>2.6960889537628319E-3</v>
      </c>
      <c r="F1379" s="440">
        <v>44540</v>
      </c>
      <c r="G1379" s="170">
        <v>761.35</v>
      </c>
      <c r="H1379" s="252">
        <f t="shared" si="43"/>
        <v>2.1059559065481626E-3</v>
      </c>
    </row>
    <row r="1380" spans="2:8" x14ac:dyDescent="0.3">
      <c r="B1380" s="440">
        <v>44540</v>
      </c>
      <c r="C1380" s="363">
        <v>17511.3</v>
      </c>
      <c r="D1380" s="252">
        <f t="shared" si="42"/>
        <v>-3.1683778761593118E-4</v>
      </c>
      <c r="F1380" s="440">
        <v>44543</v>
      </c>
      <c r="G1380" s="170">
        <v>762.6</v>
      </c>
      <c r="H1380" s="252">
        <f t="shared" si="43"/>
        <v>1.6418204505155298E-3</v>
      </c>
    </row>
    <row r="1381" spans="2:8" x14ac:dyDescent="0.3">
      <c r="B1381" s="440">
        <v>44543</v>
      </c>
      <c r="C1381" s="363">
        <v>17368.25</v>
      </c>
      <c r="D1381" s="252">
        <f t="shared" si="42"/>
        <v>-8.1690108672685113E-3</v>
      </c>
      <c r="F1381" s="440">
        <v>44544</v>
      </c>
      <c r="G1381" s="170">
        <v>756.05</v>
      </c>
      <c r="H1381" s="252">
        <f t="shared" si="43"/>
        <v>-8.5890375032783295E-3</v>
      </c>
    </row>
    <row r="1382" spans="2:8" x14ac:dyDescent="0.3">
      <c r="B1382" s="440">
        <v>44544</v>
      </c>
      <c r="C1382" s="363">
        <v>17324.900000000001</v>
      </c>
      <c r="D1382" s="252">
        <f t="shared" si="42"/>
        <v>-2.4959336720740133E-3</v>
      </c>
      <c r="F1382" s="440">
        <v>44545</v>
      </c>
      <c r="G1382" s="170">
        <v>775.1</v>
      </c>
      <c r="H1382" s="252">
        <f t="shared" si="43"/>
        <v>2.5196746246941348E-2</v>
      </c>
    </row>
    <row r="1383" spans="2:8" x14ac:dyDescent="0.3">
      <c r="B1383" s="440">
        <v>44545</v>
      </c>
      <c r="C1383" s="363">
        <v>17221.400000000001</v>
      </c>
      <c r="D1383" s="252">
        <f t="shared" si="42"/>
        <v>-5.9740604563374156E-3</v>
      </c>
      <c r="F1383" s="440">
        <v>44546</v>
      </c>
      <c r="G1383" s="170">
        <v>764.45</v>
      </c>
      <c r="H1383" s="252">
        <f t="shared" si="43"/>
        <v>-1.37401625596697E-2</v>
      </c>
    </row>
    <row r="1384" spans="2:8" x14ac:dyDescent="0.3">
      <c r="B1384" s="440">
        <v>44546</v>
      </c>
      <c r="C1384" s="363">
        <v>17248.400000000001</v>
      </c>
      <c r="D1384" s="252">
        <f t="shared" si="42"/>
        <v>1.5678167860917469E-3</v>
      </c>
      <c r="F1384" s="440">
        <v>44547</v>
      </c>
      <c r="G1384" s="170">
        <v>768.95</v>
      </c>
      <c r="H1384" s="252">
        <f t="shared" si="43"/>
        <v>5.8865851265614832E-3</v>
      </c>
    </row>
    <row r="1385" spans="2:8" x14ac:dyDescent="0.3">
      <c r="B1385" s="440">
        <v>44547</v>
      </c>
      <c r="C1385" s="363">
        <v>16985.2</v>
      </c>
      <c r="D1385" s="252">
        <f t="shared" si="42"/>
        <v>-1.5259386377866946E-2</v>
      </c>
      <c r="F1385" s="440">
        <v>44550</v>
      </c>
      <c r="G1385" s="170">
        <v>763.95</v>
      </c>
      <c r="H1385" s="252">
        <f t="shared" si="43"/>
        <v>-6.5023733662786798E-3</v>
      </c>
    </row>
    <row r="1386" spans="2:8" x14ac:dyDescent="0.3">
      <c r="B1386" s="440">
        <v>44550</v>
      </c>
      <c r="C1386" s="363">
        <v>16614.2</v>
      </c>
      <c r="D1386" s="252">
        <f t="shared" si="42"/>
        <v>-2.1842545274709746E-2</v>
      </c>
      <c r="F1386" s="440">
        <v>44551</v>
      </c>
      <c r="G1386" s="170">
        <v>778.55</v>
      </c>
      <c r="H1386" s="252">
        <f t="shared" si="43"/>
        <v>1.9111198376857041E-2</v>
      </c>
    </row>
    <row r="1387" spans="2:8" x14ac:dyDescent="0.3">
      <c r="B1387" s="440">
        <v>44551</v>
      </c>
      <c r="C1387" s="363">
        <v>16770.849999999999</v>
      </c>
      <c r="D1387" s="252">
        <f t="shared" si="42"/>
        <v>9.4286814893282944E-3</v>
      </c>
      <c r="F1387" s="440">
        <v>44552</v>
      </c>
      <c r="G1387" s="170">
        <v>797.5</v>
      </c>
      <c r="H1387" s="252">
        <f t="shared" si="43"/>
        <v>2.434011945282899E-2</v>
      </c>
    </row>
    <row r="1388" spans="2:8" x14ac:dyDescent="0.3">
      <c r="B1388" s="440">
        <v>44552</v>
      </c>
      <c r="C1388" s="363">
        <v>16955.45</v>
      </c>
      <c r="D1388" s="252">
        <f t="shared" si="42"/>
        <v>1.1007194030117962E-2</v>
      </c>
      <c r="F1388" s="440">
        <v>44553</v>
      </c>
      <c r="G1388" s="170">
        <v>792.45</v>
      </c>
      <c r="H1388" s="252">
        <f t="shared" si="43"/>
        <v>-6.3322884012538827E-3</v>
      </c>
    </row>
    <row r="1389" spans="2:8" x14ac:dyDescent="0.3">
      <c r="B1389" s="440">
        <v>44553</v>
      </c>
      <c r="C1389" s="363">
        <v>17072.599999999999</v>
      </c>
      <c r="D1389" s="252">
        <f t="shared" si="42"/>
        <v>6.9092828559547126E-3</v>
      </c>
      <c r="F1389" s="440">
        <v>44554</v>
      </c>
      <c r="G1389" s="170">
        <v>785.4</v>
      </c>
      <c r="H1389" s="252">
        <f t="shared" si="43"/>
        <v>-8.8964603445013113E-3</v>
      </c>
    </row>
    <row r="1390" spans="2:8" x14ac:dyDescent="0.3">
      <c r="B1390" s="440">
        <v>44554</v>
      </c>
      <c r="C1390" s="363">
        <v>17003.75</v>
      </c>
      <c r="D1390" s="252">
        <f t="shared" si="42"/>
        <v>-4.0327776671390536E-3</v>
      </c>
      <c r="F1390" s="440">
        <v>44557</v>
      </c>
      <c r="G1390" s="170">
        <v>794.1</v>
      </c>
      <c r="H1390" s="252">
        <f t="shared" si="43"/>
        <v>1.1077158135981646E-2</v>
      </c>
    </row>
    <row r="1391" spans="2:8" x14ac:dyDescent="0.3">
      <c r="B1391" s="440">
        <v>44557</v>
      </c>
      <c r="C1391" s="363">
        <v>17086.25</v>
      </c>
      <c r="D1391" s="252">
        <f t="shared" si="42"/>
        <v>4.8518709108285041E-3</v>
      </c>
      <c r="F1391" s="440">
        <v>44558</v>
      </c>
      <c r="G1391" s="170">
        <v>815.1</v>
      </c>
      <c r="H1391" s="252">
        <f t="shared" si="43"/>
        <v>2.6445032111824807E-2</v>
      </c>
    </row>
    <row r="1392" spans="2:8" x14ac:dyDescent="0.3">
      <c r="B1392" s="440">
        <v>44558</v>
      </c>
      <c r="C1392" s="363">
        <v>17233.25</v>
      </c>
      <c r="D1392" s="252">
        <f t="shared" si="42"/>
        <v>8.6034091740434526E-3</v>
      </c>
      <c r="F1392" s="440">
        <v>44559</v>
      </c>
      <c r="G1392" s="170">
        <v>838.8</v>
      </c>
      <c r="H1392" s="252">
        <f t="shared" si="43"/>
        <v>2.9076186970923734E-2</v>
      </c>
    </row>
    <row r="1393" spans="2:8" x14ac:dyDescent="0.3">
      <c r="B1393" s="440">
        <v>44559</v>
      </c>
      <c r="C1393" s="363">
        <v>17213.599999999999</v>
      </c>
      <c r="D1393" s="252">
        <f t="shared" si="42"/>
        <v>-1.1402376220388533E-3</v>
      </c>
      <c r="F1393" s="440">
        <v>44560</v>
      </c>
      <c r="G1393" s="170">
        <v>834.45</v>
      </c>
      <c r="H1393" s="252">
        <f t="shared" si="43"/>
        <v>-5.1859799713875887E-3</v>
      </c>
    </row>
    <row r="1394" spans="2:8" x14ac:dyDescent="0.3">
      <c r="B1394" s="440">
        <v>44560</v>
      </c>
      <c r="C1394" s="363">
        <v>17203.95</v>
      </c>
      <c r="D1394" s="252">
        <f t="shared" si="42"/>
        <v>-5.6060324394646699E-4</v>
      </c>
      <c r="F1394" s="440">
        <v>44561</v>
      </c>
      <c r="G1394" s="170">
        <v>845.7</v>
      </c>
      <c r="H1394" s="252">
        <f t="shared" si="43"/>
        <v>1.3481934208161128E-2</v>
      </c>
    </row>
    <row r="1395" spans="2:8" x14ac:dyDescent="0.3">
      <c r="B1395" s="440">
        <v>44561</v>
      </c>
      <c r="C1395" s="363">
        <v>17354.05</v>
      </c>
      <c r="D1395" s="252">
        <f t="shared" si="42"/>
        <v>8.7247405392365529E-3</v>
      </c>
      <c r="F1395" s="440">
        <v>44564</v>
      </c>
      <c r="G1395" s="170">
        <v>848.95</v>
      </c>
      <c r="H1395" s="252">
        <f t="shared" si="43"/>
        <v>3.8429703204445609E-3</v>
      </c>
    </row>
    <row r="1396" spans="2:8" x14ac:dyDescent="0.3">
      <c r="B1396" s="440">
        <v>44564</v>
      </c>
      <c r="C1396" s="363">
        <v>17625.7</v>
      </c>
      <c r="D1396" s="252">
        <f t="shared" si="42"/>
        <v>1.5653406553513438E-2</v>
      </c>
      <c r="F1396" s="440">
        <v>44565</v>
      </c>
      <c r="G1396" s="170">
        <v>837.7</v>
      </c>
      <c r="H1396" s="252">
        <f t="shared" si="43"/>
        <v>-1.3251663820012971E-2</v>
      </c>
    </row>
    <row r="1397" spans="2:8" x14ac:dyDescent="0.3">
      <c r="B1397" s="440">
        <v>44565</v>
      </c>
      <c r="C1397" s="363">
        <v>17805.25</v>
      </c>
      <c r="D1397" s="252">
        <f t="shared" si="42"/>
        <v>1.0186829459255531E-2</v>
      </c>
      <c r="F1397" s="440">
        <v>44566</v>
      </c>
      <c r="G1397" s="170">
        <v>835.1</v>
      </c>
      <c r="H1397" s="252">
        <f t="shared" si="43"/>
        <v>-3.103736421153136E-3</v>
      </c>
    </row>
    <row r="1398" spans="2:8" x14ac:dyDescent="0.3">
      <c r="B1398" s="440">
        <v>44566</v>
      </c>
      <c r="C1398" s="363">
        <v>17925.25</v>
      </c>
      <c r="D1398" s="252">
        <f t="shared" si="42"/>
        <v>6.7395852346920915E-3</v>
      </c>
      <c r="F1398" s="440">
        <v>44567</v>
      </c>
      <c r="G1398" s="170">
        <v>829.6</v>
      </c>
      <c r="H1398" s="252">
        <f t="shared" si="43"/>
        <v>-6.5860376002874199E-3</v>
      </c>
    </row>
    <row r="1399" spans="2:8" x14ac:dyDescent="0.3">
      <c r="B1399" s="440">
        <v>44567</v>
      </c>
      <c r="C1399" s="363">
        <v>17745.900000000001</v>
      </c>
      <c r="D1399" s="252">
        <f t="shared" si="42"/>
        <v>-1.0005439254682558E-2</v>
      </c>
      <c r="F1399" s="440">
        <v>44568</v>
      </c>
      <c r="G1399" s="170">
        <v>828.95</v>
      </c>
      <c r="H1399" s="252">
        <f t="shared" si="43"/>
        <v>-7.8351012536159725E-4</v>
      </c>
    </row>
    <row r="1400" spans="2:8" x14ac:dyDescent="0.3">
      <c r="B1400" s="440">
        <v>44568</v>
      </c>
      <c r="C1400" s="363">
        <v>17812.7</v>
      </c>
      <c r="D1400" s="252">
        <f t="shared" si="42"/>
        <v>3.7642497703693767E-3</v>
      </c>
      <c r="F1400" s="440">
        <v>44571</v>
      </c>
      <c r="G1400" s="170">
        <v>826.7</v>
      </c>
      <c r="H1400" s="252">
        <f t="shared" si="43"/>
        <v>-2.7142770975330244E-3</v>
      </c>
    </row>
    <row r="1401" spans="2:8" x14ac:dyDescent="0.3">
      <c r="B1401" s="440">
        <v>44571</v>
      </c>
      <c r="C1401" s="363">
        <v>18003.3</v>
      </c>
      <c r="D1401" s="252">
        <f t="shared" si="42"/>
        <v>1.0700230734251415E-2</v>
      </c>
      <c r="F1401" s="440">
        <v>44572</v>
      </c>
      <c r="G1401" s="170">
        <v>832.4</v>
      </c>
      <c r="H1401" s="252">
        <f t="shared" si="43"/>
        <v>6.894883270835761E-3</v>
      </c>
    </row>
    <row r="1402" spans="2:8" x14ac:dyDescent="0.3">
      <c r="B1402" s="440">
        <v>44572</v>
      </c>
      <c r="C1402" s="363">
        <v>18055.75</v>
      </c>
      <c r="D1402" s="252">
        <f t="shared" si="42"/>
        <v>2.9133547738471322E-3</v>
      </c>
      <c r="F1402" s="440">
        <v>44573</v>
      </c>
      <c r="G1402" s="170">
        <v>836.2</v>
      </c>
      <c r="H1402" s="252">
        <f t="shared" si="43"/>
        <v>4.5651129264776547E-3</v>
      </c>
    </row>
    <row r="1403" spans="2:8" x14ac:dyDescent="0.3">
      <c r="B1403" s="440">
        <v>44573</v>
      </c>
      <c r="C1403" s="363">
        <v>18212.349999999999</v>
      </c>
      <c r="D1403" s="252">
        <f t="shared" si="42"/>
        <v>8.6731373662130018E-3</v>
      </c>
      <c r="F1403" s="440">
        <v>44574</v>
      </c>
      <c r="G1403" s="170">
        <v>865.5</v>
      </c>
      <c r="H1403" s="252">
        <f t="shared" si="43"/>
        <v>3.5039464243004081E-2</v>
      </c>
    </row>
    <row r="1404" spans="2:8" x14ac:dyDescent="0.3">
      <c r="B1404" s="440">
        <v>44574</v>
      </c>
      <c r="C1404" s="363">
        <v>18257.8</v>
      </c>
      <c r="D1404" s="252">
        <f t="shared" si="42"/>
        <v>2.495559331991748E-3</v>
      </c>
      <c r="F1404" s="440">
        <v>44575</v>
      </c>
      <c r="G1404" s="170">
        <v>859.75</v>
      </c>
      <c r="H1404" s="252">
        <f t="shared" si="43"/>
        <v>-6.6435586366262456E-3</v>
      </c>
    </row>
    <row r="1405" spans="2:8" x14ac:dyDescent="0.3">
      <c r="B1405" s="440">
        <v>44575</v>
      </c>
      <c r="C1405" s="363">
        <v>18255.75</v>
      </c>
      <c r="D1405" s="252">
        <f t="shared" si="42"/>
        <v>-1.1228077862612817E-4</v>
      </c>
      <c r="F1405" s="440">
        <v>44578</v>
      </c>
      <c r="G1405" s="170">
        <v>853.2</v>
      </c>
      <c r="H1405" s="252">
        <f t="shared" si="43"/>
        <v>-7.6184937481825754E-3</v>
      </c>
    </row>
    <row r="1406" spans="2:8" x14ac:dyDescent="0.3">
      <c r="B1406" s="440">
        <v>44578</v>
      </c>
      <c r="C1406" s="363">
        <v>18308.099999999999</v>
      </c>
      <c r="D1406" s="252">
        <f t="shared" si="42"/>
        <v>2.8675896635306231E-3</v>
      </c>
      <c r="F1406" s="440">
        <v>44579</v>
      </c>
      <c r="G1406" s="170">
        <v>846.7</v>
      </c>
      <c r="H1406" s="252">
        <f t="shared" si="43"/>
        <v>-7.6183778715424033E-3</v>
      </c>
    </row>
    <row r="1407" spans="2:8" x14ac:dyDescent="0.3">
      <c r="B1407" s="440">
        <v>44579</v>
      </c>
      <c r="C1407" s="363">
        <v>18113.05</v>
      </c>
      <c r="D1407" s="252">
        <f t="shared" si="42"/>
        <v>-1.0653754349167821E-2</v>
      </c>
      <c r="F1407" s="440">
        <v>44580</v>
      </c>
      <c r="G1407" s="170">
        <v>838.5</v>
      </c>
      <c r="H1407" s="252">
        <f t="shared" si="43"/>
        <v>-9.6846580843273911E-3</v>
      </c>
    </row>
    <row r="1408" spans="2:8" x14ac:dyDescent="0.3">
      <c r="B1408" s="440">
        <v>44580</v>
      </c>
      <c r="C1408" s="363">
        <v>17938.400000000001</v>
      </c>
      <c r="D1408" s="252">
        <f t="shared" si="42"/>
        <v>-9.6422192838863108E-3</v>
      </c>
      <c r="F1408" s="440">
        <v>44581</v>
      </c>
      <c r="G1408" s="170">
        <v>820</v>
      </c>
      <c r="H1408" s="252">
        <f t="shared" si="43"/>
        <v>-2.2063208109719734E-2</v>
      </c>
    </row>
    <row r="1409" spans="2:8" x14ac:dyDescent="0.3">
      <c r="B1409" s="440">
        <v>44581</v>
      </c>
      <c r="C1409" s="363">
        <v>17757</v>
      </c>
      <c r="D1409" s="252">
        <f t="shared" si="42"/>
        <v>-1.0112384605093117E-2</v>
      </c>
      <c r="F1409" s="440">
        <v>44582</v>
      </c>
      <c r="G1409" s="170">
        <v>808.75</v>
      </c>
      <c r="H1409" s="252">
        <f t="shared" si="43"/>
        <v>-1.3719512195121908E-2</v>
      </c>
    </row>
    <row r="1410" spans="2:8" x14ac:dyDescent="0.3">
      <c r="B1410" s="440">
        <v>44582</v>
      </c>
      <c r="C1410" s="363">
        <v>17617.150000000001</v>
      </c>
      <c r="D1410" s="252">
        <f t="shared" si="42"/>
        <v>-7.875767303035297E-3</v>
      </c>
      <c r="F1410" s="440">
        <v>44585</v>
      </c>
      <c r="G1410" s="170">
        <v>800.85</v>
      </c>
      <c r="H1410" s="252">
        <f t="shared" si="43"/>
        <v>-9.7681607418855787E-3</v>
      </c>
    </row>
    <row r="1411" spans="2:8" x14ac:dyDescent="0.3">
      <c r="B1411" s="440">
        <v>44585</v>
      </c>
      <c r="C1411" s="363">
        <v>17149.099999999999</v>
      </c>
      <c r="D1411" s="252">
        <f t="shared" si="42"/>
        <v>-2.6567861430481288E-2</v>
      </c>
      <c r="F1411" s="440">
        <v>44586</v>
      </c>
      <c r="G1411" s="170">
        <v>808.05</v>
      </c>
      <c r="H1411" s="252">
        <f t="shared" si="43"/>
        <v>8.9904476493725127E-3</v>
      </c>
    </row>
    <row r="1412" spans="2:8" x14ac:dyDescent="0.3">
      <c r="B1412" s="440">
        <v>44586</v>
      </c>
      <c r="C1412" s="363">
        <v>17277.95</v>
      </c>
      <c r="D1412" s="252">
        <f t="shared" si="42"/>
        <v>7.5135138287141245E-3</v>
      </c>
      <c r="F1412" s="440">
        <v>44588</v>
      </c>
      <c r="G1412" s="170">
        <v>812.1</v>
      </c>
      <c r="H1412" s="252">
        <f t="shared" si="43"/>
        <v>5.0120660850194731E-3</v>
      </c>
    </row>
    <row r="1413" spans="2:8" x14ac:dyDescent="0.3">
      <c r="B1413" s="440">
        <v>44588</v>
      </c>
      <c r="C1413" s="363">
        <v>17110.150000000001</v>
      </c>
      <c r="D1413" s="252">
        <f t="shared" si="42"/>
        <v>-9.7118003003827669E-3</v>
      </c>
      <c r="F1413" s="440">
        <v>44589</v>
      </c>
      <c r="G1413" s="170">
        <v>827.35</v>
      </c>
      <c r="H1413" s="252">
        <f t="shared" si="43"/>
        <v>1.8778475557197361E-2</v>
      </c>
    </row>
    <row r="1414" spans="2:8" x14ac:dyDescent="0.3">
      <c r="B1414" s="440">
        <v>44589</v>
      </c>
      <c r="C1414" s="363">
        <v>17101.95</v>
      </c>
      <c r="D1414" s="252">
        <f t="shared" si="42"/>
        <v>-4.7924769800389289E-4</v>
      </c>
      <c r="F1414" s="440">
        <v>44592</v>
      </c>
      <c r="G1414" s="170">
        <v>834.5</v>
      </c>
      <c r="H1414" s="252">
        <f t="shared" si="43"/>
        <v>8.6420499184141075E-3</v>
      </c>
    </row>
    <row r="1415" spans="2:8" x14ac:dyDescent="0.3">
      <c r="B1415" s="440">
        <v>44592</v>
      </c>
      <c r="C1415" s="363">
        <v>17339.849999999999</v>
      </c>
      <c r="D1415" s="252">
        <f t="shared" si="42"/>
        <v>1.3910694394498657E-2</v>
      </c>
      <c r="F1415" s="440">
        <v>44593</v>
      </c>
      <c r="G1415" s="170">
        <v>891.75</v>
      </c>
      <c r="H1415" s="252">
        <f t="shared" si="43"/>
        <v>6.8603954463750672E-2</v>
      </c>
    </row>
    <row r="1416" spans="2:8" x14ac:dyDescent="0.3">
      <c r="B1416" s="440">
        <v>44593</v>
      </c>
      <c r="C1416" s="363">
        <v>17576.849999999999</v>
      </c>
      <c r="D1416" s="252">
        <f t="shared" si="42"/>
        <v>1.3667938303964622E-2</v>
      </c>
      <c r="F1416" s="440">
        <v>44594</v>
      </c>
      <c r="G1416" s="170">
        <v>890.65</v>
      </c>
      <c r="H1416" s="252">
        <f t="shared" si="43"/>
        <v>-1.2335295766751075E-3</v>
      </c>
    </row>
    <row r="1417" spans="2:8" x14ac:dyDescent="0.3">
      <c r="B1417" s="440">
        <v>44594</v>
      </c>
      <c r="C1417" s="363">
        <v>17780</v>
      </c>
      <c r="D1417" s="252">
        <f t="shared" si="42"/>
        <v>1.1557816104706076E-2</v>
      </c>
      <c r="F1417" s="440">
        <v>44595</v>
      </c>
      <c r="G1417" s="170">
        <v>883.55</v>
      </c>
      <c r="H1417" s="252">
        <f t="shared" si="43"/>
        <v>-7.9717060573738507E-3</v>
      </c>
    </row>
    <row r="1418" spans="2:8" x14ac:dyDescent="0.3">
      <c r="B1418" s="440">
        <v>44595</v>
      </c>
      <c r="C1418" s="363">
        <v>17560.2</v>
      </c>
      <c r="D1418" s="252">
        <f t="shared" si="42"/>
        <v>-1.2362204724409409E-2</v>
      </c>
      <c r="F1418" s="440">
        <v>44596</v>
      </c>
      <c r="G1418" s="170">
        <v>893.95</v>
      </c>
      <c r="H1418" s="252">
        <f t="shared" si="43"/>
        <v>1.1770697753381354E-2</v>
      </c>
    </row>
    <row r="1419" spans="2:8" x14ac:dyDescent="0.3">
      <c r="B1419" s="440">
        <v>44596</v>
      </c>
      <c r="C1419" s="363">
        <v>17516.3</v>
      </c>
      <c r="D1419" s="252">
        <f t="shared" ref="D1419:D1482" si="44">C1419/C1418-1</f>
        <v>-2.4999715265202616E-3</v>
      </c>
      <c r="F1419" s="440">
        <v>44599</v>
      </c>
      <c r="G1419" s="170">
        <v>887.05</v>
      </c>
      <c r="H1419" s="252">
        <f t="shared" ref="H1419:H1482" si="45">G1419/G1418-1</f>
        <v>-7.7185524917502413E-3</v>
      </c>
    </row>
    <row r="1420" spans="2:8" x14ac:dyDescent="0.3">
      <c r="B1420" s="440">
        <v>44599</v>
      </c>
      <c r="C1420" s="363">
        <v>17213.599999999999</v>
      </c>
      <c r="D1420" s="252">
        <f t="shared" si="44"/>
        <v>-1.7281046796412514E-2</v>
      </c>
      <c r="F1420" s="440">
        <v>44600</v>
      </c>
      <c r="G1420" s="170">
        <v>894.1</v>
      </c>
      <c r="H1420" s="252">
        <f t="shared" si="45"/>
        <v>7.9476917873853026E-3</v>
      </c>
    </row>
    <row r="1421" spans="2:8" x14ac:dyDescent="0.3">
      <c r="B1421" s="440">
        <v>44600</v>
      </c>
      <c r="C1421" s="363">
        <v>17266.75</v>
      </c>
      <c r="D1421" s="252">
        <f t="shared" si="44"/>
        <v>3.0876748617372218E-3</v>
      </c>
      <c r="F1421" s="440">
        <v>44601</v>
      </c>
      <c r="G1421" s="170">
        <v>886.45</v>
      </c>
      <c r="H1421" s="252">
        <f t="shared" si="45"/>
        <v>-8.5560899228274145E-3</v>
      </c>
    </row>
    <row r="1422" spans="2:8" x14ac:dyDescent="0.3">
      <c r="B1422" s="440">
        <v>44601</v>
      </c>
      <c r="C1422" s="363">
        <v>17463.8</v>
      </c>
      <c r="D1422" s="252">
        <f t="shared" si="44"/>
        <v>1.1412107084425305E-2</v>
      </c>
      <c r="F1422" s="440">
        <v>44602</v>
      </c>
      <c r="G1422" s="170">
        <v>894.3</v>
      </c>
      <c r="H1422" s="252">
        <f t="shared" si="45"/>
        <v>8.8555474082010477E-3</v>
      </c>
    </row>
    <row r="1423" spans="2:8" x14ac:dyDescent="0.3">
      <c r="B1423" s="440">
        <v>44602</v>
      </c>
      <c r="C1423" s="363">
        <v>17605.849999999999</v>
      </c>
      <c r="D1423" s="252">
        <f t="shared" si="44"/>
        <v>8.1339685520904759E-3</v>
      </c>
      <c r="F1423" s="440">
        <v>44603</v>
      </c>
      <c r="G1423" s="170">
        <v>880.1</v>
      </c>
      <c r="H1423" s="252">
        <f t="shared" si="45"/>
        <v>-1.587834060158777E-2</v>
      </c>
    </row>
    <row r="1424" spans="2:8" x14ac:dyDescent="0.3">
      <c r="B1424" s="440">
        <v>44603</v>
      </c>
      <c r="C1424" s="363">
        <v>17374.75</v>
      </c>
      <c r="D1424" s="252">
        <f t="shared" si="44"/>
        <v>-1.3126318808804993E-2</v>
      </c>
      <c r="F1424" s="440">
        <v>44606</v>
      </c>
      <c r="G1424" s="170">
        <v>864.85</v>
      </c>
      <c r="H1424" s="252">
        <f t="shared" si="45"/>
        <v>-1.7327576411771406E-2</v>
      </c>
    </row>
    <row r="1425" spans="2:8" x14ac:dyDescent="0.3">
      <c r="B1425" s="440">
        <v>44606</v>
      </c>
      <c r="C1425" s="363">
        <v>16842.8</v>
      </c>
      <c r="D1425" s="252">
        <f t="shared" si="44"/>
        <v>-3.0616267859969293E-2</v>
      </c>
      <c r="F1425" s="440">
        <v>44607</v>
      </c>
      <c r="G1425" s="170">
        <v>876.8</v>
      </c>
      <c r="H1425" s="252">
        <f t="shared" si="45"/>
        <v>1.3817424986991789E-2</v>
      </c>
    </row>
    <row r="1426" spans="2:8" x14ac:dyDescent="0.3">
      <c r="B1426" s="440">
        <v>44607</v>
      </c>
      <c r="C1426" s="363">
        <v>17352.45</v>
      </c>
      <c r="D1426" s="252">
        <f t="shared" si="44"/>
        <v>3.0259220557152133E-2</v>
      </c>
      <c r="F1426" s="440">
        <v>44608</v>
      </c>
      <c r="G1426" s="170">
        <v>868.85</v>
      </c>
      <c r="H1426" s="252">
        <f t="shared" si="45"/>
        <v>-9.0670620437955929E-3</v>
      </c>
    </row>
    <row r="1427" spans="2:8" x14ac:dyDescent="0.3">
      <c r="B1427" s="440">
        <v>44608</v>
      </c>
      <c r="C1427" s="363">
        <v>17322.2</v>
      </c>
      <c r="D1427" s="252">
        <f t="shared" si="44"/>
        <v>-1.7432696823791449E-3</v>
      </c>
      <c r="F1427" s="440">
        <v>44609</v>
      </c>
      <c r="G1427" s="170">
        <v>862.55</v>
      </c>
      <c r="H1427" s="252">
        <f t="shared" si="45"/>
        <v>-7.2509639178225394E-3</v>
      </c>
    </row>
    <row r="1428" spans="2:8" x14ac:dyDescent="0.3">
      <c r="B1428" s="440">
        <v>44609</v>
      </c>
      <c r="C1428" s="363">
        <v>17304.599999999999</v>
      </c>
      <c r="D1428" s="252">
        <f t="shared" si="44"/>
        <v>-1.0160372239093052E-3</v>
      </c>
      <c r="F1428" s="440">
        <v>44610</v>
      </c>
      <c r="G1428" s="170">
        <v>862.9</v>
      </c>
      <c r="H1428" s="252">
        <f t="shared" si="45"/>
        <v>4.0577357834337136E-4</v>
      </c>
    </row>
    <row r="1429" spans="2:8" x14ac:dyDescent="0.3">
      <c r="B1429" s="440">
        <v>44610</v>
      </c>
      <c r="C1429" s="363">
        <v>17276.3</v>
      </c>
      <c r="D1429" s="252">
        <f t="shared" si="44"/>
        <v>-1.6354033031679149E-3</v>
      </c>
      <c r="F1429" s="440">
        <v>44613</v>
      </c>
      <c r="G1429" s="170">
        <v>843.85</v>
      </c>
      <c r="H1429" s="252">
        <f t="shared" si="45"/>
        <v>-2.2076718043805732E-2</v>
      </c>
    </row>
    <row r="1430" spans="2:8" x14ac:dyDescent="0.3">
      <c r="B1430" s="440">
        <v>44613</v>
      </c>
      <c r="C1430" s="363">
        <v>17206.650000000001</v>
      </c>
      <c r="D1430" s="252">
        <f t="shared" si="44"/>
        <v>-4.0315345299628547E-3</v>
      </c>
      <c r="F1430" s="440">
        <v>44614</v>
      </c>
      <c r="G1430" s="170">
        <v>845.8</v>
      </c>
      <c r="H1430" s="252">
        <f t="shared" si="45"/>
        <v>2.3108372341054118E-3</v>
      </c>
    </row>
    <row r="1431" spans="2:8" x14ac:dyDescent="0.3">
      <c r="B1431" s="440">
        <v>44614</v>
      </c>
      <c r="C1431" s="363">
        <v>17092.2</v>
      </c>
      <c r="D1431" s="252">
        <f t="shared" si="44"/>
        <v>-6.651498112648313E-3</v>
      </c>
      <c r="F1431" s="440">
        <v>44615</v>
      </c>
      <c r="G1431" s="170">
        <v>840.25</v>
      </c>
      <c r="H1431" s="252">
        <f t="shared" si="45"/>
        <v>-6.5618349491605166E-3</v>
      </c>
    </row>
    <row r="1432" spans="2:8" x14ac:dyDescent="0.3">
      <c r="B1432" s="440">
        <v>44615</v>
      </c>
      <c r="C1432" s="363">
        <v>17063.25</v>
      </c>
      <c r="D1432" s="252">
        <f t="shared" si="44"/>
        <v>-1.693755046161427E-3</v>
      </c>
      <c r="F1432" s="440">
        <v>44616</v>
      </c>
      <c r="G1432" s="170">
        <v>818.25</v>
      </c>
      <c r="H1432" s="252">
        <f t="shared" si="45"/>
        <v>-2.6182683725081812E-2</v>
      </c>
    </row>
    <row r="1433" spans="2:8" x14ac:dyDescent="0.3">
      <c r="B1433" s="440">
        <v>44616</v>
      </c>
      <c r="C1433" s="363">
        <v>16247.95</v>
      </c>
      <c r="D1433" s="252">
        <f t="shared" si="44"/>
        <v>-4.7781049917219764E-2</v>
      </c>
      <c r="F1433" s="440">
        <v>44617</v>
      </c>
      <c r="G1433" s="170">
        <v>831.55</v>
      </c>
      <c r="H1433" s="252">
        <f t="shared" si="45"/>
        <v>1.6254201038802263E-2</v>
      </c>
    </row>
    <row r="1434" spans="2:8" x14ac:dyDescent="0.3">
      <c r="B1434" s="440">
        <v>44617</v>
      </c>
      <c r="C1434" s="363">
        <v>16658.400000000001</v>
      </c>
      <c r="D1434" s="252">
        <f t="shared" si="44"/>
        <v>2.5261648392566505E-2</v>
      </c>
      <c r="F1434" s="440">
        <v>44620</v>
      </c>
      <c r="G1434" s="170">
        <v>843.9</v>
      </c>
      <c r="H1434" s="252">
        <f t="shared" si="45"/>
        <v>1.485178281522459E-2</v>
      </c>
    </row>
    <row r="1435" spans="2:8" x14ac:dyDescent="0.3">
      <c r="B1435" s="440">
        <v>44620</v>
      </c>
      <c r="C1435" s="363">
        <v>16793.900000000001</v>
      </c>
      <c r="D1435" s="252">
        <f t="shared" si="44"/>
        <v>8.1340344811027254E-3</v>
      </c>
      <c r="F1435" s="440">
        <v>44622</v>
      </c>
      <c r="G1435" s="170">
        <v>820.9</v>
      </c>
      <c r="H1435" s="252">
        <f t="shared" si="45"/>
        <v>-2.7254414030098317E-2</v>
      </c>
    </row>
    <row r="1436" spans="2:8" x14ac:dyDescent="0.3">
      <c r="B1436" s="440">
        <v>44622</v>
      </c>
      <c r="C1436" s="363">
        <v>16605.95</v>
      </c>
      <c r="D1436" s="252">
        <f t="shared" si="44"/>
        <v>-1.1191563603451304E-2</v>
      </c>
      <c r="F1436" s="440">
        <v>44623</v>
      </c>
      <c r="G1436" s="170">
        <v>820.9</v>
      </c>
      <c r="H1436" s="252">
        <f t="shared" si="45"/>
        <v>0</v>
      </c>
    </row>
    <row r="1437" spans="2:8" x14ac:dyDescent="0.3">
      <c r="B1437" s="440">
        <v>44623</v>
      </c>
      <c r="C1437" s="363">
        <v>16498.05</v>
      </c>
      <c r="D1437" s="252">
        <f t="shared" si="44"/>
        <v>-6.4976710155095763E-3</v>
      </c>
      <c r="F1437" s="440">
        <v>44624</v>
      </c>
      <c r="G1437" s="170">
        <v>829.65</v>
      </c>
      <c r="H1437" s="252">
        <f t="shared" si="45"/>
        <v>1.0659032768912224E-2</v>
      </c>
    </row>
    <row r="1438" spans="2:8" x14ac:dyDescent="0.3">
      <c r="B1438" s="440">
        <v>44624</v>
      </c>
      <c r="C1438" s="363">
        <v>16245.35</v>
      </c>
      <c r="D1438" s="252">
        <f t="shared" si="44"/>
        <v>-1.5316961701534404E-2</v>
      </c>
      <c r="F1438" s="440">
        <v>44627</v>
      </c>
      <c r="G1438" s="170">
        <v>822.65</v>
      </c>
      <c r="H1438" s="252">
        <f t="shared" si="45"/>
        <v>-8.4372928343277032E-3</v>
      </c>
    </row>
    <row r="1439" spans="2:8" x14ac:dyDescent="0.3">
      <c r="B1439" s="440">
        <v>44627</v>
      </c>
      <c r="C1439" s="363">
        <v>15863.15</v>
      </c>
      <c r="D1439" s="252">
        <f t="shared" si="44"/>
        <v>-2.3526732264925077E-2</v>
      </c>
      <c r="F1439" s="440">
        <v>44628</v>
      </c>
      <c r="G1439" s="170">
        <v>855</v>
      </c>
      <c r="H1439" s="252">
        <f t="shared" si="45"/>
        <v>3.9324135416033634E-2</v>
      </c>
    </row>
    <row r="1440" spans="2:8" x14ac:dyDescent="0.3">
      <c r="B1440" s="440">
        <v>44628</v>
      </c>
      <c r="C1440" s="363">
        <v>16013.45</v>
      </c>
      <c r="D1440" s="252">
        <f t="shared" si="44"/>
        <v>9.4747890551372116E-3</v>
      </c>
      <c r="F1440" s="440">
        <v>44629</v>
      </c>
      <c r="G1440" s="170">
        <v>868.25</v>
      </c>
      <c r="H1440" s="252">
        <f t="shared" si="45"/>
        <v>1.5497076023391898E-2</v>
      </c>
    </row>
    <row r="1441" spans="2:8" x14ac:dyDescent="0.3">
      <c r="B1441" s="440">
        <v>44629</v>
      </c>
      <c r="C1441" s="363">
        <v>16345.35</v>
      </c>
      <c r="D1441" s="252">
        <f t="shared" si="44"/>
        <v>2.0726326931423289E-2</v>
      </c>
      <c r="F1441" s="440">
        <v>44630</v>
      </c>
      <c r="G1441" s="170">
        <v>869.55</v>
      </c>
      <c r="H1441" s="252">
        <f t="shared" si="45"/>
        <v>1.4972646127267009E-3</v>
      </c>
    </row>
    <row r="1442" spans="2:8" x14ac:dyDescent="0.3">
      <c r="B1442" s="440">
        <v>44630</v>
      </c>
      <c r="C1442" s="363">
        <v>16594.900000000001</v>
      </c>
      <c r="D1442" s="252">
        <f t="shared" si="44"/>
        <v>1.5267339029142901E-2</v>
      </c>
      <c r="F1442" s="440">
        <v>44631</v>
      </c>
      <c r="G1442" s="170">
        <v>902</v>
      </c>
      <c r="H1442" s="252">
        <f t="shared" si="45"/>
        <v>3.7318153067678717E-2</v>
      </c>
    </row>
    <row r="1443" spans="2:8" x14ac:dyDescent="0.3">
      <c r="B1443" s="440">
        <v>44631</v>
      </c>
      <c r="C1443" s="363">
        <v>16630.45</v>
      </c>
      <c r="D1443" s="252">
        <f t="shared" si="44"/>
        <v>2.1422244183453287E-3</v>
      </c>
      <c r="F1443" s="440">
        <v>44634</v>
      </c>
      <c r="G1443" s="170">
        <v>892.25</v>
      </c>
      <c r="H1443" s="252">
        <f t="shared" si="45"/>
        <v>-1.0809312638580981E-2</v>
      </c>
    </row>
    <row r="1444" spans="2:8" x14ac:dyDescent="0.3">
      <c r="B1444" s="440">
        <v>44634</v>
      </c>
      <c r="C1444" s="363">
        <v>16871.3</v>
      </c>
      <c r="D1444" s="252">
        <f t="shared" si="44"/>
        <v>1.4482470408196946E-2</v>
      </c>
      <c r="F1444" s="440">
        <v>44635</v>
      </c>
      <c r="G1444" s="170">
        <v>891.65</v>
      </c>
      <c r="H1444" s="252">
        <f t="shared" si="45"/>
        <v>-6.7245727094422669E-4</v>
      </c>
    </row>
    <row r="1445" spans="2:8" x14ac:dyDescent="0.3">
      <c r="B1445" s="440">
        <v>44635</v>
      </c>
      <c r="C1445" s="363">
        <v>16663</v>
      </c>
      <c r="D1445" s="252">
        <f t="shared" si="44"/>
        <v>-1.2346410768583338E-2</v>
      </c>
      <c r="F1445" s="440">
        <v>44636</v>
      </c>
      <c r="G1445" s="170">
        <v>889.2</v>
      </c>
      <c r="H1445" s="252">
        <f t="shared" si="45"/>
        <v>-2.7477149105590293E-3</v>
      </c>
    </row>
    <row r="1446" spans="2:8" x14ac:dyDescent="0.3">
      <c r="B1446" s="440">
        <v>44636</v>
      </c>
      <c r="C1446" s="363">
        <v>16975.349999999999</v>
      </c>
      <c r="D1446" s="252">
        <f t="shared" si="44"/>
        <v>1.8745123927264018E-2</v>
      </c>
      <c r="F1446" s="440">
        <v>44637</v>
      </c>
      <c r="G1446" s="170">
        <v>911.6</v>
      </c>
      <c r="H1446" s="252">
        <f t="shared" si="45"/>
        <v>2.5191183085919944E-2</v>
      </c>
    </row>
    <row r="1447" spans="2:8" x14ac:dyDescent="0.3">
      <c r="B1447" s="440">
        <v>44637</v>
      </c>
      <c r="C1447" s="363">
        <v>17287.05</v>
      </c>
      <c r="D1447" s="252">
        <f t="shared" si="44"/>
        <v>1.8361918900052121E-2</v>
      </c>
      <c r="F1447" s="440">
        <v>44641</v>
      </c>
      <c r="G1447" s="170">
        <v>913.8</v>
      </c>
      <c r="H1447" s="252">
        <f t="shared" si="45"/>
        <v>2.4133391838525586E-3</v>
      </c>
    </row>
    <row r="1448" spans="2:8" x14ac:dyDescent="0.3">
      <c r="B1448" s="440">
        <v>44641</v>
      </c>
      <c r="C1448" s="363">
        <v>17117.599999999999</v>
      </c>
      <c r="D1448" s="252">
        <f t="shared" si="44"/>
        <v>-9.8021351242694177E-3</v>
      </c>
      <c r="F1448" s="440">
        <v>44642</v>
      </c>
      <c r="G1448" s="170">
        <v>914.1</v>
      </c>
      <c r="H1448" s="252">
        <f t="shared" si="45"/>
        <v>3.2829940906120569E-4</v>
      </c>
    </row>
    <row r="1449" spans="2:8" x14ac:dyDescent="0.3">
      <c r="B1449" s="440">
        <v>44642</v>
      </c>
      <c r="C1449" s="363">
        <v>17315.5</v>
      </c>
      <c r="D1449" s="252">
        <f t="shared" si="44"/>
        <v>1.1561200168247909E-2</v>
      </c>
      <c r="F1449" s="440">
        <v>44643</v>
      </c>
      <c r="G1449" s="170">
        <v>900.8</v>
      </c>
      <c r="H1449" s="252">
        <f t="shared" si="45"/>
        <v>-1.4549830434307021E-2</v>
      </c>
    </row>
    <row r="1450" spans="2:8" x14ac:dyDescent="0.3">
      <c r="B1450" s="440">
        <v>44643</v>
      </c>
      <c r="C1450" s="363">
        <v>17245.650000000001</v>
      </c>
      <c r="D1450" s="252">
        <f t="shared" si="44"/>
        <v>-4.0339580144955756E-3</v>
      </c>
      <c r="F1450" s="440">
        <v>44644</v>
      </c>
      <c r="G1450" s="170">
        <v>908.85</v>
      </c>
      <c r="H1450" s="252">
        <f t="shared" si="45"/>
        <v>8.9365008880994967E-3</v>
      </c>
    </row>
    <row r="1451" spans="2:8" x14ac:dyDescent="0.3">
      <c r="B1451" s="440">
        <v>44644</v>
      </c>
      <c r="C1451" s="363">
        <v>17222.75</v>
      </c>
      <c r="D1451" s="252">
        <f t="shared" si="44"/>
        <v>-1.3278710863320331E-3</v>
      </c>
      <c r="F1451" s="440">
        <v>44645</v>
      </c>
      <c r="G1451" s="170">
        <v>902.35</v>
      </c>
      <c r="H1451" s="252">
        <f t="shared" si="45"/>
        <v>-7.1518952522418022E-3</v>
      </c>
    </row>
    <row r="1452" spans="2:8" x14ac:dyDescent="0.3">
      <c r="B1452" s="440">
        <v>44645</v>
      </c>
      <c r="C1452" s="363">
        <v>17153</v>
      </c>
      <c r="D1452" s="252">
        <f t="shared" si="44"/>
        <v>-4.049875890900112E-3</v>
      </c>
      <c r="F1452" s="440">
        <v>44648</v>
      </c>
      <c r="G1452" s="170">
        <v>905.9</v>
      </c>
      <c r="H1452" s="252">
        <f t="shared" si="45"/>
        <v>3.9341718845236073E-3</v>
      </c>
    </row>
    <row r="1453" spans="2:8" x14ac:dyDescent="0.3">
      <c r="B1453" s="440">
        <v>44648</v>
      </c>
      <c r="C1453" s="363">
        <v>17222</v>
      </c>
      <c r="D1453" s="252">
        <f t="shared" si="44"/>
        <v>4.0226199498629711E-3</v>
      </c>
      <c r="F1453" s="440">
        <v>44649</v>
      </c>
      <c r="G1453" s="170">
        <v>919.35</v>
      </c>
      <c r="H1453" s="252">
        <f t="shared" si="45"/>
        <v>1.4847113367921549E-2</v>
      </c>
    </row>
    <row r="1454" spans="2:8" x14ac:dyDescent="0.3">
      <c r="B1454" s="440">
        <v>44649</v>
      </c>
      <c r="C1454" s="363">
        <v>17325.3</v>
      </c>
      <c r="D1454" s="252">
        <f t="shared" si="44"/>
        <v>5.9981419115084922E-3</v>
      </c>
      <c r="F1454" s="440">
        <v>44650</v>
      </c>
      <c r="G1454" s="170">
        <v>920.6</v>
      </c>
      <c r="H1454" s="252">
        <f t="shared" si="45"/>
        <v>1.3596562788926736E-3</v>
      </c>
    </row>
    <row r="1455" spans="2:8" x14ac:dyDescent="0.3">
      <c r="B1455" s="440">
        <v>44650</v>
      </c>
      <c r="C1455" s="363">
        <v>17498.25</v>
      </c>
      <c r="D1455" s="252">
        <f t="shared" si="44"/>
        <v>9.9825111253484256E-3</v>
      </c>
      <c r="F1455" s="440">
        <v>44651</v>
      </c>
      <c r="G1455" s="170">
        <v>914.75</v>
      </c>
      <c r="H1455" s="252">
        <f t="shared" si="45"/>
        <v>-6.3545513795351116E-3</v>
      </c>
    </row>
    <row r="1456" spans="2:8" x14ac:dyDescent="0.3">
      <c r="B1456" s="440">
        <v>44651</v>
      </c>
      <c r="C1456" s="363">
        <v>17464.75</v>
      </c>
      <c r="D1456" s="252">
        <f t="shared" si="44"/>
        <v>-1.9144771620018819E-3</v>
      </c>
      <c r="F1456" s="440">
        <v>44652</v>
      </c>
      <c r="G1456" s="170">
        <v>908.7</v>
      </c>
      <c r="H1456" s="252">
        <f t="shared" si="45"/>
        <v>-6.6138289150040608E-3</v>
      </c>
    </row>
    <row r="1457" spans="2:8" x14ac:dyDescent="0.3">
      <c r="B1457" s="440">
        <v>44652</v>
      </c>
      <c r="C1457" s="363">
        <v>17670.45</v>
      </c>
      <c r="D1457" s="252">
        <f t="shared" si="44"/>
        <v>1.1778009991554539E-2</v>
      </c>
      <c r="F1457" s="440">
        <v>44655</v>
      </c>
      <c r="G1457" s="170">
        <v>926.05</v>
      </c>
      <c r="H1457" s="252">
        <f t="shared" si="45"/>
        <v>1.9093210080334488E-2</v>
      </c>
    </row>
    <row r="1458" spans="2:8" x14ac:dyDescent="0.3">
      <c r="B1458" s="440">
        <v>44655</v>
      </c>
      <c r="C1458" s="363">
        <v>18053.400000000001</v>
      </c>
      <c r="D1458" s="252">
        <f t="shared" si="44"/>
        <v>2.1671774063478866E-2</v>
      </c>
      <c r="F1458" s="440">
        <v>44656</v>
      </c>
      <c r="G1458" s="170">
        <v>929.1</v>
      </c>
      <c r="H1458" s="252">
        <f t="shared" si="45"/>
        <v>3.2935586631392955E-3</v>
      </c>
    </row>
    <row r="1459" spans="2:8" x14ac:dyDescent="0.3">
      <c r="B1459" s="440">
        <v>44656</v>
      </c>
      <c r="C1459" s="363">
        <v>17957.400000000001</v>
      </c>
      <c r="D1459" s="252">
        <f t="shared" si="44"/>
        <v>-5.3175579115291027E-3</v>
      </c>
      <c r="F1459" s="440">
        <v>44657</v>
      </c>
      <c r="G1459" s="170">
        <v>928.1</v>
      </c>
      <c r="H1459" s="252">
        <f t="shared" si="45"/>
        <v>-1.0763104079216657E-3</v>
      </c>
    </row>
    <row r="1460" spans="2:8" x14ac:dyDescent="0.3">
      <c r="B1460" s="440">
        <v>44657</v>
      </c>
      <c r="C1460" s="363">
        <v>17807.650000000001</v>
      </c>
      <c r="D1460" s="252">
        <f t="shared" si="44"/>
        <v>-8.3391805049728429E-3</v>
      </c>
      <c r="F1460" s="440">
        <v>44658</v>
      </c>
      <c r="G1460" s="170">
        <v>930.95</v>
      </c>
      <c r="H1460" s="252">
        <f t="shared" si="45"/>
        <v>3.0707897855835053E-3</v>
      </c>
    </row>
    <row r="1461" spans="2:8" x14ac:dyDescent="0.3">
      <c r="B1461" s="440">
        <v>44658</v>
      </c>
      <c r="C1461" s="363">
        <v>17639.55</v>
      </c>
      <c r="D1461" s="252">
        <f t="shared" si="44"/>
        <v>-9.4397632478178117E-3</v>
      </c>
      <c r="F1461" s="440">
        <v>44659</v>
      </c>
      <c r="G1461" s="170">
        <v>924.6</v>
      </c>
      <c r="H1461" s="252">
        <f t="shared" si="45"/>
        <v>-6.8209893119931531E-3</v>
      </c>
    </row>
    <row r="1462" spans="2:8" x14ac:dyDescent="0.3">
      <c r="B1462" s="440">
        <v>44659</v>
      </c>
      <c r="C1462" s="363">
        <v>17784.349999999999</v>
      </c>
      <c r="D1462" s="252">
        <f t="shared" si="44"/>
        <v>8.208826188876639E-3</v>
      </c>
      <c r="F1462" s="440">
        <v>44662</v>
      </c>
      <c r="G1462" s="170">
        <v>925.4</v>
      </c>
      <c r="H1462" s="252">
        <f t="shared" si="45"/>
        <v>8.6523902227986227E-4</v>
      </c>
    </row>
    <row r="1463" spans="2:8" x14ac:dyDescent="0.3">
      <c r="B1463" s="440">
        <v>44662</v>
      </c>
      <c r="C1463" s="363">
        <v>17674.95</v>
      </c>
      <c r="D1463" s="252">
        <f t="shared" si="44"/>
        <v>-6.1514758762618582E-3</v>
      </c>
      <c r="F1463" s="440">
        <v>44663</v>
      </c>
      <c r="G1463" s="170">
        <v>921.3</v>
      </c>
      <c r="H1463" s="252">
        <f t="shared" si="45"/>
        <v>-4.4305165333909935E-3</v>
      </c>
    </row>
    <row r="1464" spans="2:8" x14ac:dyDescent="0.3">
      <c r="B1464" s="440">
        <v>44663</v>
      </c>
      <c r="C1464" s="363">
        <v>17530.3</v>
      </c>
      <c r="D1464" s="252">
        <f t="shared" si="44"/>
        <v>-8.1838986814674053E-3</v>
      </c>
      <c r="F1464" s="440">
        <v>44664</v>
      </c>
      <c r="G1464" s="170">
        <v>936.75</v>
      </c>
      <c r="H1464" s="252">
        <f t="shared" si="45"/>
        <v>1.6769781830022756E-2</v>
      </c>
    </row>
    <row r="1465" spans="2:8" x14ac:dyDescent="0.3">
      <c r="B1465" s="440">
        <v>44664</v>
      </c>
      <c r="C1465" s="363">
        <v>17475.650000000001</v>
      </c>
      <c r="D1465" s="252">
        <f t="shared" si="44"/>
        <v>-3.1174594844354253E-3</v>
      </c>
      <c r="F1465" s="440">
        <v>44669</v>
      </c>
      <c r="G1465" s="170">
        <v>927.5</v>
      </c>
      <c r="H1465" s="252">
        <f t="shared" si="45"/>
        <v>-9.8745663197224998E-3</v>
      </c>
    </row>
    <row r="1466" spans="2:8" x14ac:dyDescent="0.3">
      <c r="B1466" s="440">
        <v>44669</v>
      </c>
      <c r="C1466" s="363">
        <v>17173.650000000001</v>
      </c>
      <c r="D1466" s="252">
        <f t="shared" si="44"/>
        <v>-1.7281188396425895E-2</v>
      </c>
      <c r="F1466" s="440">
        <v>44670</v>
      </c>
      <c r="G1466" s="170">
        <v>922</v>
      </c>
      <c r="H1466" s="252">
        <f t="shared" si="45"/>
        <v>-5.9299191374663218E-3</v>
      </c>
    </row>
    <row r="1467" spans="2:8" x14ac:dyDescent="0.3">
      <c r="B1467" s="440">
        <v>44670</v>
      </c>
      <c r="C1467" s="363">
        <v>16958.650000000001</v>
      </c>
      <c r="D1467" s="252">
        <f t="shared" si="44"/>
        <v>-1.251917909122402E-2</v>
      </c>
      <c r="F1467" s="440">
        <v>44671</v>
      </c>
      <c r="G1467" s="170">
        <v>923.5</v>
      </c>
      <c r="H1467" s="252">
        <f t="shared" si="45"/>
        <v>1.6268980477223138E-3</v>
      </c>
    </row>
    <row r="1468" spans="2:8" x14ac:dyDescent="0.3">
      <c r="B1468" s="440">
        <v>44671</v>
      </c>
      <c r="C1468" s="363">
        <v>17136.55</v>
      </c>
      <c r="D1468" s="252">
        <f t="shared" si="44"/>
        <v>1.0490221804211775E-2</v>
      </c>
      <c r="F1468" s="440">
        <v>44672</v>
      </c>
      <c r="G1468" s="170">
        <v>944.1</v>
      </c>
      <c r="H1468" s="252">
        <f t="shared" si="45"/>
        <v>2.2306442880346555E-2</v>
      </c>
    </row>
    <row r="1469" spans="2:8" x14ac:dyDescent="0.3">
      <c r="B1469" s="440">
        <v>44672</v>
      </c>
      <c r="C1469" s="363">
        <v>17392.599999999999</v>
      </c>
      <c r="D1469" s="252">
        <f t="shared" si="44"/>
        <v>1.4941747317867238E-2</v>
      </c>
      <c r="F1469" s="440">
        <v>44673</v>
      </c>
      <c r="G1469" s="170">
        <v>924.8</v>
      </c>
      <c r="H1469" s="252">
        <f t="shared" si="45"/>
        <v>-2.04427497087174E-2</v>
      </c>
    </row>
    <row r="1470" spans="2:8" x14ac:dyDescent="0.3">
      <c r="B1470" s="440">
        <v>44673</v>
      </c>
      <c r="C1470" s="363">
        <v>17171.95</v>
      </c>
      <c r="D1470" s="252">
        <f t="shared" si="44"/>
        <v>-1.2686429860975235E-2</v>
      </c>
      <c r="F1470" s="440">
        <v>44676</v>
      </c>
      <c r="G1470" s="170">
        <v>900</v>
      </c>
      <c r="H1470" s="252">
        <f t="shared" si="45"/>
        <v>-2.6816608996539704E-2</v>
      </c>
    </row>
    <row r="1471" spans="2:8" x14ac:dyDescent="0.3">
      <c r="B1471" s="440">
        <v>44676</v>
      </c>
      <c r="C1471" s="363">
        <v>16953.95</v>
      </c>
      <c r="D1471" s="252">
        <f t="shared" si="44"/>
        <v>-1.2695121986728397E-2</v>
      </c>
      <c r="F1471" s="440">
        <v>44677</v>
      </c>
      <c r="G1471" s="170">
        <v>918.05</v>
      </c>
      <c r="H1471" s="252">
        <f t="shared" si="45"/>
        <v>2.0055555555555493E-2</v>
      </c>
    </row>
    <row r="1472" spans="2:8" x14ac:dyDescent="0.3">
      <c r="B1472" s="440">
        <v>44677</v>
      </c>
      <c r="C1472" s="363">
        <v>17200.8</v>
      </c>
      <c r="D1472" s="252">
        <f t="shared" si="44"/>
        <v>1.4560028783852541E-2</v>
      </c>
      <c r="F1472" s="440">
        <v>44678</v>
      </c>
      <c r="G1472" s="170">
        <v>906.1</v>
      </c>
      <c r="H1472" s="252">
        <f t="shared" si="45"/>
        <v>-1.301672022221001E-2</v>
      </c>
    </row>
    <row r="1473" spans="2:8" x14ac:dyDescent="0.3">
      <c r="B1473" s="440">
        <v>44678</v>
      </c>
      <c r="C1473" s="363">
        <v>17038.400000000001</v>
      </c>
      <c r="D1473" s="252">
        <f t="shared" si="44"/>
        <v>-9.4414213292404181E-3</v>
      </c>
      <c r="F1473" s="440">
        <v>44679</v>
      </c>
      <c r="G1473" s="170">
        <v>921</v>
      </c>
      <c r="H1473" s="252">
        <f t="shared" si="45"/>
        <v>1.6444101092594643E-2</v>
      </c>
    </row>
    <row r="1474" spans="2:8" x14ac:dyDescent="0.3">
      <c r="B1474" s="440">
        <v>44679</v>
      </c>
      <c r="C1474" s="363">
        <v>17245.05</v>
      </c>
      <c r="D1474" s="252">
        <f t="shared" si="44"/>
        <v>1.2128486242839465E-2</v>
      </c>
      <c r="F1474" s="440">
        <v>44680</v>
      </c>
      <c r="G1474" s="170">
        <v>928.65</v>
      </c>
      <c r="H1474" s="252">
        <f t="shared" si="45"/>
        <v>8.3061889250815035E-3</v>
      </c>
    </row>
    <row r="1475" spans="2:8" x14ac:dyDescent="0.3">
      <c r="B1475" s="440">
        <v>44680</v>
      </c>
      <c r="C1475" s="363">
        <v>17102.55</v>
      </c>
      <c r="D1475" s="252">
        <f t="shared" si="44"/>
        <v>-8.263240756043011E-3</v>
      </c>
      <c r="F1475" s="440">
        <v>44683</v>
      </c>
      <c r="G1475" s="170">
        <v>923.4</v>
      </c>
      <c r="H1475" s="252">
        <f t="shared" si="45"/>
        <v>-5.653367791956021E-3</v>
      </c>
    </row>
    <row r="1476" spans="2:8" x14ac:dyDescent="0.3">
      <c r="B1476" s="440">
        <v>44683</v>
      </c>
      <c r="C1476" s="363">
        <v>17069.099999999999</v>
      </c>
      <c r="D1476" s="252">
        <f t="shared" si="44"/>
        <v>-1.9558486892305993E-3</v>
      </c>
      <c r="F1476" s="440">
        <v>44685</v>
      </c>
      <c r="G1476" s="170">
        <v>900.9</v>
      </c>
      <c r="H1476" s="252">
        <f t="shared" si="45"/>
        <v>-2.4366471734892814E-2</v>
      </c>
    </row>
    <row r="1477" spans="2:8" x14ac:dyDescent="0.3">
      <c r="B1477" s="440">
        <v>44685</v>
      </c>
      <c r="C1477" s="363">
        <v>16677.599999999999</v>
      </c>
      <c r="D1477" s="252">
        <f t="shared" si="44"/>
        <v>-2.293618292704358E-2</v>
      </c>
      <c r="F1477" s="440">
        <v>44686</v>
      </c>
      <c r="G1477" s="170">
        <v>878.15</v>
      </c>
      <c r="H1477" s="252">
        <f t="shared" si="45"/>
        <v>-2.5252525252525304E-2</v>
      </c>
    </row>
    <row r="1478" spans="2:8" x14ac:dyDescent="0.3">
      <c r="B1478" s="440">
        <v>44686</v>
      </c>
      <c r="C1478" s="363">
        <v>16682.650000000001</v>
      </c>
      <c r="D1478" s="252">
        <f t="shared" si="44"/>
        <v>3.0280136230653731E-4</v>
      </c>
      <c r="F1478" s="440">
        <v>44687</v>
      </c>
      <c r="G1478" s="170">
        <v>883.3</v>
      </c>
      <c r="H1478" s="252">
        <f t="shared" si="45"/>
        <v>5.8646017195240763E-3</v>
      </c>
    </row>
    <row r="1479" spans="2:8" x14ac:dyDescent="0.3">
      <c r="B1479" s="440">
        <v>44687</v>
      </c>
      <c r="C1479" s="363">
        <v>16411.25</v>
      </c>
      <c r="D1479" s="252">
        <f t="shared" si="44"/>
        <v>-1.6268398605737144E-2</v>
      </c>
      <c r="F1479" s="440">
        <v>44690</v>
      </c>
      <c r="G1479" s="170">
        <v>885.4</v>
      </c>
      <c r="H1479" s="252">
        <f t="shared" si="45"/>
        <v>2.3774482055927137E-3</v>
      </c>
    </row>
    <row r="1480" spans="2:8" x14ac:dyDescent="0.3">
      <c r="B1480" s="440">
        <v>44690</v>
      </c>
      <c r="C1480" s="363">
        <v>16301.85</v>
      </c>
      <c r="D1480" s="252">
        <f t="shared" si="44"/>
        <v>-6.6661588849112885E-3</v>
      </c>
      <c r="F1480" s="440">
        <v>44691</v>
      </c>
      <c r="G1480" s="170">
        <v>861.85</v>
      </c>
      <c r="H1480" s="252">
        <f t="shared" si="45"/>
        <v>-2.6598147729839594E-2</v>
      </c>
    </row>
    <row r="1481" spans="2:8" x14ac:dyDescent="0.3">
      <c r="B1481" s="440">
        <v>44691</v>
      </c>
      <c r="C1481" s="363">
        <v>16240.05</v>
      </c>
      <c r="D1481" s="252">
        <f t="shared" si="44"/>
        <v>-3.7909807782553484E-3</v>
      </c>
      <c r="F1481" s="440">
        <v>44692</v>
      </c>
      <c r="G1481" s="170">
        <v>854.8</v>
      </c>
      <c r="H1481" s="252">
        <f t="shared" si="45"/>
        <v>-8.180077739745939E-3</v>
      </c>
    </row>
    <row r="1482" spans="2:8" x14ac:dyDescent="0.3">
      <c r="B1482" s="440">
        <v>44692</v>
      </c>
      <c r="C1482" s="363">
        <v>16167.1</v>
      </c>
      <c r="D1482" s="252">
        <f t="shared" si="44"/>
        <v>-4.4919812439000451E-3</v>
      </c>
      <c r="F1482" s="440">
        <v>44693</v>
      </c>
      <c r="G1482" s="170">
        <v>850</v>
      </c>
      <c r="H1482" s="252">
        <f t="shared" si="45"/>
        <v>-5.6153486195600344E-3</v>
      </c>
    </row>
    <row r="1483" spans="2:8" x14ac:dyDescent="0.3">
      <c r="B1483" s="440">
        <v>44693</v>
      </c>
      <c r="C1483" s="363">
        <v>15808</v>
      </c>
      <c r="D1483" s="252">
        <f t="shared" ref="D1483:D1546" si="46">C1483/C1482-1</f>
        <v>-2.2211775766835085E-2</v>
      </c>
      <c r="F1483" s="440">
        <v>44694</v>
      </c>
      <c r="G1483" s="170">
        <v>882.5</v>
      </c>
      <c r="H1483" s="252">
        <f t="shared" ref="H1483:H1546" si="47">G1483/G1482-1</f>
        <v>3.8235294117647145E-2</v>
      </c>
    </row>
    <row r="1484" spans="2:8" x14ac:dyDescent="0.3">
      <c r="B1484" s="440">
        <v>44694</v>
      </c>
      <c r="C1484" s="363">
        <v>15782.15</v>
      </c>
      <c r="D1484" s="252">
        <f t="shared" si="46"/>
        <v>-1.6352479757085758E-3</v>
      </c>
      <c r="F1484" s="440">
        <v>44697</v>
      </c>
      <c r="G1484" s="170">
        <v>885.6</v>
      </c>
      <c r="H1484" s="252">
        <f t="shared" si="47"/>
        <v>3.5127478753540498E-3</v>
      </c>
    </row>
    <row r="1485" spans="2:8" x14ac:dyDescent="0.3">
      <c r="B1485" s="440">
        <v>44697</v>
      </c>
      <c r="C1485" s="363">
        <v>15842.3</v>
      </c>
      <c r="D1485" s="252">
        <f t="shared" si="46"/>
        <v>3.811267793044637E-3</v>
      </c>
      <c r="F1485" s="440">
        <v>44698</v>
      </c>
      <c r="G1485" s="170">
        <v>891.75</v>
      </c>
      <c r="H1485" s="252">
        <f t="shared" si="47"/>
        <v>6.9444444444444198E-3</v>
      </c>
    </row>
    <row r="1486" spans="2:8" x14ac:dyDescent="0.3">
      <c r="B1486" s="440">
        <v>44698</v>
      </c>
      <c r="C1486" s="363">
        <v>16259.3</v>
      </c>
      <c r="D1486" s="252">
        <f t="shared" si="46"/>
        <v>2.6321935577536149E-2</v>
      </c>
      <c r="F1486" s="440">
        <v>44699</v>
      </c>
      <c r="G1486" s="170">
        <v>899.15</v>
      </c>
      <c r="H1486" s="252">
        <f t="shared" si="47"/>
        <v>8.2982898794505822E-3</v>
      </c>
    </row>
    <row r="1487" spans="2:8" x14ac:dyDescent="0.3">
      <c r="B1487" s="440">
        <v>44699</v>
      </c>
      <c r="C1487" s="363">
        <v>16240.3</v>
      </c>
      <c r="D1487" s="252">
        <f t="shared" si="46"/>
        <v>-1.1685619922137125E-3</v>
      </c>
      <c r="F1487" s="440">
        <v>44700</v>
      </c>
      <c r="G1487" s="170">
        <v>884.6</v>
      </c>
      <c r="H1487" s="252">
        <f t="shared" si="47"/>
        <v>-1.618194961908459E-2</v>
      </c>
    </row>
    <row r="1488" spans="2:8" x14ac:dyDescent="0.3">
      <c r="B1488" s="440">
        <v>44700</v>
      </c>
      <c r="C1488" s="363">
        <v>15809.4</v>
      </c>
      <c r="D1488" s="252">
        <f t="shared" si="46"/>
        <v>-2.6532761094314794E-2</v>
      </c>
      <c r="F1488" s="440">
        <v>44701</v>
      </c>
      <c r="G1488" s="170">
        <v>915.65</v>
      </c>
      <c r="H1488" s="252">
        <f t="shared" si="47"/>
        <v>3.5100610445399028E-2</v>
      </c>
    </row>
    <row r="1489" spans="2:8" x14ac:dyDescent="0.3">
      <c r="B1489" s="440">
        <v>44701</v>
      </c>
      <c r="C1489" s="363">
        <v>16266.15</v>
      </c>
      <c r="D1489" s="252">
        <f t="shared" si="46"/>
        <v>2.8891039508140759E-2</v>
      </c>
      <c r="F1489" s="440">
        <v>44704</v>
      </c>
      <c r="G1489" s="170">
        <v>922.05</v>
      </c>
      <c r="H1489" s="252">
        <f t="shared" si="47"/>
        <v>6.9895702506415081E-3</v>
      </c>
    </row>
    <row r="1490" spans="2:8" x14ac:dyDescent="0.3">
      <c r="B1490" s="440">
        <v>44704</v>
      </c>
      <c r="C1490" s="363">
        <v>16214.7</v>
      </c>
      <c r="D1490" s="252">
        <f t="shared" si="46"/>
        <v>-3.1630103005320098E-3</v>
      </c>
      <c r="F1490" s="440">
        <v>44705</v>
      </c>
      <c r="G1490" s="170">
        <v>909.9</v>
      </c>
      <c r="H1490" s="252">
        <f t="shared" si="47"/>
        <v>-1.3177159590043952E-2</v>
      </c>
    </row>
    <row r="1491" spans="2:8" x14ac:dyDescent="0.3">
      <c r="B1491" s="440">
        <v>44705</v>
      </c>
      <c r="C1491" s="363">
        <v>16125.15</v>
      </c>
      <c r="D1491" s="252">
        <f t="shared" si="46"/>
        <v>-5.5227663786564518E-3</v>
      </c>
      <c r="F1491" s="440">
        <v>44706</v>
      </c>
      <c r="G1491" s="170">
        <v>911.2</v>
      </c>
      <c r="H1491" s="252">
        <f t="shared" si="47"/>
        <v>1.428728431695836E-3</v>
      </c>
    </row>
    <row r="1492" spans="2:8" x14ac:dyDescent="0.3">
      <c r="B1492" s="440">
        <v>44706</v>
      </c>
      <c r="C1492" s="363">
        <v>16025.8</v>
      </c>
      <c r="D1492" s="252">
        <f t="shared" si="46"/>
        <v>-6.1611829967473941E-3</v>
      </c>
      <c r="F1492" s="440">
        <v>44707</v>
      </c>
      <c r="G1492" s="170">
        <v>899.95</v>
      </c>
      <c r="H1492" s="252">
        <f t="shared" si="47"/>
        <v>-1.234635645302895E-2</v>
      </c>
    </row>
    <row r="1493" spans="2:8" x14ac:dyDescent="0.3">
      <c r="B1493" s="440">
        <v>44707</v>
      </c>
      <c r="C1493" s="363">
        <v>16170.15</v>
      </c>
      <c r="D1493" s="252">
        <f t="shared" si="46"/>
        <v>9.0073506470815801E-3</v>
      </c>
      <c r="F1493" s="440">
        <v>44708</v>
      </c>
      <c r="G1493" s="170">
        <v>903.9</v>
      </c>
      <c r="H1493" s="252">
        <f t="shared" si="47"/>
        <v>4.389132729595957E-3</v>
      </c>
    </row>
    <row r="1494" spans="2:8" x14ac:dyDescent="0.3">
      <c r="B1494" s="440">
        <v>44708</v>
      </c>
      <c r="C1494" s="363">
        <v>16352.45</v>
      </c>
      <c r="D1494" s="252">
        <f t="shared" si="46"/>
        <v>1.1273859549849607E-2</v>
      </c>
      <c r="F1494" s="440">
        <v>44711</v>
      </c>
      <c r="G1494" s="170">
        <v>888.3</v>
      </c>
      <c r="H1494" s="252">
        <f t="shared" si="47"/>
        <v>-1.7258546299369404E-2</v>
      </c>
    </row>
    <row r="1495" spans="2:8" x14ac:dyDescent="0.3">
      <c r="B1495" s="440">
        <v>44711</v>
      </c>
      <c r="C1495" s="363">
        <v>16661.400000000001</v>
      </c>
      <c r="D1495" s="252">
        <f t="shared" si="46"/>
        <v>1.8893193374693196E-2</v>
      </c>
      <c r="F1495" s="440">
        <v>44712</v>
      </c>
      <c r="G1495" s="170">
        <v>860.6</v>
      </c>
      <c r="H1495" s="252">
        <f t="shared" si="47"/>
        <v>-3.1183158842733261E-2</v>
      </c>
    </row>
    <row r="1496" spans="2:8" x14ac:dyDescent="0.3">
      <c r="B1496" s="440">
        <v>44712</v>
      </c>
      <c r="C1496" s="363">
        <v>16584.55</v>
      </c>
      <c r="D1496" s="252">
        <f t="shared" si="46"/>
        <v>-4.6124575365816822E-3</v>
      </c>
      <c r="F1496" s="440">
        <v>44713</v>
      </c>
      <c r="G1496" s="170">
        <v>839.25</v>
      </c>
      <c r="H1496" s="252">
        <f t="shared" si="47"/>
        <v>-2.4808273297699301E-2</v>
      </c>
    </row>
    <row r="1497" spans="2:8" x14ac:dyDescent="0.3">
      <c r="B1497" s="440">
        <v>44713</v>
      </c>
      <c r="C1497" s="363">
        <v>16522.75</v>
      </c>
      <c r="D1497" s="252">
        <f t="shared" si="46"/>
        <v>-3.7263597746094446E-3</v>
      </c>
      <c r="F1497" s="440">
        <v>44714</v>
      </c>
      <c r="G1497" s="170">
        <v>859.55</v>
      </c>
      <c r="H1497" s="252">
        <f t="shared" si="47"/>
        <v>2.4188263330354509E-2</v>
      </c>
    </row>
    <row r="1498" spans="2:8" x14ac:dyDescent="0.3">
      <c r="B1498" s="440">
        <v>44714</v>
      </c>
      <c r="C1498" s="363">
        <v>16628</v>
      </c>
      <c r="D1498" s="252">
        <f t="shared" si="46"/>
        <v>6.3700049931154634E-3</v>
      </c>
      <c r="F1498" s="440">
        <v>44715</v>
      </c>
      <c r="G1498" s="170">
        <v>865.1</v>
      </c>
      <c r="H1498" s="252">
        <f t="shared" si="47"/>
        <v>6.4568669652727007E-3</v>
      </c>
    </row>
    <row r="1499" spans="2:8" x14ac:dyDescent="0.3">
      <c r="B1499" s="440">
        <v>44715</v>
      </c>
      <c r="C1499" s="363">
        <v>16584.3</v>
      </c>
      <c r="D1499" s="252">
        <f t="shared" si="46"/>
        <v>-2.6280971854703017E-3</v>
      </c>
      <c r="F1499" s="440">
        <v>44718</v>
      </c>
      <c r="G1499" s="170">
        <v>859.8</v>
      </c>
      <c r="H1499" s="252">
        <f t="shared" si="47"/>
        <v>-6.1264593688591384E-3</v>
      </c>
    </row>
    <row r="1500" spans="2:8" x14ac:dyDescent="0.3">
      <c r="B1500" s="440">
        <v>44718</v>
      </c>
      <c r="C1500" s="363">
        <v>16569.55</v>
      </c>
      <c r="D1500" s="252">
        <f t="shared" si="46"/>
        <v>-8.8939539202737006E-4</v>
      </c>
      <c r="F1500" s="440">
        <v>44719</v>
      </c>
      <c r="G1500" s="170">
        <v>848.25</v>
      </c>
      <c r="H1500" s="252">
        <f t="shared" si="47"/>
        <v>-1.34333565945568E-2</v>
      </c>
    </row>
    <row r="1501" spans="2:8" x14ac:dyDescent="0.3">
      <c r="B1501" s="440">
        <v>44719</v>
      </c>
      <c r="C1501" s="363">
        <v>16416.349999999999</v>
      </c>
      <c r="D1501" s="252">
        <f t="shared" si="46"/>
        <v>-9.2458757178076612E-3</v>
      </c>
      <c r="F1501" s="440">
        <v>44720</v>
      </c>
      <c r="G1501" s="170">
        <v>847.25</v>
      </c>
      <c r="H1501" s="252">
        <f t="shared" si="47"/>
        <v>-1.1788977306218529E-3</v>
      </c>
    </row>
    <row r="1502" spans="2:8" x14ac:dyDescent="0.3">
      <c r="B1502" s="440">
        <v>44720</v>
      </c>
      <c r="C1502" s="363">
        <v>16356.25</v>
      </c>
      <c r="D1502" s="252">
        <f t="shared" si="46"/>
        <v>-3.6609843235554385E-3</v>
      </c>
      <c r="F1502" s="440">
        <v>44721</v>
      </c>
      <c r="G1502" s="170">
        <v>858.85</v>
      </c>
      <c r="H1502" s="252">
        <f t="shared" si="47"/>
        <v>1.3691354381823562E-2</v>
      </c>
    </row>
    <row r="1503" spans="2:8" x14ac:dyDescent="0.3">
      <c r="B1503" s="440">
        <v>44721</v>
      </c>
      <c r="C1503" s="363">
        <v>16478.099999999999</v>
      </c>
      <c r="D1503" s="252">
        <f t="shared" si="46"/>
        <v>7.4497516239968586E-3</v>
      </c>
      <c r="F1503" s="440">
        <v>44722</v>
      </c>
      <c r="G1503" s="170">
        <v>845.7</v>
      </c>
      <c r="H1503" s="252">
        <f t="shared" si="47"/>
        <v>-1.5311171915934119E-2</v>
      </c>
    </row>
    <row r="1504" spans="2:8" x14ac:dyDescent="0.3">
      <c r="B1504" s="440">
        <v>44722</v>
      </c>
      <c r="C1504" s="363">
        <v>16201.8</v>
      </c>
      <c r="D1504" s="252">
        <f t="shared" si="46"/>
        <v>-1.6767709869463077E-2</v>
      </c>
      <c r="F1504" s="440">
        <v>44725</v>
      </c>
      <c r="G1504" s="170">
        <v>829.5</v>
      </c>
      <c r="H1504" s="252">
        <f t="shared" si="47"/>
        <v>-1.9155728981908537E-2</v>
      </c>
    </row>
    <row r="1505" spans="2:8" x14ac:dyDescent="0.3">
      <c r="B1505" s="440">
        <v>44725</v>
      </c>
      <c r="C1505" s="363">
        <v>15774.4</v>
      </c>
      <c r="D1505" s="252">
        <f t="shared" si="46"/>
        <v>-2.6379784962164643E-2</v>
      </c>
      <c r="F1505" s="440">
        <v>44726</v>
      </c>
      <c r="G1505" s="170">
        <v>825.05</v>
      </c>
      <c r="H1505" s="252">
        <f t="shared" si="47"/>
        <v>-5.3646775165763216E-3</v>
      </c>
    </row>
    <row r="1506" spans="2:8" x14ac:dyDescent="0.3">
      <c r="B1506" s="440">
        <v>44726</v>
      </c>
      <c r="C1506" s="363">
        <v>15732.1</v>
      </c>
      <c r="D1506" s="252">
        <f t="shared" si="46"/>
        <v>-2.6815599959427727E-3</v>
      </c>
      <c r="F1506" s="440">
        <v>44727</v>
      </c>
      <c r="G1506" s="170">
        <v>822.3</v>
      </c>
      <c r="H1506" s="252">
        <f t="shared" si="47"/>
        <v>-3.3331313253742723E-3</v>
      </c>
    </row>
    <row r="1507" spans="2:8" x14ac:dyDescent="0.3">
      <c r="B1507" s="440">
        <v>44727</v>
      </c>
      <c r="C1507" s="363">
        <v>15692.15</v>
      </c>
      <c r="D1507" s="252">
        <f t="shared" si="46"/>
        <v>-2.5393939779178032E-3</v>
      </c>
      <c r="F1507" s="440">
        <v>44728</v>
      </c>
      <c r="G1507" s="170">
        <v>814.6</v>
      </c>
      <c r="H1507" s="252">
        <f t="shared" si="47"/>
        <v>-9.363979083059637E-3</v>
      </c>
    </row>
    <row r="1508" spans="2:8" x14ac:dyDescent="0.3">
      <c r="B1508" s="440">
        <v>44728</v>
      </c>
      <c r="C1508" s="363">
        <v>15360.6</v>
      </c>
      <c r="D1508" s="252">
        <f t="shared" si="46"/>
        <v>-2.1128398594201458E-2</v>
      </c>
      <c r="F1508" s="440">
        <v>44729</v>
      </c>
      <c r="G1508" s="170">
        <v>793.4</v>
      </c>
      <c r="H1508" s="252">
        <f t="shared" si="47"/>
        <v>-2.6025042965872824E-2</v>
      </c>
    </row>
    <row r="1509" spans="2:8" x14ac:dyDescent="0.3">
      <c r="B1509" s="440">
        <v>44729</v>
      </c>
      <c r="C1509" s="363">
        <v>15293.5</v>
      </c>
      <c r="D1509" s="252">
        <f t="shared" si="46"/>
        <v>-4.3683189458745275E-3</v>
      </c>
      <c r="F1509" s="440">
        <v>44732</v>
      </c>
      <c r="G1509" s="170">
        <v>805.3</v>
      </c>
      <c r="H1509" s="252">
        <f t="shared" si="47"/>
        <v>1.4998739601714162E-2</v>
      </c>
    </row>
    <row r="1510" spans="2:8" x14ac:dyDescent="0.3">
      <c r="B1510" s="440">
        <v>44732</v>
      </c>
      <c r="C1510" s="363">
        <v>15350.15</v>
      </c>
      <c r="D1510" s="252">
        <f t="shared" si="46"/>
        <v>3.7041880537482808E-3</v>
      </c>
      <c r="F1510" s="440">
        <v>44733</v>
      </c>
      <c r="G1510" s="170">
        <v>817.45</v>
      </c>
      <c r="H1510" s="252">
        <f t="shared" si="47"/>
        <v>1.5087545014280446E-2</v>
      </c>
    </row>
    <row r="1511" spans="2:8" x14ac:dyDescent="0.3">
      <c r="B1511" s="440">
        <v>44733</v>
      </c>
      <c r="C1511" s="363">
        <v>15638.8</v>
      </c>
      <c r="D1511" s="252">
        <f t="shared" si="46"/>
        <v>1.8804376504464093E-2</v>
      </c>
      <c r="F1511" s="440">
        <v>44734</v>
      </c>
      <c r="G1511" s="170">
        <v>809.3</v>
      </c>
      <c r="H1511" s="252">
        <f t="shared" si="47"/>
        <v>-9.970028747935733E-3</v>
      </c>
    </row>
    <row r="1512" spans="2:8" x14ac:dyDescent="0.3">
      <c r="B1512" s="440">
        <v>44734</v>
      </c>
      <c r="C1512" s="363">
        <v>15413.3</v>
      </c>
      <c r="D1512" s="252">
        <f t="shared" si="46"/>
        <v>-1.4419264905235707E-2</v>
      </c>
      <c r="F1512" s="440">
        <v>44735</v>
      </c>
      <c r="G1512" s="170">
        <v>824.9</v>
      </c>
      <c r="H1512" s="252">
        <f t="shared" si="47"/>
        <v>1.9275917459532943E-2</v>
      </c>
    </row>
    <row r="1513" spans="2:8" x14ac:dyDescent="0.3">
      <c r="B1513" s="440">
        <v>44735</v>
      </c>
      <c r="C1513" s="363">
        <v>15556.65</v>
      </c>
      <c r="D1513" s="252">
        <f t="shared" si="46"/>
        <v>9.300409386698627E-3</v>
      </c>
      <c r="F1513" s="440">
        <v>44736</v>
      </c>
      <c r="G1513" s="170">
        <v>824.6</v>
      </c>
      <c r="H1513" s="252">
        <f t="shared" si="47"/>
        <v>-3.6368044611467809E-4</v>
      </c>
    </row>
    <row r="1514" spans="2:8" x14ac:dyDescent="0.3">
      <c r="B1514" s="440">
        <v>44736</v>
      </c>
      <c r="C1514" s="363">
        <v>15699.25</v>
      </c>
      <c r="D1514" s="252">
        <f t="shared" si="46"/>
        <v>9.1664979285386305E-3</v>
      </c>
      <c r="F1514" s="440">
        <v>44739</v>
      </c>
      <c r="G1514" s="170">
        <v>835.65</v>
      </c>
      <c r="H1514" s="252">
        <f t="shared" si="47"/>
        <v>1.3400436575309094E-2</v>
      </c>
    </row>
    <row r="1515" spans="2:8" x14ac:dyDescent="0.3">
      <c r="B1515" s="440">
        <v>44739</v>
      </c>
      <c r="C1515" s="363">
        <v>15832.05</v>
      </c>
      <c r="D1515" s="252">
        <f t="shared" si="46"/>
        <v>8.4590028186060096E-3</v>
      </c>
      <c r="F1515" s="440">
        <v>44740</v>
      </c>
      <c r="G1515" s="170">
        <v>828.6</v>
      </c>
      <c r="H1515" s="252">
        <f t="shared" si="47"/>
        <v>-8.4365464010051072E-3</v>
      </c>
    </row>
    <row r="1516" spans="2:8" x14ac:dyDescent="0.3">
      <c r="B1516" s="440">
        <v>44740</v>
      </c>
      <c r="C1516" s="363">
        <v>15850.2</v>
      </c>
      <c r="D1516" s="252">
        <f t="shared" si="46"/>
        <v>1.1464087089165798E-3</v>
      </c>
      <c r="F1516" s="440">
        <v>44741</v>
      </c>
      <c r="G1516" s="170">
        <v>838.7</v>
      </c>
      <c r="H1516" s="252">
        <f t="shared" si="47"/>
        <v>1.2189234853970499E-2</v>
      </c>
    </row>
    <row r="1517" spans="2:8" x14ac:dyDescent="0.3">
      <c r="B1517" s="440">
        <v>44741</v>
      </c>
      <c r="C1517" s="363">
        <v>15799.1</v>
      </c>
      <c r="D1517" s="252">
        <f t="shared" si="46"/>
        <v>-3.2239340828507101E-3</v>
      </c>
      <c r="F1517" s="440">
        <v>44742</v>
      </c>
      <c r="G1517" s="170">
        <v>830.6</v>
      </c>
      <c r="H1517" s="252">
        <f t="shared" si="47"/>
        <v>-9.6578037438893594E-3</v>
      </c>
    </row>
    <row r="1518" spans="2:8" x14ac:dyDescent="0.3">
      <c r="B1518" s="440">
        <v>44742</v>
      </c>
      <c r="C1518" s="363">
        <v>15780.25</v>
      </c>
      <c r="D1518" s="252">
        <f t="shared" si="46"/>
        <v>-1.193105936414085E-3</v>
      </c>
      <c r="F1518" s="440">
        <v>44743</v>
      </c>
      <c r="G1518" s="170">
        <v>829.25</v>
      </c>
      <c r="H1518" s="252">
        <f t="shared" si="47"/>
        <v>-1.6253310859619674E-3</v>
      </c>
    </row>
    <row r="1519" spans="2:8" x14ac:dyDescent="0.3">
      <c r="B1519" s="440">
        <v>44743</v>
      </c>
      <c r="C1519" s="363">
        <v>15752.05</v>
      </c>
      <c r="D1519" s="252">
        <f t="shared" si="46"/>
        <v>-1.7870439314966458E-3</v>
      </c>
      <c r="F1519" s="440">
        <v>44746</v>
      </c>
      <c r="G1519" s="170">
        <v>829.4</v>
      </c>
      <c r="H1519" s="252">
        <f t="shared" si="47"/>
        <v>1.8088634308099927E-4</v>
      </c>
    </row>
    <row r="1520" spans="2:8" x14ac:dyDescent="0.3">
      <c r="B1520" s="440">
        <v>44746</v>
      </c>
      <c r="C1520" s="363">
        <v>15835.35</v>
      </c>
      <c r="D1520" s="252">
        <f t="shared" si="46"/>
        <v>5.2882005834162804E-3</v>
      </c>
      <c r="F1520" s="440">
        <v>44747</v>
      </c>
      <c r="G1520" s="170">
        <v>835.8</v>
      </c>
      <c r="H1520" s="252">
        <f t="shared" si="47"/>
        <v>7.7164215095248956E-3</v>
      </c>
    </row>
    <row r="1521" spans="2:8" x14ac:dyDescent="0.3">
      <c r="B1521" s="440">
        <v>44747</v>
      </c>
      <c r="C1521" s="363">
        <v>15810.85</v>
      </c>
      <c r="D1521" s="252">
        <f t="shared" si="46"/>
        <v>-1.5471713602793757E-3</v>
      </c>
      <c r="F1521" s="440">
        <v>44748</v>
      </c>
      <c r="G1521" s="170">
        <v>837.7</v>
      </c>
      <c r="H1521" s="252">
        <f t="shared" si="47"/>
        <v>2.2732711174924258E-3</v>
      </c>
    </row>
    <row r="1522" spans="2:8" x14ac:dyDescent="0.3">
      <c r="B1522" s="440">
        <v>44748</v>
      </c>
      <c r="C1522" s="363">
        <v>15989.8</v>
      </c>
      <c r="D1522" s="252">
        <f t="shared" si="46"/>
        <v>1.1318177074603808E-2</v>
      </c>
      <c r="F1522" s="440">
        <v>44749</v>
      </c>
      <c r="G1522" s="170">
        <v>849.45</v>
      </c>
      <c r="H1522" s="252">
        <f t="shared" si="47"/>
        <v>1.4026501134057456E-2</v>
      </c>
    </row>
    <row r="1523" spans="2:8" x14ac:dyDescent="0.3">
      <c r="B1523" s="440">
        <v>44749</v>
      </c>
      <c r="C1523" s="363">
        <v>16132.9</v>
      </c>
      <c r="D1523" s="252">
        <f t="shared" si="46"/>
        <v>8.9494552777396041E-3</v>
      </c>
      <c r="F1523" s="440">
        <v>44750</v>
      </c>
      <c r="G1523" s="170">
        <v>857.7</v>
      </c>
      <c r="H1523" s="252">
        <f t="shared" si="47"/>
        <v>9.712166696097535E-3</v>
      </c>
    </row>
    <row r="1524" spans="2:8" x14ac:dyDescent="0.3">
      <c r="B1524" s="440">
        <v>44750</v>
      </c>
      <c r="C1524" s="363">
        <v>16220.6</v>
      </c>
      <c r="D1524" s="252">
        <f t="shared" si="46"/>
        <v>5.4360964240776077E-3</v>
      </c>
      <c r="F1524" s="440">
        <v>44753</v>
      </c>
      <c r="G1524" s="170">
        <v>857.25</v>
      </c>
      <c r="H1524" s="252">
        <f t="shared" si="47"/>
        <v>-5.2465897166842357E-4</v>
      </c>
    </row>
    <row r="1525" spans="2:8" x14ac:dyDescent="0.3">
      <c r="B1525" s="440">
        <v>44753</v>
      </c>
      <c r="C1525" s="363">
        <v>16216</v>
      </c>
      <c r="D1525" s="252">
        <f t="shared" si="46"/>
        <v>-2.8359000283595392E-4</v>
      </c>
      <c r="F1525" s="440">
        <v>44754</v>
      </c>
      <c r="G1525" s="170">
        <v>851.6</v>
      </c>
      <c r="H1525" s="252">
        <f t="shared" si="47"/>
        <v>-6.5908428113152784E-3</v>
      </c>
    </row>
    <row r="1526" spans="2:8" x14ac:dyDescent="0.3">
      <c r="B1526" s="440">
        <v>44754</v>
      </c>
      <c r="C1526" s="363">
        <v>16058.3</v>
      </c>
      <c r="D1526" s="252">
        <f t="shared" si="46"/>
        <v>-9.7249629995067588E-3</v>
      </c>
      <c r="F1526" s="440">
        <v>44755</v>
      </c>
      <c r="G1526" s="170">
        <v>860.15</v>
      </c>
      <c r="H1526" s="252">
        <f t="shared" si="47"/>
        <v>1.0039924847346171E-2</v>
      </c>
    </row>
    <row r="1527" spans="2:8" x14ac:dyDescent="0.3">
      <c r="B1527" s="440">
        <v>44755</v>
      </c>
      <c r="C1527" s="363">
        <v>15966.65</v>
      </c>
      <c r="D1527" s="252">
        <f t="shared" si="46"/>
        <v>-5.7073289202468347E-3</v>
      </c>
      <c r="F1527" s="440">
        <v>44756</v>
      </c>
      <c r="G1527" s="170">
        <v>879.9</v>
      </c>
      <c r="H1527" s="252">
        <f t="shared" si="47"/>
        <v>2.2961111434052217E-2</v>
      </c>
    </row>
    <row r="1528" spans="2:8" x14ac:dyDescent="0.3">
      <c r="B1528" s="440">
        <v>44756</v>
      </c>
      <c r="C1528" s="363">
        <v>15938.65</v>
      </c>
      <c r="D1528" s="252">
        <f t="shared" si="46"/>
        <v>-1.7536552752143164E-3</v>
      </c>
      <c r="F1528" s="440">
        <v>44757</v>
      </c>
      <c r="G1528" s="170">
        <v>878.4</v>
      </c>
      <c r="H1528" s="252">
        <f t="shared" si="47"/>
        <v>-1.7047391749062113E-3</v>
      </c>
    </row>
    <row r="1529" spans="2:8" x14ac:dyDescent="0.3">
      <c r="B1529" s="440">
        <v>44757</v>
      </c>
      <c r="C1529" s="363">
        <v>16049.2</v>
      </c>
      <c r="D1529" s="252">
        <f t="shared" si="46"/>
        <v>6.9359701103921534E-3</v>
      </c>
      <c r="F1529" s="440">
        <v>44760</v>
      </c>
      <c r="G1529" s="170">
        <v>882.8</v>
      </c>
      <c r="H1529" s="252">
        <f t="shared" si="47"/>
        <v>5.0091074681237746E-3</v>
      </c>
    </row>
    <row r="1530" spans="2:8" x14ac:dyDescent="0.3">
      <c r="B1530" s="440">
        <v>44760</v>
      </c>
      <c r="C1530" s="363">
        <v>16278.5</v>
      </c>
      <c r="D1530" s="252">
        <f t="shared" si="46"/>
        <v>1.4287316501756964E-2</v>
      </c>
      <c r="F1530" s="440">
        <v>44761</v>
      </c>
      <c r="G1530" s="170">
        <v>875.3</v>
      </c>
      <c r="H1530" s="252">
        <f t="shared" si="47"/>
        <v>-8.4956955142727608E-3</v>
      </c>
    </row>
    <row r="1531" spans="2:8" x14ac:dyDescent="0.3">
      <c r="B1531" s="440">
        <v>44761</v>
      </c>
      <c r="C1531" s="363">
        <v>16340.55</v>
      </c>
      <c r="D1531" s="252">
        <f t="shared" si="46"/>
        <v>3.8117762693121726E-3</v>
      </c>
      <c r="F1531" s="440">
        <v>44762</v>
      </c>
      <c r="G1531" s="170">
        <v>867.5</v>
      </c>
      <c r="H1531" s="252">
        <f t="shared" si="47"/>
        <v>-8.9112304352793048E-3</v>
      </c>
    </row>
    <row r="1532" spans="2:8" x14ac:dyDescent="0.3">
      <c r="B1532" s="440">
        <v>44762</v>
      </c>
      <c r="C1532" s="363">
        <v>16520.849999999999</v>
      </c>
      <c r="D1532" s="252">
        <f t="shared" si="46"/>
        <v>1.1033900327712232E-2</v>
      </c>
      <c r="F1532" s="440">
        <v>44763</v>
      </c>
      <c r="G1532" s="170">
        <v>869.65</v>
      </c>
      <c r="H1532" s="252">
        <f t="shared" si="47"/>
        <v>2.4783861671469065E-3</v>
      </c>
    </row>
    <row r="1533" spans="2:8" x14ac:dyDescent="0.3">
      <c r="B1533" s="440">
        <v>44763</v>
      </c>
      <c r="C1533" s="363">
        <v>16605.25</v>
      </c>
      <c r="D1533" s="252">
        <f t="shared" si="46"/>
        <v>5.1086959811390553E-3</v>
      </c>
      <c r="F1533" s="440">
        <v>44764</v>
      </c>
      <c r="G1533" s="170">
        <v>874.5</v>
      </c>
      <c r="H1533" s="252">
        <f t="shared" si="47"/>
        <v>5.5769562467660183E-3</v>
      </c>
    </row>
    <row r="1534" spans="2:8" x14ac:dyDescent="0.3">
      <c r="B1534" s="440">
        <v>44764</v>
      </c>
      <c r="C1534" s="363">
        <v>16719.45</v>
      </c>
      <c r="D1534" s="252">
        <f t="shared" si="46"/>
        <v>6.8773430089881238E-3</v>
      </c>
      <c r="F1534" s="440">
        <v>44767</v>
      </c>
      <c r="G1534" s="170">
        <v>868.35</v>
      </c>
      <c r="H1534" s="252">
        <f t="shared" si="47"/>
        <v>-7.0325900514579542E-3</v>
      </c>
    </row>
    <row r="1535" spans="2:8" x14ac:dyDescent="0.3">
      <c r="B1535" s="440">
        <v>44767</v>
      </c>
      <c r="C1535" s="363">
        <v>16631</v>
      </c>
      <c r="D1535" s="252">
        <f t="shared" si="46"/>
        <v>-5.2902457915781076E-3</v>
      </c>
      <c r="F1535" s="440">
        <v>44768</v>
      </c>
      <c r="G1535" s="170">
        <v>867.65</v>
      </c>
      <c r="H1535" s="252">
        <f t="shared" si="47"/>
        <v>-8.0612656187029064E-4</v>
      </c>
    </row>
    <row r="1536" spans="2:8" x14ac:dyDescent="0.3">
      <c r="B1536" s="440">
        <v>44768</v>
      </c>
      <c r="C1536" s="363">
        <v>16483.849999999999</v>
      </c>
      <c r="D1536" s="252">
        <f t="shared" si="46"/>
        <v>-8.8479345800013265E-3</v>
      </c>
      <c r="F1536" s="440">
        <v>44769</v>
      </c>
      <c r="G1536" s="170">
        <v>894</v>
      </c>
      <c r="H1536" s="252">
        <f t="shared" si="47"/>
        <v>3.0369388578343814E-2</v>
      </c>
    </row>
    <row r="1537" spans="2:8" x14ac:dyDescent="0.3">
      <c r="B1537" s="440">
        <v>44769</v>
      </c>
      <c r="C1537" s="363">
        <v>16641.8</v>
      </c>
      <c r="D1537" s="252">
        <f t="shared" si="46"/>
        <v>9.5821061220529025E-3</v>
      </c>
      <c r="F1537" s="440">
        <v>44770</v>
      </c>
      <c r="G1537" s="170">
        <v>894.85</v>
      </c>
      <c r="H1537" s="252">
        <f t="shared" si="47"/>
        <v>9.5078299776285569E-4</v>
      </c>
    </row>
    <row r="1538" spans="2:8" x14ac:dyDescent="0.3">
      <c r="B1538" s="440">
        <v>44770</v>
      </c>
      <c r="C1538" s="363">
        <v>16929.599999999999</v>
      </c>
      <c r="D1538" s="252">
        <f t="shared" si="46"/>
        <v>1.7293802353110843E-2</v>
      </c>
      <c r="F1538" s="440">
        <v>44771</v>
      </c>
      <c r="G1538" s="170">
        <v>943.2</v>
      </c>
      <c r="H1538" s="252">
        <f t="shared" si="47"/>
        <v>5.4031401910934918E-2</v>
      </c>
    </row>
    <row r="1539" spans="2:8" x14ac:dyDescent="0.3">
      <c r="B1539" s="440">
        <v>44771</v>
      </c>
      <c r="C1539" s="363">
        <v>17158.25</v>
      </c>
      <c r="D1539" s="252">
        <f t="shared" si="46"/>
        <v>1.3505930441357172E-2</v>
      </c>
      <c r="F1539" s="440">
        <v>44774</v>
      </c>
      <c r="G1539" s="170">
        <v>918.7</v>
      </c>
      <c r="H1539" s="252">
        <f t="shared" si="47"/>
        <v>-2.5975402883799847E-2</v>
      </c>
    </row>
    <row r="1540" spans="2:8" x14ac:dyDescent="0.3">
      <c r="B1540" s="440">
        <v>44774</v>
      </c>
      <c r="C1540" s="363">
        <v>17340.05</v>
      </c>
      <c r="D1540" s="252">
        <f t="shared" si="46"/>
        <v>1.0595486136406596E-2</v>
      </c>
      <c r="F1540" s="440">
        <v>44775</v>
      </c>
      <c r="G1540" s="170">
        <v>917.25</v>
      </c>
      <c r="H1540" s="252">
        <f t="shared" si="47"/>
        <v>-1.5783171873299251E-3</v>
      </c>
    </row>
    <row r="1541" spans="2:8" x14ac:dyDescent="0.3">
      <c r="B1541" s="440">
        <v>44775</v>
      </c>
      <c r="C1541" s="363">
        <v>17345.45</v>
      </c>
      <c r="D1541" s="252">
        <f t="shared" si="46"/>
        <v>3.1141778714594004E-4</v>
      </c>
      <c r="F1541" s="440">
        <v>44776</v>
      </c>
      <c r="G1541" s="170">
        <v>897</v>
      </c>
      <c r="H1541" s="252">
        <f t="shared" si="47"/>
        <v>-2.2076860179885527E-2</v>
      </c>
    </row>
    <row r="1542" spans="2:8" x14ac:dyDescent="0.3">
      <c r="B1542" s="440">
        <v>44776</v>
      </c>
      <c r="C1542" s="363">
        <v>17388.150000000001</v>
      </c>
      <c r="D1542" s="252">
        <f t="shared" si="46"/>
        <v>2.4617406870390823E-3</v>
      </c>
      <c r="F1542" s="440">
        <v>44777</v>
      </c>
      <c r="G1542" s="170">
        <v>918.5</v>
      </c>
      <c r="H1542" s="252">
        <f t="shared" si="47"/>
        <v>2.3968784838350077E-2</v>
      </c>
    </row>
    <row r="1543" spans="2:8" x14ac:dyDescent="0.3">
      <c r="B1543" s="440">
        <v>44777</v>
      </c>
      <c r="C1543" s="363">
        <v>17382</v>
      </c>
      <c r="D1543" s="252">
        <f t="shared" si="46"/>
        <v>-3.5368915036970705E-4</v>
      </c>
      <c r="F1543" s="440">
        <v>44778</v>
      </c>
      <c r="G1543" s="170">
        <v>915.95</v>
      </c>
      <c r="H1543" s="252">
        <f t="shared" si="47"/>
        <v>-2.7762656505171401E-3</v>
      </c>
    </row>
    <row r="1544" spans="2:8" x14ac:dyDescent="0.3">
      <c r="B1544" s="440">
        <v>44778</v>
      </c>
      <c r="C1544" s="363">
        <v>17397.5</v>
      </c>
      <c r="D1544" s="252">
        <f t="shared" si="46"/>
        <v>8.9172707398454953E-4</v>
      </c>
      <c r="F1544" s="440">
        <v>44781</v>
      </c>
      <c r="G1544" s="170">
        <v>910.4</v>
      </c>
      <c r="H1544" s="252">
        <f t="shared" si="47"/>
        <v>-6.0592827119384518E-3</v>
      </c>
    </row>
    <row r="1545" spans="2:8" x14ac:dyDescent="0.3">
      <c r="B1545" s="440">
        <v>44781</v>
      </c>
      <c r="C1545" s="363">
        <v>17525.099999999999</v>
      </c>
      <c r="D1545" s="252">
        <f t="shared" si="46"/>
        <v>7.3343871245867831E-3</v>
      </c>
      <c r="F1545" s="440">
        <v>44783</v>
      </c>
      <c r="G1545" s="170">
        <v>919.7</v>
      </c>
      <c r="H1545" s="252">
        <f t="shared" si="47"/>
        <v>1.0215289982425491E-2</v>
      </c>
    </row>
    <row r="1546" spans="2:8" x14ac:dyDescent="0.3">
      <c r="B1546" s="440">
        <v>44783</v>
      </c>
      <c r="C1546" s="363">
        <v>17534.75</v>
      </c>
      <c r="D1546" s="252">
        <f t="shared" si="46"/>
        <v>5.5063879806693805E-4</v>
      </c>
      <c r="F1546" s="440">
        <v>44784</v>
      </c>
      <c r="G1546" s="170">
        <v>921.05</v>
      </c>
      <c r="H1546" s="252">
        <f t="shared" si="47"/>
        <v>1.4678699575947363E-3</v>
      </c>
    </row>
    <row r="1547" spans="2:8" x14ac:dyDescent="0.3">
      <c r="B1547" s="440">
        <v>44784</v>
      </c>
      <c r="C1547" s="363">
        <v>17659</v>
      </c>
      <c r="D1547" s="252">
        <f t="shared" ref="D1547:D1610" si="48">C1547/C1546-1</f>
        <v>7.0859293688247948E-3</v>
      </c>
      <c r="F1547" s="440">
        <v>44785</v>
      </c>
      <c r="G1547" s="170">
        <v>913.45</v>
      </c>
      <c r="H1547" s="252">
        <f t="shared" ref="H1547:H1610" si="49">G1547/G1546-1</f>
        <v>-8.2514521470060664E-3</v>
      </c>
    </row>
    <row r="1548" spans="2:8" x14ac:dyDescent="0.3">
      <c r="B1548" s="440">
        <v>44785</v>
      </c>
      <c r="C1548" s="363">
        <v>17698.150000000001</v>
      </c>
      <c r="D1548" s="252">
        <f t="shared" si="48"/>
        <v>2.2169998301151406E-3</v>
      </c>
      <c r="F1548" s="440">
        <v>44789</v>
      </c>
      <c r="G1548" s="170">
        <v>914.6</v>
      </c>
      <c r="H1548" s="252">
        <f t="shared" si="49"/>
        <v>1.2589632711150767E-3</v>
      </c>
    </row>
    <row r="1549" spans="2:8" x14ac:dyDescent="0.3">
      <c r="B1549" s="440">
        <v>44789</v>
      </c>
      <c r="C1549" s="363">
        <v>17825.25</v>
      </c>
      <c r="D1549" s="252">
        <f t="shared" si="48"/>
        <v>7.1815415735541066E-3</v>
      </c>
      <c r="F1549" s="440">
        <v>44790</v>
      </c>
      <c r="G1549" s="170">
        <v>920.8</v>
      </c>
      <c r="H1549" s="252">
        <f t="shared" si="49"/>
        <v>6.7789197463370421E-3</v>
      </c>
    </row>
    <row r="1550" spans="2:8" x14ac:dyDescent="0.3">
      <c r="B1550" s="440">
        <v>44790</v>
      </c>
      <c r="C1550" s="363">
        <v>17944.25</v>
      </c>
      <c r="D1550" s="252">
        <f t="shared" si="48"/>
        <v>6.6759231988331447E-3</v>
      </c>
      <c r="F1550" s="440">
        <v>44791</v>
      </c>
      <c r="G1550" s="170">
        <v>916.75</v>
      </c>
      <c r="H1550" s="252">
        <f t="shared" si="49"/>
        <v>-4.3983492615117248E-3</v>
      </c>
    </row>
    <row r="1551" spans="2:8" x14ac:dyDescent="0.3">
      <c r="B1551" s="440">
        <v>44791</v>
      </c>
      <c r="C1551" s="363">
        <v>17956.5</v>
      </c>
      <c r="D1551" s="252">
        <f t="shared" si="48"/>
        <v>6.826699360520383E-4</v>
      </c>
      <c r="F1551" s="440">
        <v>44792</v>
      </c>
      <c r="G1551" s="170">
        <v>901.35</v>
      </c>
      <c r="H1551" s="252">
        <f t="shared" si="49"/>
        <v>-1.6798472866103031E-2</v>
      </c>
    </row>
    <row r="1552" spans="2:8" x14ac:dyDescent="0.3">
      <c r="B1552" s="440">
        <v>44792</v>
      </c>
      <c r="C1552" s="363">
        <v>17758.45</v>
      </c>
      <c r="D1552" s="252">
        <f t="shared" si="48"/>
        <v>-1.1029432239022086E-2</v>
      </c>
      <c r="F1552" s="440">
        <v>44795</v>
      </c>
      <c r="G1552" s="170">
        <v>880.55</v>
      </c>
      <c r="H1552" s="252">
        <f t="shared" si="49"/>
        <v>-2.3076496366561394E-2</v>
      </c>
    </row>
    <row r="1553" spans="2:8" x14ac:dyDescent="0.3">
      <c r="B1553" s="440">
        <v>44795</v>
      </c>
      <c r="C1553" s="363">
        <v>17490.7</v>
      </c>
      <c r="D1553" s="252">
        <f t="shared" si="48"/>
        <v>-1.5077329384039717E-2</v>
      </c>
      <c r="F1553" s="440">
        <v>44796</v>
      </c>
      <c r="G1553" s="170">
        <v>888.4</v>
      </c>
      <c r="H1553" s="252">
        <f t="shared" si="49"/>
        <v>8.9148827437397493E-3</v>
      </c>
    </row>
    <row r="1554" spans="2:8" x14ac:dyDescent="0.3">
      <c r="B1554" s="440">
        <v>44796</v>
      </c>
      <c r="C1554" s="363">
        <v>17577.5</v>
      </c>
      <c r="D1554" s="252">
        <f t="shared" si="48"/>
        <v>4.9626372872439983E-3</v>
      </c>
      <c r="F1554" s="440">
        <v>44797</v>
      </c>
      <c r="G1554" s="170">
        <v>881</v>
      </c>
      <c r="H1554" s="252">
        <f t="shared" si="49"/>
        <v>-8.329581269698294E-3</v>
      </c>
    </row>
    <row r="1555" spans="2:8" x14ac:dyDescent="0.3">
      <c r="B1555" s="440">
        <v>44797</v>
      </c>
      <c r="C1555" s="363">
        <v>17604.95</v>
      </c>
      <c r="D1555" s="252">
        <f t="shared" si="48"/>
        <v>1.5616555255297815E-3</v>
      </c>
      <c r="F1555" s="440">
        <v>44798</v>
      </c>
      <c r="G1555" s="170">
        <v>877.3</v>
      </c>
      <c r="H1555" s="252">
        <f t="shared" si="49"/>
        <v>-4.199772985244099E-3</v>
      </c>
    </row>
    <row r="1556" spans="2:8" x14ac:dyDescent="0.3">
      <c r="B1556" s="440">
        <v>44798</v>
      </c>
      <c r="C1556" s="363">
        <v>17522.45</v>
      </c>
      <c r="D1556" s="252">
        <f t="shared" si="48"/>
        <v>-4.6861820113093255E-3</v>
      </c>
      <c r="F1556" s="440">
        <v>44799</v>
      </c>
      <c r="G1556" s="170">
        <v>880.15</v>
      </c>
      <c r="H1556" s="252">
        <f t="shared" si="49"/>
        <v>3.2486036703522903E-3</v>
      </c>
    </row>
    <row r="1557" spans="2:8" x14ac:dyDescent="0.3">
      <c r="B1557" s="440">
        <v>44799</v>
      </c>
      <c r="C1557" s="363">
        <v>17558.900000000001</v>
      </c>
      <c r="D1557" s="252">
        <f t="shared" si="48"/>
        <v>2.0801885581069879E-3</v>
      </c>
      <c r="F1557" s="440">
        <v>44802</v>
      </c>
      <c r="G1557" s="170">
        <v>879.25</v>
      </c>
      <c r="H1557" s="252">
        <f t="shared" si="49"/>
        <v>-1.0225529739248396E-3</v>
      </c>
    </row>
    <row r="1558" spans="2:8" x14ac:dyDescent="0.3">
      <c r="B1558" s="440">
        <v>44802</v>
      </c>
      <c r="C1558" s="363">
        <v>17312.900000000001</v>
      </c>
      <c r="D1558" s="252">
        <f t="shared" si="48"/>
        <v>-1.400998923622776E-2</v>
      </c>
      <c r="F1558" s="440">
        <v>44803</v>
      </c>
      <c r="G1558" s="170">
        <v>893.05</v>
      </c>
      <c r="H1558" s="252">
        <f t="shared" si="49"/>
        <v>1.5695194768268417E-2</v>
      </c>
    </row>
    <row r="1559" spans="2:8" x14ac:dyDescent="0.3">
      <c r="B1559" s="440">
        <v>44803</v>
      </c>
      <c r="C1559" s="363">
        <v>17759.3</v>
      </c>
      <c r="D1559" s="252">
        <f t="shared" si="48"/>
        <v>2.5784241808131325E-2</v>
      </c>
      <c r="F1559" s="440">
        <v>44805</v>
      </c>
      <c r="G1559" s="170">
        <v>871.85</v>
      </c>
      <c r="H1559" s="252">
        <f t="shared" si="49"/>
        <v>-2.3738872403560762E-2</v>
      </c>
    </row>
    <row r="1560" spans="2:8" x14ac:dyDescent="0.3">
      <c r="B1560" s="440">
        <v>44805</v>
      </c>
      <c r="C1560" s="363">
        <v>17542.8</v>
      </c>
      <c r="D1560" s="252">
        <f t="shared" si="48"/>
        <v>-1.2190795808393329E-2</v>
      </c>
      <c r="F1560" s="440">
        <v>44806</v>
      </c>
      <c r="G1560" s="170">
        <v>869.55</v>
      </c>
      <c r="H1560" s="252">
        <f t="shared" si="49"/>
        <v>-2.6380684750818562E-3</v>
      </c>
    </row>
    <row r="1561" spans="2:8" x14ac:dyDescent="0.3">
      <c r="B1561" s="440">
        <v>44806</v>
      </c>
      <c r="C1561" s="363">
        <v>17539.45</v>
      </c>
      <c r="D1561" s="252">
        <f t="shared" si="48"/>
        <v>-1.9096153407660577E-4</v>
      </c>
      <c r="F1561" s="440">
        <v>44809</v>
      </c>
      <c r="G1561" s="170">
        <v>884.6</v>
      </c>
      <c r="H1561" s="252">
        <f t="shared" si="49"/>
        <v>1.7307802886550538E-2</v>
      </c>
    </row>
    <row r="1562" spans="2:8" x14ac:dyDescent="0.3">
      <c r="B1562" s="440">
        <v>44809</v>
      </c>
      <c r="C1562" s="363">
        <v>17665.8</v>
      </c>
      <c r="D1562" s="252">
        <f t="shared" si="48"/>
        <v>7.2037606652430863E-3</v>
      </c>
      <c r="F1562" s="440">
        <v>44810</v>
      </c>
      <c r="G1562" s="170">
        <v>887.75</v>
      </c>
      <c r="H1562" s="252">
        <f t="shared" si="49"/>
        <v>3.560931494460684E-3</v>
      </c>
    </row>
    <row r="1563" spans="2:8" x14ac:dyDescent="0.3">
      <c r="B1563" s="440">
        <v>44810</v>
      </c>
      <c r="C1563" s="363">
        <v>17655.599999999999</v>
      </c>
      <c r="D1563" s="252">
        <f t="shared" si="48"/>
        <v>-5.773868152022521E-4</v>
      </c>
      <c r="F1563" s="440">
        <v>44811</v>
      </c>
      <c r="G1563" s="170">
        <v>893.75</v>
      </c>
      <c r="H1563" s="252">
        <f t="shared" si="49"/>
        <v>6.758659532525968E-3</v>
      </c>
    </row>
    <row r="1564" spans="2:8" x14ac:dyDescent="0.3">
      <c r="B1564" s="440">
        <v>44811</v>
      </c>
      <c r="C1564" s="363">
        <v>17624.400000000001</v>
      </c>
      <c r="D1564" s="252">
        <f t="shared" si="48"/>
        <v>-1.7671447019640407E-3</v>
      </c>
      <c r="F1564" s="440">
        <v>44812</v>
      </c>
      <c r="G1564" s="170">
        <v>894.3</v>
      </c>
      <c r="H1564" s="252">
        <f t="shared" si="49"/>
        <v>6.1538461538446221E-4</v>
      </c>
    </row>
    <row r="1565" spans="2:8" x14ac:dyDescent="0.3">
      <c r="B1565" s="440">
        <v>44812</v>
      </c>
      <c r="C1565" s="363">
        <v>17798.75</v>
      </c>
      <c r="D1565" s="252">
        <f t="shared" si="48"/>
        <v>9.8925353487209211E-3</v>
      </c>
      <c r="F1565" s="440">
        <v>44813</v>
      </c>
      <c r="G1565" s="170">
        <v>890</v>
      </c>
      <c r="H1565" s="252">
        <f t="shared" si="49"/>
        <v>-4.8082299004807982E-3</v>
      </c>
    </row>
    <row r="1566" spans="2:8" x14ac:dyDescent="0.3">
      <c r="B1566" s="440">
        <v>44813</v>
      </c>
      <c r="C1566" s="363">
        <v>17833.349999999999</v>
      </c>
      <c r="D1566" s="252">
        <f t="shared" si="48"/>
        <v>1.9439567385348688E-3</v>
      </c>
      <c r="F1566" s="440">
        <v>44816</v>
      </c>
      <c r="G1566" s="170">
        <v>887.7</v>
      </c>
      <c r="H1566" s="252">
        <f t="shared" si="49"/>
        <v>-2.5842696629212458E-3</v>
      </c>
    </row>
    <row r="1567" spans="2:8" x14ac:dyDescent="0.3">
      <c r="B1567" s="440">
        <v>44816</v>
      </c>
      <c r="C1567" s="363">
        <v>17936.349999999999</v>
      </c>
      <c r="D1567" s="252">
        <f t="shared" si="48"/>
        <v>5.775695536733183E-3</v>
      </c>
      <c r="F1567" s="440">
        <v>44817</v>
      </c>
      <c r="G1567" s="170">
        <v>890.15</v>
      </c>
      <c r="H1567" s="252">
        <f t="shared" si="49"/>
        <v>2.7599414216514795E-3</v>
      </c>
    </row>
    <row r="1568" spans="2:8" x14ac:dyDescent="0.3">
      <c r="B1568" s="440">
        <v>44817</v>
      </c>
      <c r="C1568" s="363">
        <v>18070.05</v>
      </c>
      <c r="D1568" s="252">
        <f t="shared" si="48"/>
        <v>7.4541364324403059E-3</v>
      </c>
      <c r="F1568" s="440">
        <v>44818</v>
      </c>
      <c r="G1568" s="170">
        <v>883.75</v>
      </c>
      <c r="H1568" s="252">
        <f t="shared" si="49"/>
        <v>-7.1897994719990477E-3</v>
      </c>
    </row>
    <row r="1569" spans="2:8" x14ac:dyDescent="0.3">
      <c r="B1569" s="440">
        <v>44818</v>
      </c>
      <c r="C1569" s="363">
        <v>18003.75</v>
      </c>
      <c r="D1569" s="252">
        <f t="shared" si="48"/>
        <v>-3.6690545958644183E-3</v>
      </c>
      <c r="F1569" s="440">
        <v>44819</v>
      </c>
      <c r="G1569" s="170">
        <v>874.3</v>
      </c>
      <c r="H1569" s="252">
        <f t="shared" si="49"/>
        <v>-1.0693069306930703E-2</v>
      </c>
    </row>
    <row r="1570" spans="2:8" x14ac:dyDescent="0.3">
      <c r="B1570" s="440">
        <v>44819</v>
      </c>
      <c r="C1570" s="363">
        <v>17877.400000000001</v>
      </c>
      <c r="D1570" s="252">
        <f t="shared" si="48"/>
        <v>-7.0179823647850137E-3</v>
      </c>
      <c r="F1570" s="440">
        <v>44820</v>
      </c>
      <c r="G1570" s="170">
        <v>868.05</v>
      </c>
      <c r="H1570" s="252">
        <f t="shared" si="49"/>
        <v>-7.1485760036600343E-3</v>
      </c>
    </row>
    <row r="1571" spans="2:8" x14ac:dyDescent="0.3">
      <c r="B1571" s="440">
        <v>44820</v>
      </c>
      <c r="C1571" s="363">
        <v>17530.849999999999</v>
      </c>
      <c r="D1571" s="252">
        <f t="shared" si="48"/>
        <v>-1.9384809871681674E-2</v>
      </c>
      <c r="F1571" s="440">
        <v>44823</v>
      </c>
      <c r="G1571" s="170">
        <v>874.85</v>
      </c>
      <c r="H1571" s="252">
        <f t="shared" si="49"/>
        <v>7.833650135360859E-3</v>
      </c>
    </row>
    <row r="1572" spans="2:8" x14ac:dyDescent="0.3">
      <c r="B1572" s="440">
        <v>44823</v>
      </c>
      <c r="C1572" s="363">
        <v>17622.25</v>
      </c>
      <c r="D1572" s="252">
        <f t="shared" si="48"/>
        <v>5.2136661941664109E-3</v>
      </c>
      <c r="F1572" s="440">
        <v>44824</v>
      </c>
      <c r="G1572" s="170">
        <v>911.95</v>
      </c>
      <c r="H1572" s="252">
        <f t="shared" si="49"/>
        <v>4.2407269817682947E-2</v>
      </c>
    </row>
    <row r="1573" spans="2:8" x14ac:dyDescent="0.3">
      <c r="B1573" s="440">
        <v>44824</v>
      </c>
      <c r="C1573" s="363">
        <v>17816.25</v>
      </c>
      <c r="D1573" s="252">
        <f t="shared" si="48"/>
        <v>1.1008809885230342E-2</v>
      </c>
      <c r="F1573" s="440">
        <v>44825</v>
      </c>
      <c r="G1573" s="170">
        <v>905.3</v>
      </c>
      <c r="H1573" s="252">
        <f t="shared" si="49"/>
        <v>-7.2920664510116584E-3</v>
      </c>
    </row>
    <row r="1574" spans="2:8" x14ac:dyDescent="0.3">
      <c r="B1574" s="440">
        <v>44825</v>
      </c>
      <c r="C1574" s="363">
        <v>17718.349999999999</v>
      </c>
      <c r="D1574" s="252">
        <f t="shared" si="48"/>
        <v>-5.4949835122430901E-3</v>
      </c>
      <c r="F1574" s="440">
        <v>44826</v>
      </c>
      <c r="G1574" s="170">
        <v>908</v>
      </c>
      <c r="H1574" s="252">
        <f t="shared" si="49"/>
        <v>2.9824367612947267E-3</v>
      </c>
    </row>
    <row r="1575" spans="2:8" x14ac:dyDescent="0.3">
      <c r="B1575" s="440">
        <v>44826</v>
      </c>
      <c r="C1575" s="363">
        <v>17629.8</v>
      </c>
      <c r="D1575" s="252">
        <f t="shared" si="48"/>
        <v>-4.9976436857833706E-3</v>
      </c>
      <c r="F1575" s="440">
        <v>44827</v>
      </c>
      <c r="G1575" s="170">
        <v>921.1</v>
      </c>
      <c r="H1575" s="252">
        <f t="shared" si="49"/>
        <v>1.4427312775330492E-2</v>
      </c>
    </row>
    <row r="1576" spans="2:8" x14ac:dyDescent="0.3">
      <c r="B1576" s="440">
        <v>44827</v>
      </c>
      <c r="C1576" s="363">
        <v>17327.349999999999</v>
      </c>
      <c r="D1576" s="252">
        <f t="shared" si="48"/>
        <v>-1.7155611521401326E-2</v>
      </c>
      <c r="F1576" s="440">
        <v>44830</v>
      </c>
      <c r="G1576" s="170">
        <v>900.7</v>
      </c>
      <c r="H1576" s="252">
        <f t="shared" si="49"/>
        <v>-2.2147432417761292E-2</v>
      </c>
    </row>
    <row r="1577" spans="2:8" x14ac:dyDescent="0.3">
      <c r="B1577" s="440">
        <v>44830</v>
      </c>
      <c r="C1577" s="363">
        <v>17016.3</v>
      </c>
      <c r="D1577" s="252">
        <f t="shared" si="48"/>
        <v>-1.7951388989083661E-2</v>
      </c>
      <c r="F1577" s="440">
        <v>44831</v>
      </c>
      <c r="G1577" s="170">
        <v>897.15</v>
      </c>
      <c r="H1577" s="252">
        <f t="shared" si="49"/>
        <v>-3.9413789275009048E-3</v>
      </c>
    </row>
    <row r="1578" spans="2:8" x14ac:dyDescent="0.3">
      <c r="B1578" s="440">
        <v>44831</v>
      </c>
      <c r="C1578" s="363">
        <v>17007.400000000001</v>
      </c>
      <c r="D1578" s="252">
        <f t="shared" si="48"/>
        <v>-5.230279202880217E-4</v>
      </c>
      <c r="F1578" s="440">
        <v>44832</v>
      </c>
      <c r="G1578" s="170">
        <v>917.85</v>
      </c>
      <c r="H1578" s="252">
        <f t="shared" si="49"/>
        <v>2.3073064704898893E-2</v>
      </c>
    </row>
    <row r="1579" spans="2:8" x14ac:dyDescent="0.3">
      <c r="B1579" s="440">
        <v>44832</v>
      </c>
      <c r="C1579" s="363">
        <v>16858.599999999999</v>
      </c>
      <c r="D1579" s="252">
        <f t="shared" si="48"/>
        <v>-8.7491327304586308E-3</v>
      </c>
      <c r="F1579" s="440">
        <v>44833</v>
      </c>
      <c r="G1579" s="170">
        <v>930.7</v>
      </c>
      <c r="H1579" s="252">
        <f t="shared" si="49"/>
        <v>1.4000108950264156E-2</v>
      </c>
    </row>
    <row r="1580" spans="2:8" x14ac:dyDescent="0.3">
      <c r="B1580" s="440">
        <v>44833</v>
      </c>
      <c r="C1580" s="363">
        <v>16818.099999999999</v>
      </c>
      <c r="D1580" s="252">
        <f t="shared" si="48"/>
        <v>-2.4023347134399797E-3</v>
      </c>
      <c r="F1580" s="440">
        <v>44834</v>
      </c>
      <c r="G1580" s="170">
        <v>948.65</v>
      </c>
      <c r="H1580" s="252">
        <f t="shared" si="49"/>
        <v>1.928655850435157E-2</v>
      </c>
    </row>
    <row r="1581" spans="2:8" x14ac:dyDescent="0.3">
      <c r="B1581" s="440">
        <v>44834</v>
      </c>
      <c r="C1581" s="363">
        <v>17094.349999999999</v>
      </c>
      <c r="D1581" s="252">
        <f t="shared" si="48"/>
        <v>1.6425755584756896E-2</v>
      </c>
      <c r="F1581" s="440">
        <v>44837</v>
      </c>
      <c r="G1581" s="170">
        <v>944.5</v>
      </c>
      <c r="H1581" s="252">
        <f t="shared" si="49"/>
        <v>-4.3746376429663059E-3</v>
      </c>
    </row>
    <row r="1582" spans="2:8" x14ac:dyDescent="0.3">
      <c r="B1582" s="440">
        <v>44837</v>
      </c>
      <c r="C1582" s="363">
        <v>16887.349999999999</v>
      </c>
      <c r="D1582" s="252">
        <f t="shared" si="48"/>
        <v>-1.2109264172080247E-2</v>
      </c>
      <c r="F1582" s="440">
        <v>44838</v>
      </c>
      <c r="G1582" s="170">
        <v>944.55</v>
      </c>
      <c r="H1582" s="252">
        <f t="shared" si="49"/>
        <v>5.2938062466756364E-5</v>
      </c>
    </row>
    <row r="1583" spans="2:8" x14ac:dyDescent="0.3">
      <c r="B1583" s="440">
        <v>44838</v>
      </c>
      <c r="C1583" s="363">
        <v>17274.3</v>
      </c>
      <c r="D1583" s="252">
        <f t="shared" si="48"/>
        <v>2.2913601009039386E-2</v>
      </c>
      <c r="F1583" s="440">
        <v>44840</v>
      </c>
      <c r="G1583" s="170">
        <v>953.9</v>
      </c>
      <c r="H1583" s="252">
        <f t="shared" si="49"/>
        <v>9.8988936530624017E-3</v>
      </c>
    </row>
    <row r="1584" spans="2:8" x14ac:dyDescent="0.3">
      <c r="B1584" s="440">
        <v>44840</v>
      </c>
      <c r="C1584" s="363">
        <v>17331.8</v>
      </c>
      <c r="D1584" s="252">
        <f t="shared" si="48"/>
        <v>3.3286442865991805E-3</v>
      </c>
      <c r="F1584" s="440">
        <v>44841</v>
      </c>
      <c r="G1584" s="170">
        <v>955.15</v>
      </c>
      <c r="H1584" s="252">
        <f t="shared" si="49"/>
        <v>1.3104098962155586E-3</v>
      </c>
    </row>
    <row r="1585" spans="2:8" x14ac:dyDescent="0.3">
      <c r="B1585" s="440">
        <v>44841</v>
      </c>
      <c r="C1585" s="363">
        <v>17314.650000000001</v>
      </c>
      <c r="D1585" s="252">
        <f t="shared" si="48"/>
        <v>-9.8951061055385647E-4</v>
      </c>
      <c r="F1585" s="440">
        <v>44844</v>
      </c>
      <c r="G1585" s="170">
        <v>946.05</v>
      </c>
      <c r="H1585" s="252">
        <f t="shared" si="49"/>
        <v>-9.5272993770612047E-3</v>
      </c>
    </row>
    <row r="1586" spans="2:8" x14ac:dyDescent="0.3">
      <c r="B1586" s="440">
        <v>44844</v>
      </c>
      <c r="C1586" s="363">
        <v>17241</v>
      </c>
      <c r="D1586" s="252">
        <f t="shared" si="48"/>
        <v>-4.2536233767359599E-3</v>
      </c>
      <c r="F1586" s="440">
        <v>44845</v>
      </c>
      <c r="G1586" s="170">
        <v>944.75</v>
      </c>
      <c r="H1586" s="252">
        <f t="shared" si="49"/>
        <v>-1.374134559484097E-3</v>
      </c>
    </row>
    <row r="1587" spans="2:8" x14ac:dyDescent="0.3">
      <c r="B1587" s="440">
        <v>44845</v>
      </c>
      <c r="C1587" s="363">
        <v>16983.55</v>
      </c>
      <c r="D1587" s="252">
        <f t="shared" si="48"/>
        <v>-1.4932428513427354E-2</v>
      </c>
      <c r="F1587" s="440">
        <v>44846</v>
      </c>
      <c r="G1587" s="170">
        <v>955.55</v>
      </c>
      <c r="H1587" s="252">
        <f t="shared" si="49"/>
        <v>1.1431595660227556E-2</v>
      </c>
    </row>
    <row r="1588" spans="2:8" x14ac:dyDescent="0.3">
      <c r="B1588" s="440">
        <v>44846</v>
      </c>
      <c r="C1588" s="363">
        <v>17123.599999999999</v>
      </c>
      <c r="D1588" s="252">
        <f t="shared" si="48"/>
        <v>8.2462147195374591E-3</v>
      </c>
      <c r="F1588" s="440">
        <v>44847</v>
      </c>
      <c r="G1588" s="170">
        <v>968.4</v>
      </c>
      <c r="H1588" s="252">
        <f t="shared" si="49"/>
        <v>1.3447752603212848E-2</v>
      </c>
    </row>
    <row r="1589" spans="2:8" x14ac:dyDescent="0.3">
      <c r="B1589" s="440">
        <v>44847</v>
      </c>
      <c r="C1589" s="363">
        <v>17014.349999999999</v>
      </c>
      <c r="D1589" s="252">
        <f t="shared" si="48"/>
        <v>-6.380083627274602E-3</v>
      </c>
      <c r="F1589" s="440">
        <v>44848</v>
      </c>
      <c r="G1589" s="170">
        <v>976.3</v>
      </c>
      <c r="H1589" s="252">
        <f t="shared" si="49"/>
        <v>8.1577860388268864E-3</v>
      </c>
    </row>
    <row r="1590" spans="2:8" x14ac:dyDescent="0.3">
      <c r="B1590" s="440">
        <v>44848</v>
      </c>
      <c r="C1590" s="363">
        <v>17185.7</v>
      </c>
      <c r="D1590" s="252">
        <f t="shared" si="48"/>
        <v>1.0070910731235783E-2</v>
      </c>
      <c r="F1590" s="440">
        <v>44851</v>
      </c>
      <c r="G1590" s="170">
        <v>980</v>
      </c>
      <c r="H1590" s="252">
        <f t="shared" si="49"/>
        <v>3.7898187032674446E-3</v>
      </c>
    </row>
    <row r="1591" spans="2:8" x14ac:dyDescent="0.3">
      <c r="B1591" s="440">
        <v>44851</v>
      </c>
      <c r="C1591" s="363">
        <v>17311.8</v>
      </c>
      <c r="D1591" s="252">
        <f t="shared" si="48"/>
        <v>7.337495708641395E-3</v>
      </c>
      <c r="F1591" s="440">
        <v>44852</v>
      </c>
      <c r="G1591" s="170">
        <v>978.35</v>
      </c>
      <c r="H1591" s="252">
        <f t="shared" si="49"/>
        <v>-1.683673469387692E-3</v>
      </c>
    </row>
    <row r="1592" spans="2:8" x14ac:dyDescent="0.3">
      <c r="B1592" s="440">
        <v>44852</v>
      </c>
      <c r="C1592" s="363">
        <v>17486.95</v>
      </c>
      <c r="D1592" s="252">
        <f t="shared" si="48"/>
        <v>1.0117376587067906E-2</v>
      </c>
      <c r="F1592" s="440">
        <v>44853</v>
      </c>
      <c r="G1592" s="170">
        <v>976.9</v>
      </c>
      <c r="H1592" s="252">
        <f t="shared" si="49"/>
        <v>-1.4820871876118913E-3</v>
      </c>
    </row>
    <row r="1593" spans="2:8" x14ac:dyDescent="0.3">
      <c r="B1593" s="440">
        <v>44853</v>
      </c>
      <c r="C1593" s="363">
        <v>17512.25</v>
      </c>
      <c r="D1593" s="252">
        <f t="shared" si="48"/>
        <v>1.4467931800570266E-3</v>
      </c>
      <c r="F1593" s="440">
        <v>44854</v>
      </c>
      <c r="G1593" s="170">
        <v>980.35</v>
      </c>
      <c r="H1593" s="252">
        <f t="shared" si="49"/>
        <v>3.531579486129699E-3</v>
      </c>
    </row>
    <row r="1594" spans="2:8" x14ac:dyDescent="0.3">
      <c r="B1594" s="440">
        <v>44854</v>
      </c>
      <c r="C1594" s="363">
        <v>17563.95</v>
      </c>
      <c r="D1594" s="252">
        <f t="shared" si="48"/>
        <v>2.9522191608730708E-3</v>
      </c>
      <c r="F1594" s="440">
        <v>44855</v>
      </c>
      <c r="G1594" s="170">
        <v>977.7</v>
      </c>
      <c r="H1594" s="252">
        <f t="shared" si="49"/>
        <v>-2.7031162339979931E-3</v>
      </c>
    </row>
    <row r="1595" spans="2:8" x14ac:dyDescent="0.3">
      <c r="B1595" s="440">
        <v>44855</v>
      </c>
      <c r="C1595" s="363">
        <v>17576.3</v>
      </c>
      <c r="D1595" s="252">
        <f t="shared" si="48"/>
        <v>7.0314479373934091E-4</v>
      </c>
      <c r="F1595" s="440">
        <v>44858</v>
      </c>
      <c r="G1595" s="170">
        <v>987</v>
      </c>
      <c r="H1595" s="252">
        <f t="shared" si="49"/>
        <v>9.5121202822952E-3</v>
      </c>
    </row>
    <row r="1596" spans="2:8" x14ac:dyDescent="0.3">
      <c r="B1596" s="440">
        <v>44858</v>
      </c>
      <c r="C1596" s="363">
        <v>17730.75</v>
      </c>
      <c r="D1596" s="252">
        <f t="shared" si="48"/>
        <v>8.7874012164108617E-3</v>
      </c>
      <c r="F1596" s="440">
        <v>44859</v>
      </c>
      <c r="G1596" s="170">
        <v>991.55</v>
      </c>
      <c r="H1596" s="252">
        <f t="shared" si="49"/>
        <v>4.6099290780141633E-3</v>
      </c>
    </row>
    <row r="1597" spans="2:8" x14ac:dyDescent="0.3">
      <c r="B1597" s="440">
        <v>44859</v>
      </c>
      <c r="C1597" s="363">
        <v>17656.349999999999</v>
      </c>
      <c r="D1597" s="252">
        <f t="shared" si="48"/>
        <v>-4.1960999957701972E-3</v>
      </c>
      <c r="F1597" s="440">
        <v>44861</v>
      </c>
      <c r="G1597" s="363">
        <v>1011.65</v>
      </c>
      <c r="H1597" s="252">
        <f t="shared" si="49"/>
        <v>2.0271292420957154E-2</v>
      </c>
    </row>
    <row r="1598" spans="2:8" x14ac:dyDescent="0.3">
      <c r="B1598" s="440">
        <v>44861</v>
      </c>
      <c r="C1598" s="363">
        <v>17736.95</v>
      </c>
      <c r="D1598" s="252">
        <f t="shared" si="48"/>
        <v>4.5649298977423758E-3</v>
      </c>
      <c r="F1598" s="440">
        <v>44862</v>
      </c>
      <c r="G1598" s="170">
        <v>990</v>
      </c>
      <c r="H1598" s="252">
        <f t="shared" si="49"/>
        <v>-2.1400682054070086E-2</v>
      </c>
    </row>
    <row r="1599" spans="2:8" x14ac:dyDescent="0.3">
      <c r="B1599" s="440">
        <v>44862</v>
      </c>
      <c r="C1599" s="363">
        <v>17786.8</v>
      </c>
      <c r="D1599" s="252">
        <f t="shared" si="48"/>
        <v>2.8105170280121605E-3</v>
      </c>
      <c r="F1599" s="440">
        <v>44865</v>
      </c>
      <c r="G1599" s="363">
        <v>1016.9</v>
      </c>
      <c r="H1599" s="252">
        <f t="shared" si="49"/>
        <v>2.717171717171718E-2</v>
      </c>
    </row>
    <row r="1600" spans="2:8" x14ac:dyDescent="0.3">
      <c r="B1600" s="440">
        <v>44865</v>
      </c>
      <c r="C1600" s="363">
        <v>18012.2</v>
      </c>
      <c r="D1600" s="252">
        <f t="shared" si="48"/>
        <v>1.2672318798210069E-2</v>
      </c>
      <c r="F1600" s="440">
        <v>44866</v>
      </c>
      <c r="G1600" s="363">
        <v>1036.5999999999999</v>
      </c>
      <c r="H1600" s="252">
        <f t="shared" si="49"/>
        <v>1.937260300914545E-2</v>
      </c>
    </row>
    <row r="1601" spans="2:8" x14ac:dyDescent="0.3">
      <c r="B1601" s="440">
        <v>44866</v>
      </c>
      <c r="C1601" s="363">
        <v>18145.400000000001</v>
      </c>
      <c r="D1601" s="252">
        <f t="shared" si="48"/>
        <v>7.3949878415739967E-3</v>
      </c>
      <c r="F1601" s="440">
        <v>44867</v>
      </c>
      <c r="G1601" s="363">
        <v>1051.95</v>
      </c>
      <c r="H1601" s="252">
        <f t="shared" si="49"/>
        <v>1.4808026239629735E-2</v>
      </c>
    </row>
    <row r="1602" spans="2:8" x14ac:dyDescent="0.3">
      <c r="B1602" s="440">
        <v>44867</v>
      </c>
      <c r="C1602" s="363">
        <v>18082.849999999999</v>
      </c>
      <c r="D1602" s="252">
        <f t="shared" si="48"/>
        <v>-3.4471546507656159E-3</v>
      </c>
      <c r="F1602" s="440">
        <v>44868</v>
      </c>
      <c r="G1602" s="363">
        <v>1044.2</v>
      </c>
      <c r="H1602" s="252">
        <f t="shared" si="49"/>
        <v>-7.3672703075241541E-3</v>
      </c>
    </row>
    <row r="1603" spans="2:8" x14ac:dyDescent="0.3">
      <c r="B1603" s="440">
        <v>44868</v>
      </c>
      <c r="C1603" s="363">
        <v>18052.7</v>
      </c>
      <c r="D1603" s="252">
        <f t="shared" si="48"/>
        <v>-1.6673256704555772E-3</v>
      </c>
      <c r="F1603" s="440">
        <v>44869</v>
      </c>
      <c r="G1603" s="363">
        <v>1039.9000000000001</v>
      </c>
      <c r="H1603" s="252">
        <f t="shared" si="49"/>
        <v>-4.1179850603332291E-3</v>
      </c>
    </row>
    <row r="1604" spans="2:8" x14ac:dyDescent="0.3">
      <c r="B1604" s="440">
        <v>44869</v>
      </c>
      <c r="C1604" s="363">
        <v>18117.150000000001</v>
      </c>
      <c r="D1604" s="252">
        <f t="shared" si="48"/>
        <v>3.5701030870729511E-3</v>
      </c>
      <c r="F1604" s="440">
        <v>44872</v>
      </c>
      <c r="G1604" s="363">
        <v>1028.3499999999999</v>
      </c>
      <c r="H1604" s="252">
        <f t="shared" si="49"/>
        <v>-1.1106837195884345E-2</v>
      </c>
    </row>
    <row r="1605" spans="2:8" x14ac:dyDescent="0.3">
      <c r="B1605" s="440">
        <v>44872</v>
      </c>
      <c r="C1605" s="363">
        <v>18202.8</v>
      </c>
      <c r="D1605" s="252">
        <f t="shared" si="48"/>
        <v>4.7275647659812403E-3</v>
      </c>
      <c r="F1605" s="440">
        <v>44874</v>
      </c>
      <c r="G1605" s="363">
        <v>1013.55</v>
      </c>
      <c r="H1605" s="252">
        <f t="shared" si="49"/>
        <v>-1.439198716390333E-2</v>
      </c>
    </row>
    <row r="1606" spans="2:8" x14ac:dyDescent="0.3">
      <c r="B1606" s="440">
        <v>44874</v>
      </c>
      <c r="C1606" s="363">
        <v>18157</v>
      </c>
      <c r="D1606" s="252">
        <f t="shared" si="48"/>
        <v>-2.5160964247258333E-3</v>
      </c>
      <c r="F1606" s="440">
        <v>44875</v>
      </c>
      <c r="G1606" s="363">
        <v>1010.65</v>
      </c>
      <c r="H1606" s="252">
        <f t="shared" si="49"/>
        <v>-2.8612303290415086E-3</v>
      </c>
    </row>
    <row r="1607" spans="2:8" x14ac:dyDescent="0.3">
      <c r="B1607" s="440">
        <v>44875</v>
      </c>
      <c r="C1607" s="363">
        <v>18028.2</v>
      </c>
      <c r="D1607" s="252">
        <f t="shared" si="48"/>
        <v>-7.0936828771271943E-3</v>
      </c>
      <c r="F1607" s="440">
        <v>44876</v>
      </c>
      <c r="G1607" s="363">
        <v>1013.55</v>
      </c>
      <c r="H1607" s="252">
        <f t="shared" si="49"/>
        <v>2.8694404591105283E-3</v>
      </c>
    </row>
    <row r="1608" spans="2:8" x14ac:dyDescent="0.3">
      <c r="B1608" s="440">
        <v>44876</v>
      </c>
      <c r="C1608" s="363">
        <v>18349.7</v>
      </c>
      <c r="D1608" s="252">
        <f t="shared" si="48"/>
        <v>1.7833172474234882E-2</v>
      </c>
      <c r="F1608" s="440">
        <v>44879</v>
      </c>
      <c r="G1608" s="363">
        <v>1016.9</v>
      </c>
      <c r="H1608" s="252">
        <f t="shared" si="49"/>
        <v>3.3052143456169247E-3</v>
      </c>
    </row>
    <row r="1609" spans="2:8" x14ac:dyDescent="0.3">
      <c r="B1609" s="440">
        <v>44879</v>
      </c>
      <c r="C1609" s="363">
        <v>18329.150000000001</v>
      </c>
      <c r="D1609" s="252">
        <f t="shared" si="48"/>
        <v>-1.1199093173185348E-3</v>
      </c>
      <c r="F1609" s="440">
        <v>44880</v>
      </c>
      <c r="G1609" s="363">
        <v>1016.05</v>
      </c>
      <c r="H1609" s="252">
        <f t="shared" si="49"/>
        <v>-8.3587373389715225E-4</v>
      </c>
    </row>
    <row r="1610" spans="2:8" x14ac:dyDescent="0.3">
      <c r="B1610" s="440">
        <v>44880</v>
      </c>
      <c r="C1610" s="363">
        <v>18403.400000000001</v>
      </c>
      <c r="D1610" s="252">
        <f t="shared" si="48"/>
        <v>4.0509243472828249E-3</v>
      </c>
      <c r="F1610" s="440">
        <v>44881</v>
      </c>
      <c r="G1610" s="363">
        <v>1018.65</v>
      </c>
      <c r="H1610" s="252">
        <f t="shared" si="49"/>
        <v>2.5589291865557584E-3</v>
      </c>
    </row>
    <row r="1611" spans="2:8" x14ac:dyDescent="0.3">
      <c r="B1611" s="440">
        <v>44881</v>
      </c>
      <c r="C1611" s="363">
        <v>18409.650000000001</v>
      </c>
      <c r="D1611" s="252">
        <f t="shared" ref="D1611:D1674" si="50">C1611/C1610-1</f>
        <v>3.3961115880765114E-4</v>
      </c>
      <c r="F1611" s="440">
        <v>44882</v>
      </c>
      <c r="G1611" s="363">
        <v>1013.35</v>
      </c>
      <c r="H1611" s="252">
        <f t="shared" ref="H1611:H1674" si="51">G1611/G1610-1</f>
        <v>-5.2029647081921482E-3</v>
      </c>
    </row>
    <row r="1612" spans="2:8" x14ac:dyDescent="0.3">
      <c r="B1612" s="440">
        <v>44882</v>
      </c>
      <c r="C1612" s="363">
        <v>18343.900000000001</v>
      </c>
      <c r="D1612" s="252">
        <f t="shared" si="50"/>
        <v>-3.5714964706010655E-3</v>
      </c>
      <c r="F1612" s="440">
        <v>44883</v>
      </c>
      <c r="G1612" s="363">
        <v>1009.6</v>
      </c>
      <c r="H1612" s="252">
        <f t="shared" si="51"/>
        <v>-3.7005970296540847E-3</v>
      </c>
    </row>
    <row r="1613" spans="2:8" x14ac:dyDescent="0.3">
      <c r="B1613" s="440">
        <v>44883</v>
      </c>
      <c r="C1613" s="363">
        <v>18307.650000000001</v>
      </c>
      <c r="D1613" s="252">
        <f t="shared" si="50"/>
        <v>-1.9761337556354341E-3</v>
      </c>
      <c r="F1613" s="440">
        <v>44886</v>
      </c>
      <c r="G1613" s="363">
        <v>1003.15</v>
      </c>
      <c r="H1613" s="252">
        <f t="shared" si="51"/>
        <v>-6.388668779714779E-3</v>
      </c>
    </row>
    <row r="1614" spans="2:8" x14ac:dyDescent="0.3">
      <c r="B1614" s="440">
        <v>44886</v>
      </c>
      <c r="C1614" s="363">
        <v>18159.95</v>
      </c>
      <c r="D1614" s="252">
        <f t="shared" si="50"/>
        <v>-8.0676657025888776E-3</v>
      </c>
      <c r="F1614" s="440">
        <v>44887</v>
      </c>
      <c r="G1614" s="363">
        <v>1010.1</v>
      </c>
      <c r="H1614" s="252">
        <f t="shared" si="51"/>
        <v>6.9281762448287765E-3</v>
      </c>
    </row>
    <row r="1615" spans="2:8" x14ac:dyDescent="0.3">
      <c r="B1615" s="440">
        <v>44887</v>
      </c>
      <c r="C1615" s="363">
        <v>18244.2</v>
      </c>
      <c r="D1615" s="252">
        <f t="shared" si="50"/>
        <v>4.6393299541023225E-3</v>
      </c>
      <c r="F1615" s="440">
        <v>44888</v>
      </c>
      <c r="G1615" s="363">
        <v>1017.65</v>
      </c>
      <c r="H1615" s="252">
        <f t="shared" si="51"/>
        <v>7.474507474507508E-3</v>
      </c>
    </row>
    <row r="1616" spans="2:8" x14ac:dyDescent="0.3">
      <c r="B1616" s="440">
        <v>44888</v>
      </c>
      <c r="C1616" s="363">
        <v>18267.25</v>
      </c>
      <c r="D1616" s="252">
        <f t="shared" si="50"/>
        <v>1.2634152223720552E-3</v>
      </c>
      <c r="F1616" s="440">
        <v>44889</v>
      </c>
      <c r="G1616" s="363">
        <v>1035.0999999999999</v>
      </c>
      <c r="H1616" s="252">
        <f t="shared" si="51"/>
        <v>1.7147349285117519E-2</v>
      </c>
    </row>
    <row r="1617" spans="2:8" x14ac:dyDescent="0.3">
      <c r="B1617" s="440">
        <v>44889</v>
      </c>
      <c r="C1617" s="363">
        <v>18484.099999999999</v>
      </c>
      <c r="D1617" s="252">
        <f t="shared" si="50"/>
        <v>1.1870971273727493E-2</v>
      </c>
      <c r="F1617" s="440">
        <v>44890</v>
      </c>
      <c r="G1617" s="363">
        <v>1033.8499999999999</v>
      </c>
      <c r="H1617" s="252">
        <f t="shared" si="51"/>
        <v>-1.2076127910346512E-3</v>
      </c>
    </row>
    <row r="1618" spans="2:8" x14ac:dyDescent="0.3">
      <c r="B1618" s="440">
        <v>44890</v>
      </c>
      <c r="C1618" s="363">
        <v>18512.75</v>
      </c>
      <c r="D1618" s="252">
        <f t="shared" si="50"/>
        <v>1.5499807943044619E-3</v>
      </c>
      <c r="F1618" s="440">
        <v>44893</v>
      </c>
      <c r="G1618" s="363">
        <v>1034.75</v>
      </c>
      <c r="H1618" s="252">
        <f t="shared" si="51"/>
        <v>8.7053247569768288E-4</v>
      </c>
    </row>
    <row r="1619" spans="2:8" x14ac:dyDescent="0.3">
      <c r="B1619" s="440">
        <v>44893</v>
      </c>
      <c r="C1619" s="363">
        <v>18562.75</v>
      </c>
      <c r="D1619" s="252">
        <f t="shared" si="50"/>
        <v>2.7008413120686026E-3</v>
      </c>
      <c r="F1619" s="440">
        <v>44894</v>
      </c>
      <c r="G1619" s="363">
        <v>1049.8499999999999</v>
      </c>
      <c r="H1619" s="252">
        <f t="shared" si="51"/>
        <v>1.4592896834984215E-2</v>
      </c>
    </row>
    <row r="1620" spans="2:8" x14ac:dyDescent="0.3">
      <c r="B1620" s="440">
        <v>44894</v>
      </c>
      <c r="C1620" s="363">
        <v>18618.05</v>
      </c>
      <c r="D1620" s="252">
        <f t="shared" si="50"/>
        <v>2.9790844567749719E-3</v>
      </c>
      <c r="F1620" s="440">
        <v>44895</v>
      </c>
      <c r="G1620" s="363">
        <v>1046.05</v>
      </c>
      <c r="H1620" s="252">
        <f t="shared" si="51"/>
        <v>-3.6195646997189135E-3</v>
      </c>
    </row>
    <row r="1621" spans="2:8" x14ac:dyDescent="0.3">
      <c r="B1621" s="440">
        <v>44895</v>
      </c>
      <c r="C1621" s="363">
        <v>18758.349999999999</v>
      </c>
      <c r="D1621" s="252">
        <f t="shared" si="50"/>
        <v>7.5356978845797506E-3</v>
      </c>
      <c r="F1621" s="440">
        <v>44896</v>
      </c>
      <c r="G1621" s="363">
        <v>1046.45</v>
      </c>
      <c r="H1621" s="252">
        <f t="shared" si="51"/>
        <v>3.8239089909675172E-4</v>
      </c>
    </row>
    <row r="1622" spans="2:8" x14ac:dyDescent="0.3">
      <c r="B1622" s="440">
        <v>44896</v>
      </c>
      <c r="C1622" s="363">
        <v>18812.5</v>
      </c>
      <c r="D1622" s="252">
        <f t="shared" si="50"/>
        <v>2.8867144498316843E-3</v>
      </c>
      <c r="F1622" s="440">
        <v>44897</v>
      </c>
      <c r="G1622" s="363">
        <v>1040</v>
      </c>
      <c r="H1622" s="252">
        <f t="shared" si="51"/>
        <v>-6.163696306560329E-3</v>
      </c>
    </row>
    <row r="1623" spans="2:8" x14ac:dyDescent="0.3">
      <c r="B1623" s="440">
        <v>44897</v>
      </c>
      <c r="C1623" s="363">
        <v>18696.099999999999</v>
      </c>
      <c r="D1623" s="252">
        <f t="shared" si="50"/>
        <v>-6.18737541528247E-3</v>
      </c>
      <c r="F1623" s="440">
        <v>44900</v>
      </c>
      <c r="G1623" s="363">
        <v>1039.4000000000001</v>
      </c>
      <c r="H1623" s="252">
        <f t="shared" si="51"/>
        <v>-5.7692307692303046E-4</v>
      </c>
    </row>
    <row r="1624" spans="2:8" x14ac:dyDescent="0.3">
      <c r="B1624" s="440">
        <v>44900</v>
      </c>
      <c r="C1624" s="363">
        <v>18701.05</v>
      </c>
      <c r="D1624" s="252">
        <f t="shared" si="50"/>
        <v>2.6476109990847263E-4</v>
      </c>
      <c r="F1624" s="440">
        <v>44901</v>
      </c>
      <c r="G1624" s="363">
        <v>1033.55</v>
      </c>
      <c r="H1624" s="252">
        <f t="shared" si="51"/>
        <v>-5.628247065614933E-3</v>
      </c>
    </row>
    <row r="1625" spans="2:8" x14ac:dyDescent="0.3">
      <c r="B1625" s="440">
        <v>44901</v>
      </c>
      <c r="C1625" s="363">
        <v>18642.75</v>
      </c>
      <c r="D1625" s="252">
        <f t="shared" si="50"/>
        <v>-3.1174720136034617E-3</v>
      </c>
      <c r="F1625" s="440">
        <v>44902</v>
      </c>
      <c r="G1625" s="363">
        <v>1017.75</v>
      </c>
      <c r="H1625" s="252">
        <f t="shared" si="51"/>
        <v>-1.5287117217357649E-2</v>
      </c>
    </row>
    <row r="1626" spans="2:8" x14ac:dyDescent="0.3">
      <c r="B1626" s="440">
        <v>44902</v>
      </c>
      <c r="C1626" s="363">
        <v>18560.5</v>
      </c>
      <c r="D1626" s="252">
        <f t="shared" si="50"/>
        <v>-4.4119027503989328E-3</v>
      </c>
      <c r="F1626" s="440">
        <v>44903</v>
      </c>
      <c r="G1626" s="170">
        <v>980.8</v>
      </c>
      <c r="H1626" s="252">
        <f t="shared" si="51"/>
        <v>-3.6305576025546626E-2</v>
      </c>
    </row>
    <row r="1627" spans="2:8" x14ac:dyDescent="0.3">
      <c r="B1627" s="440">
        <v>44903</v>
      </c>
      <c r="C1627" s="363">
        <v>18609.349999999999</v>
      </c>
      <c r="D1627" s="252">
        <f t="shared" si="50"/>
        <v>2.6319334069664357E-3</v>
      </c>
      <c r="F1627" s="440">
        <v>44904</v>
      </c>
      <c r="G1627" s="170">
        <v>992.85</v>
      </c>
      <c r="H1627" s="252">
        <f t="shared" si="51"/>
        <v>1.2285889070146938E-2</v>
      </c>
    </row>
    <row r="1628" spans="2:8" x14ac:dyDescent="0.3">
      <c r="B1628" s="440">
        <v>44904</v>
      </c>
      <c r="C1628" s="363">
        <v>18496.599999999999</v>
      </c>
      <c r="D1628" s="252">
        <f t="shared" si="50"/>
        <v>-6.058782278800745E-3</v>
      </c>
      <c r="F1628" s="440">
        <v>44907</v>
      </c>
      <c r="G1628" s="170">
        <v>987.4</v>
      </c>
      <c r="H1628" s="252">
        <f t="shared" si="51"/>
        <v>-5.4892481240872426E-3</v>
      </c>
    </row>
    <row r="1629" spans="2:8" x14ac:dyDescent="0.3">
      <c r="B1629" s="440">
        <v>44907</v>
      </c>
      <c r="C1629" s="363">
        <v>18497.150000000001</v>
      </c>
      <c r="D1629" s="252">
        <f t="shared" si="50"/>
        <v>2.9735194576385737E-5</v>
      </c>
      <c r="F1629" s="440">
        <v>44908</v>
      </c>
      <c r="G1629" s="170">
        <v>994.65</v>
      </c>
      <c r="H1629" s="252">
        <f t="shared" si="51"/>
        <v>7.3425156977922068E-3</v>
      </c>
    </row>
    <row r="1630" spans="2:8" x14ac:dyDescent="0.3">
      <c r="B1630" s="440">
        <v>44908</v>
      </c>
      <c r="C1630" s="363">
        <v>18608</v>
      </c>
      <c r="D1630" s="252">
        <f t="shared" si="50"/>
        <v>5.9928151093546767E-3</v>
      </c>
      <c r="F1630" s="440">
        <v>44909</v>
      </c>
      <c r="G1630" s="363">
        <v>1000.25</v>
      </c>
      <c r="H1630" s="252">
        <f t="shared" si="51"/>
        <v>5.6301211481426527E-3</v>
      </c>
    </row>
    <row r="1631" spans="2:8" x14ac:dyDescent="0.3">
      <c r="B1631" s="440">
        <v>44909</v>
      </c>
      <c r="C1631" s="363">
        <v>18660.3</v>
      </c>
      <c r="D1631" s="252">
        <f t="shared" si="50"/>
        <v>2.8106190885639482E-3</v>
      </c>
      <c r="F1631" s="440">
        <v>44910</v>
      </c>
      <c r="G1631" s="363">
        <v>1002.2</v>
      </c>
      <c r="H1631" s="252">
        <f t="shared" si="51"/>
        <v>1.9495126218445069E-3</v>
      </c>
    </row>
    <row r="1632" spans="2:8" x14ac:dyDescent="0.3">
      <c r="B1632" s="440">
        <v>44910</v>
      </c>
      <c r="C1632" s="363">
        <v>18414.900000000001</v>
      </c>
      <c r="D1632" s="252">
        <f t="shared" si="50"/>
        <v>-1.3150913972444056E-2</v>
      </c>
      <c r="F1632" s="440">
        <v>44911</v>
      </c>
      <c r="G1632" s="170">
        <v>993.65</v>
      </c>
      <c r="H1632" s="252">
        <f t="shared" si="51"/>
        <v>-8.5312312911595134E-3</v>
      </c>
    </row>
    <row r="1633" spans="2:8" x14ac:dyDescent="0.3">
      <c r="B1633" s="440">
        <v>44911</v>
      </c>
      <c r="C1633" s="363">
        <v>18269</v>
      </c>
      <c r="D1633" s="252">
        <f t="shared" si="50"/>
        <v>-7.9229319735649728E-3</v>
      </c>
      <c r="F1633" s="440">
        <v>44914</v>
      </c>
      <c r="G1633" s="170">
        <v>987.95</v>
      </c>
      <c r="H1633" s="252">
        <f t="shared" si="51"/>
        <v>-5.7364263070497357E-3</v>
      </c>
    </row>
    <row r="1634" spans="2:8" x14ac:dyDescent="0.3">
      <c r="B1634" s="440">
        <v>44914</v>
      </c>
      <c r="C1634" s="363">
        <v>18420.45</v>
      </c>
      <c r="D1634" s="252">
        <f t="shared" si="50"/>
        <v>8.2899994526246523E-3</v>
      </c>
      <c r="F1634" s="440">
        <v>44915</v>
      </c>
      <c r="G1634" s="170">
        <v>988.35</v>
      </c>
      <c r="H1634" s="252">
        <f t="shared" si="51"/>
        <v>4.0487878941242172E-4</v>
      </c>
    </row>
    <row r="1635" spans="2:8" x14ac:dyDescent="0.3">
      <c r="B1635" s="440">
        <v>44915</v>
      </c>
      <c r="C1635" s="363">
        <v>18385.3</v>
      </c>
      <c r="D1635" s="252">
        <f t="shared" si="50"/>
        <v>-1.9082052827157359E-3</v>
      </c>
      <c r="F1635" s="440">
        <v>44916</v>
      </c>
      <c r="G1635" s="363">
        <v>1005.6</v>
      </c>
      <c r="H1635" s="252">
        <f t="shared" si="51"/>
        <v>1.745333130975868E-2</v>
      </c>
    </row>
    <row r="1636" spans="2:8" x14ac:dyDescent="0.3">
      <c r="B1636" s="440">
        <v>44916</v>
      </c>
      <c r="C1636" s="363">
        <v>18199.099999999999</v>
      </c>
      <c r="D1636" s="252">
        <f t="shared" si="50"/>
        <v>-1.0127656334136592E-2</v>
      </c>
      <c r="F1636" s="440">
        <v>44917</v>
      </c>
      <c r="G1636" s="363">
        <v>1010.65</v>
      </c>
      <c r="H1636" s="252">
        <f t="shared" si="51"/>
        <v>5.0218774860779636E-3</v>
      </c>
    </row>
    <row r="1637" spans="2:8" x14ac:dyDescent="0.3">
      <c r="B1637" s="440">
        <v>44917</v>
      </c>
      <c r="C1637" s="363">
        <v>18127.349999999999</v>
      </c>
      <c r="D1637" s="252">
        <f t="shared" si="50"/>
        <v>-3.9425026512299732E-3</v>
      </c>
      <c r="F1637" s="440">
        <v>44918</v>
      </c>
      <c r="G1637" s="363">
        <v>1001.55</v>
      </c>
      <c r="H1637" s="252">
        <f t="shared" si="51"/>
        <v>-9.0041062682432171E-3</v>
      </c>
    </row>
    <row r="1638" spans="2:8" x14ac:dyDescent="0.3">
      <c r="B1638" s="440">
        <v>44918</v>
      </c>
      <c r="C1638" s="363">
        <v>17806.8</v>
      </c>
      <c r="D1638" s="252">
        <f t="shared" si="50"/>
        <v>-1.7683224519855267E-2</v>
      </c>
      <c r="F1638" s="440">
        <v>44921</v>
      </c>
      <c r="G1638" s="363">
        <v>1000.05</v>
      </c>
      <c r="H1638" s="252">
        <f t="shared" si="51"/>
        <v>-1.4976785981728469E-3</v>
      </c>
    </row>
    <row r="1639" spans="2:8" x14ac:dyDescent="0.3">
      <c r="B1639" s="440">
        <v>44921</v>
      </c>
      <c r="C1639" s="363">
        <v>18014.599999999999</v>
      </c>
      <c r="D1639" s="252">
        <f t="shared" si="50"/>
        <v>1.1669699216029894E-2</v>
      </c>
      <c r="F1639" s="440">
        <v>44922</v>
      </c>
      <c r="G1639" s="363">
        <v>1000.15</v>
      </c>
      <c r="H1639" s="252">
        <f t="shared" si="51"/>
        <v>9.9995000250041599E-5</v>
      </c>
    </row>
    <row r="1640" spans="2:8" x14ac:dyDescent="0.3">
      <c r="B1640" s="440">
        <v>44922</v>
      </c>
      <c r="C1640" s="363">
        <v>18132.3</v>
      </c>
      <c r="D1640" s="252">
        <f t="shared" si="50"/>
        <v>6.5335894219133994E-3</v>
      </c>
      <c r="F1640" s="440">
        <v>44923</v>
      </c>
      <c r="G1640" s="170">
        <v>995</v>
      </c>
      <c r="H1640" s="252">
        <f t="shared" si="51"/>
        <v>-5.1492276158575656E-3</v>
      </c>
    </row>
    <row r="1641" spans="2:8" x14ac:dyDescent="0.3">
      <c r="B1641" s="440">
        <v>44923</v>
      </c>
      <c r="C1641" s="363">
        <v>18122.5</v>
      </c>
      <c r="D1641" s="252">
        <f t="shared" si="50"/>
        <v>-5.4047197542506087E-4</v>
      </c>
      <c r="F1641" s="440">
        <v>44924</v>
      </c>
      <c r="G1641" s="363">
        <v>1000.55</v>
      </c>
      <c r="H1641" s="252">
        <f t="shared" si="51"/>
        <v>5.5778894472360285E-3</v>
      </c>
    </row>
    <row r="1642" spans="2:8" x14ac:dyDescent="0.3">
      <c r="B1642" s="440">
        <v>44924</v>
      </c>
      <c r="C1642" s="363">
        <v>18191</v>
      </c>
      <c r="D1642" s="252">
        <f t="shared" si="50"/>
        <v>3.7798317009243299E-3</v>
      </c>
      <c r="F1642" s="440">
        <v>44925</v>
      </c>
      <c r="G1642" s="363">
        <v>1001.4</v>
      </c>
      <c r="H1642" s="252">
        <f t="shared" si="51"/>
        <v>8.4953275698373965E-4</v>
      </c>
    </row>
    <row r="1643" spans="2:8" x14ac:dyDescent="0.3">
      <c r="B1643" s="440">
        <v>44925</v>
      </c>
      <c r="C1643" s="363">
        <v>18105.3</v>
      </c>
      <c r="D1643" s="252">
        <f t="shared" si="50"/>
        <v>-4.7111208839536456E-3</v>
      </c>
      <c r="F1643" s="440">
        <v>44928</v>
      </c>
      <c r="G1643" s="170">
        <v>997</v>
      </c>
      <c r="H1643" s="252">
        <f t="shared" si="51"/>
        <v>-4.3938486119432518E-3</v>
      </c>
    </row>
    <row r="1644" spans="2:8" x14ac:dyDescent="0.3">
      <c r="B1644" s="440">
        <v>44928</v>
      </c>
      <c r="C1644" s="363">
        <v>18197.45</v>
      </c>
      <c r="D1644" s="252">
        <f t="shared" si="50"/>
        <v>5.0896698756719427E-3</v>
      </c>
      <c r="F1644" s="440">
        <v>44929</v>
      </c>
      <c r="G1644" s="363">
        <v>1009.1</v>
      </c>
      <c r="H1644" s="252">
        <f t="shared" si="51"/>
        <v>1.2136409227682998E-2</v>
      </c>
    </row>
    <row r="1645" spans="2:8" x14ac:dyDescent="0.3">
      <c r="B1645" s="440">
        <v>44929</v>
      </c>
      <c r="C1645" s="363">
        <v>18232.55</v>
      </c>
      <c r="D1645" s="252">
        <f t="shared" si="50"/>
        <v>1.9288416783669327E-3</v>
      </c>
      <c r="F1645" s="440">
        <v>44930</v>
      </c>
      <c r="G1645" s="363">
        <v>1004.1</v>
      </c>
      <c r="H1645" s="252">
        <f t="shared" si="51"/>
        <v>-4.9549103161232733E-3</v>
      </c>
    </row>
    <row r="1646" spans="2:8" x14ac:dyDescent="0.3">
      <c r="B1646" s="440">
        <v>44930</v>
      </c>
      <c r="C1646" s="363">
        <v>18042.95</v>
      </c>
      <c r="D1646" s="252">
        <f t="shared" si="50"/>
        <v>-1.0398984234240349E-2</v>
      </c>
      <c r="F1646" s="440">
        <v>44931</v>
      </c>
      <c r="G1646" s="363">
        <v>1016.2</v>
      </c>
      <c r="H1646" s="252">
        <f t="shared" si="51"/>
        <v>1.2050592570461038E-2</v>
      </c>
    </row>
    <row r="1647" spans="2:8" x14ac:dyDescent="0.3">
      <c r="B1647" s="440">
        <v>44931</v>
      </c>
      <c r="C1647" s="363">
        <v>17992.150000000001</v>
      </c>
      <c r="D1647" s="252">
        <f t="shared" si="50"/>
        <v>-2.8155041165662809E-3</v>
      </c>
      <c r="F1647" s="440">
        <v>44932</v>
      </c>
      <c r="G1647" s="363">
        <v>1008.7</v>
      </c>
      <c r="H1647" s="252">
        <f t="shared" si="51"/>
        <v>-7.3804369218657406E-3</v>
      </c>
    </row>
    <row r="1648" spans="2:8" x14ac:dyDescent="0.3">
      <c r="B1648" s="440">
        <v>44932</v>
      </c>
      <c r="C1648" s="363">
        <v>17859.45</v>
      </c>
      <c r="D1648" s="252">
        <f t="shared" si="50"/>
        <v>-7.3754387330030591E-3</v>
      </c>
      <c r="F1648" s="440">
        <v>44935</v>
      </c>
      <c r="G1648" s="363">
        <v>1016.85</v>
      </c>
      <c r="H1648" s="252">
        <f t="shared" si="51"/>
        <v>8.0797065529889522E-3</v>
      </c>
    </row>
    <row r="1649" spans="2:8" x14ac:dyDescent="0.3">
      <c r="B1649" s="440">
        <v>44935</v>
      </c>
      <c r="C1649" s="363">
        <v>18101.2</v>
      </c>
      <c r="D1649" s="252">
        <f t="shared" si="50"/>
        <v>1.3536251116355702E-2</v>
      </c>
      <c r="F1649" s="440">
        <v>44936</v>
      </c>
      <c r="G1649" s="363">
        <v>1011.85</v>
      </c>
      <c r="H1649" s="252">
        <f t="shared" si="51"/>
        <v>-4.917146088410318E-3</v>
      </c>
    </row>
    <row r="1650" spans="2:8" x14ac:dyDescent="0.3">
      <c r="B1650" s="440">
        <v>44936</v>
      </c>
      <c r="C1650" s="363">
        <v>17914.150000000001</v>
      </c>
      <c r="D1650" s="252">
        <f t="shared" si="50"/>
        <v>-1.0333569045146151E-2</v>
      </c>
      <c r="F1650" s="440">
        <v>44937</v>
      </c>
      <c r="G1650" s="363">
        <v>1028</v>
      </c>
      <c r="H1650" s="252">
        <f t="shared" si="51"/>
        <v>1.5960863764391986E-2</v>
      </c>
    </row>
    <row r="1651" spans="2:8" x14ac:dyDescent="0.3">
      <c r="B1651" s="440">
        <v>44937</v>
      </c>
      <c r="C1651" s="363">
        <v>17895.7</v>
      </c>
      <c r="D1651" s="252">
        <f t="shared" si="50"/>
        <v>-1.0299121085846075E-3</v>
      </c>
      <c r="F1651" s="440">
        <v>44938</v>
      </c>
      <c r="G1651" s="363">
        <v>1032.8499999999999</v>
      </c>
      <c r="H1651" s="252">
        <f t="shared" si="51"/>
        <v>4.7178988326848081E-3</v>
      </c>
    </row>
    <row r="1652" spans="2:8" x14ac:dyDescent="0.3">
      <c r="B1652" s="440">
        <v>44938</v>
      </c>
      <c r="C1652" s="363">
        <v>17858.2</v>
      </c>
      <c r="D1652" s="252">
        <f t="shared" si="50"/>
        <v>-2.0954754494096894E-3</v>
      </c>
      <c r="F1652" s="440">
        <v>44939</v>
      </c>
      <c r="G1652" s="363">
        <v>1031.5999999999999</v>
      </c>
      <c r="H1652" s="252">
        <f t="shared" si="51"/>
        <v>-1.210243500992414E-3</v>
      </c>
    </row>
    <row r="1653" spans="2:8" x14ac:dyDescent="0.3">
      <c r="B1653" s="440">
        <v>44939</v>
      </c>
      <c r="C1653" s="363">
        <v>17956.599999999999</v>
      </c>
      <c r="D1653" s="252">
        <f t="shared" si="50"/>
        <v>5.5100738036306662E-3</v>
      </c>
      <c r="F1653" s="440">
        <v>44942</v>
      </c>
      <c r="G1653" s="363">
        <v>1035.45</v>
      </c>
      <c r="H1653" s="252">
        <f t="shared" si="51"/>
        <v>3.732066692516689E-3</v>
      </c>
    </row>
    <row r="1654" spans="2:8" x14ac:dyDescent="0.3">
      <c r="B1654" s="440">
        <v>44942</v>
      </c>
      <c r="C1654" s="363">
        <v>17894.849999999999</v>
      </c>
      <c r="D1654" s="252">
        <f t="shared" si="50"/>
        <v>-3.4388469977613134E-3</v>
      </c>
      <c r="F1654" s="440">
        <v>44943</v>
      </c>
      <c r="G1654" s="363">
        <v>1032.7</v>
      </c>
      <c r="H1654" s="252">
        <f t="shared" si="51"/>
        <v>-2.6558501134772428E-3</v>
      </c>
    </row>
    <row r="1655" spans="2:8" x14ac:dyDescent="0.3">
      <c r="B1655" s="440">
        <v>44943</v>
      </c>
      <c r="C1655" s="363">
        <v>18053.3</v>
      </c>
      <c r="D1655" s="252">
        <f t="shared" si="50"/>
        <v>8.8545028318203212E-3</v>
      </c>
      <c r="F1655" s="440">
        <v>44944</v>
      </c>
      <c r="G1655" s="363">
        <v>1040.0999999999999</v>
      </c>
      <c r="H1655" s="252">
        <f t="shared" si="51"/>
        <v>7.1656821923111735E-3</v>
      </c>
    </row>
    <row r="1656" spans="2:8" x14ac:dyDescent="0.3">
      <c r="B1656" s="440">
        <v>44944</v>
      </c>
      <c r="C1656" s="363">
        <v>18165.349999999999</v>
      </c>
      <c r="D1656" s="252">
        <f t="shared" si="50"/>
        <v>6.2066215041016726E-3</v>
      </c>
      <c r="F1656" s="440">
        <v>44945</v>
      </c>
      <c r="G1656" s="363">
        <v>1040.55</v>
      </c>
      <c r="H1656" s="252">
        <f t="shared" si="51"/>
        <v>4.3265070666276273E-4</v>
      </c>
    </row>
    <row r="1657" spans="2:8" x14ac:dyDescent="0.3">
      <c r="B1657" s="440">
        <v>44945</v>
      </c>
      <c r="C1657" s="363">
        <v>18107.849999999999</v>
      </c>
      <c r="D1657" s="252">
        <f t="shared" si="50"/>
        <v>-3.1653670311885262E-3</v>
      </c>
      <c r="F1657" s="440">
        <v>44946</v>
      </c>
      <c r="G1657" s="363">
        <v>1030.3499999999999</v>
      </c>
      <c r="H1657" s="252">
        <f t="shared" si="51"/>
        <v>-9.8025082888857362E-3</v>
      </c>
    </row>
    <row r="1658" spans="2:8" x14ac:dyDescent="0.3">
      <c r="B1658" s="440">
        <v>44946</v>
      </c>
      <c r="C1658" s="363">
        <v>18027.650000000001</v>
      </c>
      <c r="D1658" s="252">
        <f t="shared" si="50"/>
        <v>-4.4290183539181793E-3</v>
      </c>
      <c r="F1658" s="440">
        <v>44949</v>
      </c>
      <c r="G1658" s="363">
        <v>1049.3</v>
      </c>
      <c r="H1658" s="252">
        <f t="shared" si="51"/>
        <v>1.8391808608725135E-2</v>
      </c>
    </row>
    <row r="1659" spans="2:8" x14ac:dyDescent="0.3">
      <c r="B1659" s="440">
        <v>44949</v>
      </c>
      <c r="C1659" s="363">
        <v>18118.55</v>
      </c>
      <c r="D1659" s="252">
        <f t="shared" si="50"/>
        <v>5.0422545367809768E-3</v>
      </c>
      <c r="F1659" s="440">
        <v>44950</v>
      </c>
      <c r="G1659" s="363">
        <v>1040.7</v>
      </c>
      <c r="H1659" s="252">
        <f t="shared" si="51"/>
        <v>-8.1959401505764529E-3</v>
      </c>
    </row>
    <row r="1660" spans="2:8" x14ac:dyDescent="0.3">
      <c r="B1660" s="440">
        <v>44950</v>
      </c>
      <c r="C1660" s="363">
        <v>18118.3</v>
      </c>
      <c r="D1660" s="252">
        <f t="shared" si="50"/>
        <v>-1.3798013637988937E-5</v>
      </c>
      <c r="F1660" s="440">
        <v>44951</v>
      </c>
      <c r="G1660" s="363">
        <v>1040.05</v>
      </c>
      <c r="H1660" s="252">
        <f t="shared" si="51"/>
        <v>-6.2457960987805095E-4</v>
      </c>
    </row>
    <row r="1661" spans="2:8" x14ac:dyDescent="0.3">
      <c r="B1661" s="440">
        <v>44951</v>
      </c>
      <c r="C1661" s="363">
        <v>17891.95</v>
      </c>
      <c r="D1661" s="252">
        <f t="shared" si="50"/>
        <v>-1.2492893924926696E-2</v>
      </c>
      <c r="F1661" s="440">
        <v>44953</v>
      </c>
      <c r="G1661" s="363">
        <v>1043.4000000000001</v>
      </c>
      <c r="H1661" s="252">
        <f t="shared" si="51"/>
        <v>3.2209989904332659E-3</v>
      </c>
    </row>
    <row r="1662" spans="2:8" x14ac:dyDescent="0.3">
      <c r="B1662" s="440">
        <v>44953</v>
      </c>
      <c r="C1662" s="363">
        <v>17604.349999999999</v>
      </c>
      <c r="D1662" s="252">
        <f t="shared" si="50"/>
        <v>-1.6074268036742945E-2</v>
      </c>
      <c r="F1662" s="440">
        <v>44956</v>
      </c>
      <c r="G1662" s="363">
        <v>1051.7</v>
      </c>
      <c r="H1662" s="252">
        <f t="shared" si="51"/>
        <v>7.954763273912091E-3</v>
      </c>
    </row>
    <row r="1663" spans="2:8" x14ac:dyDescent="0.3">
      <c r="B1663" s="440">
        <v>44956</v>
      </c>
      <c r="C1663" s="363">
        <v>17648.95</v>
      </c>
      <c r="D1663" s="252">
        <f t="shared" si="50"/>
        <v>2.5334647402490695E-3</v>
      </c>
      <c r="F1663" s="440">
        <v>44957</v>
      </c>
      <c r="G1663" s="363">
        <v>1034.5</v>
      </c>
      <c r="H1663" s="252">
        <f t="shared" si="51"/>
        <v>-1.6354473709232709E-2</v>
      </c>
    </row>
    <row r="1664" spans="2:8" x14ac:dyDescent="0.3">
      <c r="B1664" s="440">
        <v>44957</v>
      </c>
      <c r="C1664" s="363">
        <v>17662.150000000001</v>
      </c>
      <c r="D1664" s="252">
        <f t="shared" si="50"/>
        <v>7.4791984792299537E-4</v>
      </c>
      <c r="F1664" s="440">
        <v>44958</v>
      </c>
      <c r="G1664" s="363">
        <v>1014.9</v>
      </c>
      <c r="H1664" s="252">
        <f t="shared" si="51"/>
        <v>-1.8946350894151753E-2</v>
      </c>
    </row>
    <row r="1665" spans="2:8" x14ac:dyDescent="0.3">
      <c r="B1665" s="440">
        <v>44958</v>
      </c>
      <c r="C1665" s="363">
        <v>17616.3</v>
      </c>
      <c r="D1665" s="252">
        <f t="shared" si="50"/>
        <v>-2.5959466995808533E-3</v>
      </c>
      <c r="F1665" s="440">
        <v>44959</v>
      </c>
      <c r="G1665" s="363">
        <v>1007.6</v>
      </c>
      <c r="H1665" s="252">
        <f t="shared" si="51"/>
        <v>-7.1928268794955175E-3</v>
      </c>
    </row>
    <row r="1666" spans="2:8" x14ac:dyDescent="0.3">
      <c r="B1666" s="440">
        <v>44959</v>
      </c>
      <c r="C1666" s="363">
        <v>17610.400000000001</v>
      </c>
      <c r="D1666" s="252">
        <f t="shared" si="50"/>
        <v>-3.3491709382771351E-4</v>
      </c>
      <c r="F1666" s="440">
        <v>44960</v>
      </c>
      <c r="G1666" s="363">
        <v>1028.1500000000001</v>
      </c>
      <c r="H1666" s="252">
        <f t="shared" si="51"/>
        <v>2.0394998015085486E-2</v>
      </c>
    </row>
    <row r="1667" spans="2:8" x14ac:dyDescent="0.3">
      <c r="B1667" s="440">
        <v>44960</v>
      </c>
      <c r="C1667" s="363">
        <v>17854.05</v>
      </c>
      <c r="D1667" s="252">
        <f t="shared" si="50"/>
        <v>1.3835574433289199E-2</v>
      </c>
      <c r="F1667" s="440">
        <v>44963</v>
      </c>
      <c r="G1667" s="363">
        <v>1023.35</v>
      </c>
      <c r="H1667" s="252">
        <f t="shared" si="51"/>
        <v>-4.6685794874289366E-3</v>
      </c>
    </row>
    <row r="1668" spans="2:8" x14ac:dyDescent="0.3">
      <c r="B1668" s="440">
        <v>44963</v>
      </c>
      <c r="C1668" s="363">
        <v>17764.599999999999</v>
      </c>
      <c r="D1668" s="252">
        <f t="shared" si="50"/>
        <v>-5.0100677437332486E-3</v>
      </c>
      <c r="F1668" s="440">
        <v>44964</v>
      </c>
      <c r="G1668" s="363">
        <v>1006.4</v>
      </c>
      <c r="H1668" s="252">
        <f t="shared" si="51"/>
        <v>-1.6563248155567534E-2</v>
      </c>
    </row>
    <row r="1669" spans="2:8" x14ac:dyDescent="0.3">
      <c r="B1669" s="440">
        <v>44964</v>
      </c>
      <c r="C1669" s="363">
        <v>17721.5</v>
      </c>
      <c r="D1669" s="252">
        <f t="shared" si="50"/>
        <v>-2.4261734010334601E-3</v>
      </c>
      <c r="F1669" s="440">
        <v>44965</v>
      </c>
      <c r="G1669" s="363">
        <v>1013</v>
      </c>
      <c r="H1669" s="252">
        <f t="shared" si="51"/>
        <v>6.558028616852063E-3</v>
      </c>
    </row>
    <row r="1670" spans="2:8" x14ac:dyDescent="0.3">
      <c r="B1670" s="440">
        <v>44965</v>
      </c>
      <c r="C1670" s="363">
        <v>17871.7</v>
      </c>
      <c r="D1670" s="252">
        <f t="shared" si="50"/>
        <v>8.475580509550662E-3</v>
      </c>
      <c r="F1670" s="440">
        <v>44966</v>
      </c>
      <c r="G1670" s="363">
        <v>1006.8</v>
      </c>
      <c r="H1670" s="252">
        <f t="shared" si="51"/>
        <v>-6.1204343534058125E-3</v>
      </c>
    </row>
    <row r="1671" spans="2:8" x14ac:dyDescent="0.3">
      <c r="B1671" s="440">
        <v>44966</v>
      </c>
      <c r="C1671" s="363">
        <v>17893.45</v>
      </c>
      <c r="D1671" s="252">
        <f t="shared" si="50"/>
        <v>1.2170078951638796E-3</v>
      </c>
      <c r="F1671" s="440">
        <v>44967</v>
      </c>
      <c r="G1671" s="363">
        <v>1006.6</v>
      </c>
      <c r="H1671" s="252">
        <f t="shared" si="51"/>
        <v>-1.9864918553824662E-4</v>
      </c>
    </row>
    <row r="1672" spans="2:8" x14ac:dyDescent="0.3">
      <c r="B1672" s="440">
        <v>44967</v>
      </c>
      <c r="C1672" s="363">
        <v>17856.5</v>
      </c>
      <c r="D1672" s="252">
        <f t="shared" si="50"/>
        <v>-2.0650014390740656E-3</v>
      </c>
      <c r="F1672" s="440">
        <v>44970</v>
      </c>
      <c r="G1672" s="363">
        <v>1015.25</v>
      </c>
      <c r="H1672" s="252">
        <f t="shared" si="51"/>
        <v>8.5932843234650669E-3</v>
      </c>
    </row>
    <row r="1673" spans="2:8" x14ac:dyDescent="0.3">
      <c r="B1673" s="440">
        <v>44970</v>
      </c>
      <c r="C1673" s="363">
        <v>17770.900000000001</v>
      </c>
      <c r="D1673" s="252">
        <f t="shared" si="50"/>
        <v>-4.7937725758125938E-3</v>
      </c>
      <c r="F1673" s="440">
        <v>44971</v>
      </c>
      <c r="G1673" s="363">
        <v>1006.75</v>
      </c>
      <c r="H1673" s="252">
        <f t="shared" si="51"/>
        <v>-8.3723220881556371E-3</v>
      </c>
    </row>
    <row r="1674" spans="2:8" x14ac:dyDescent="0.3">
      <c r="B1674" s="440">
        <v>44971</v>
      </c>
      <c r="C1674" s="363">
        <v>17929.849999999999</v>
      </c>
      <c r="D1674" s="252">
        <f t="shared" si="50"/>
        <v>8.9443978639234256E-3</v>
      </c>
      <c r="F1674" s="440">
        <v>44972</v>
      </c>
      <c r="G1674" s="170">
        <v>995.4</v>
      </c>
      <c r="H1674" s="252">
        <f t="shared" si="51"/>
        <v>-1.1273901167121902E-2</v>
      </c>
    </row>
    <row r="1675" spans="2:8" x14ac:dyDescent="0.3">
      <c r="B1675" s="440">
        <v>44972</v>
      </c>
      <c r="C1675" s="363">
        <v>18015.849999999999</v>
      </c>
      <c r="D1675" s="252">
        <f t="shared" ref="D1675:D1738" si="52">C1675/C1674-1</f>
        <v>4.7964706899388254E-3</v>
      </c>
      <c r="F1675" s="440">
        <v>44973</v>
      </c>
      <c r="G1675" s="170">
        <v>995.15</v>
      </c>
      <c r="H1675" s="252">
        <f t="shared" ref="H1675:H1738" si="53">G1675/G1674-1</f>
        <v>-2.5115531444641626E-4</v>
      </c>
    </row>
    <row r="1676" spans="2:8" x14ac:dyDescent="0.3">
      <c r="B1676" s="440">
        <v>44973</v>
      </c>
      <c r="C1676" s="363">
        <v>18035.849999999999</v>
      </c>
      <c r="D1676" s="252">
        <f t="shared" si="52"/>
        <v>1.1101335768226583E-3</v>
      </c>
      <c r="F1676" s="440">
        <v>44974</v>
      </c>
      <c r="G1676" s="170">
        <v>984.5</v>
      </c>
      <c r="H1676" s="252">
        <f t="shared" si="53"/>
        <v>-1.0701904235542403E-2</v>
      </c>
    </row>
    <row r="1677" spans="2:8" x14ac:dyDescent="0.3">
      <c r="B1677" s="440">
        <v>44974</v>
      </c>
      <c r="C1677" s="363">
        <v>17944.2</v>
      </c>
      <c r="D1677" s="252">
        <f t="shared" si="52"/>
        <v>-5.0815459210404867E-3</v>
      </c>
      <c r="F1677" s="440">
        <v>44977</v>
      </c>
      <c r="G1677" s="170">
        <v>984.4</v>
      </c>
      <c r="H1677" s="252">
        <f t="shared" si="53"/>
        <v>-1.0157440325042622E-4</v>
      </c>
    </row>
    <row r="1678" spans="2:8" x14ac:dyDescent="0.3">
      <c r="B1678" s="440">
        <v>44977</v>
      </c>
      <c r="C1678" s="363">
        <v>17844.599999999999</v>
      </c>
      <c r="D1678" s="252">
        <f t="shared" si="52"/>
        <v>-5.5505400073562194E-3</v>
      </c>
      <c r="F1678" s="440">
        <v>44978</v>
      </c>
      <c r="G1678" s="170">
        <v>971.6</v>
      </c>
      <c r="H1678" s="252">
        <f t="shared" si="53"/>
        <v>-1.3002844372206335E-2</v>
      </c>
    </row>
    <row r="1679" spans="2:8" x14ac:dyDescent="0.3">
      <c r="B1679" s="440">
        <v>44978</v>
      </c>
      <c r="C1679" s="363">
        <v>17826.7</v>
      </c>
      <c r="D1679" s="252">
        <f t="shared" si="52"/>
        <v>-1.0031045806573324E-3</v>
      </c>
      <c r="F1679" s="440">
        <v>44979</v>
      </c>
      <c r="G1679" s="170">
        <v>968.55</v>
      </c>
      <c r="H1679" s="252">
        <f t="shared" si="53"/>
        <v>-3.1391519143680879E-3</v>
      </c>
    </row>
    <row r="1680" spans="2:8" x14ac:dyDescent="0.3">
      <c r="B1680" s="440">
        <v>44979</v>
      </c>
      <c r="C1680" s="363">
        <v>17554.3</v>
      </c>
      <c r="D1680" s="252">
        <f t="shared" si="52"/>
        <v>-1.528045011134993E-2</v>
      </c>
      <c r="F1680" s="440">
        <v>44980</v>
      </c>
      <c r="G1680" s="170">
        <v>972.5</v>
      </c>
      <c r="H1680" s="252">
        <f t="shared" si="53"/>
        <v>4.0782613184657812E-3</v>
      </c>
    </row>
    <row r="1681" spans="2:8" x14ac:dyDescent="0.3">
      <c r="B1681" s="440">
        <v>44980</v>
      </c>
      <c r="C1681" s="363">
        <v>17511.25</v>
      </c>
      <c r="D1681" s="252">
        <f t="shared" si="52"/>
        <v>-2.4523905823643499E-3</v>
      </c>
      <c r="F1681" s="440">
        <v>44981</v>
      </c>
      <c r="G1681" s="170">
        <v>970.5</v>
      </c>
      <c r="H1681" s="252">
        <f t="shared" si="53"/>
        <v>-2.0565552699228773E-3</v>
      </c>
    </row>
    <row r="1682" spans="2:8" x14ac:dyDescent="0.3">
      <c r="B1682" s="440">
        <v>44981</v>
      </c>
      <c r="C1682" s="363">
        <v>17465.8</v>
      </c>
      <c r="D1682" s="252">
        <f t="shared" si="52"/>
        <v>-2.5954743379256184E-3</v>
      </c>
      <c r="F1682" s="440">
        <v>44984</v>
      </c>
      <c r="G1682" s="170">
        <v>965.05</v>
      </c>
      <c r="H1682" s="252">
        <f t="shared" si="53"/>
        <v>-5.6156620298815074E-3</v>
      </c>
    </row>
    <row r="1683" spans="2:8" x14ac:dyDescent="0.3">
      <c r="B1683" s="440">
        <v>44984</v>
      </c>
      <c r="C1683" s="363">
        <v>17392.7</v>
      </c>
      <c r="D1683" s="252">
        <f t="shared" si="52"/>
        <v>-4.1853221724741374E-3</v>
      </c>
      <c r="F1683" s="440">
        <v>44985</v>
      </c>
      <c r="G1683" s="170">
        <v>956.6</v>
      </c>
      <c r="H1683" s="252">
        <f t="shared" si="53"/>
        <v>-8.7560230039893661E-3</v>
      </c>
    </row>
    <row r="1684" spans="2:8" x14ac:dyDescent="0.3">
      <c r="B1684" s="440">
        <v>44985</v>
      </c>
      <c r="C1684" s="363">
        <v>17303.95</v>
      </c>
      <c r="D1684" s="252">
        <f t="shared" si="52"/>
        <v>-5.1027155070805241E-3</v>
      </c>
      <c r="F1684" s="440">
        <v>44986</v>
      </c>
      <c r="G1684" s="170">
        <v>959.3</v>
      </c>
      <c r="H1684" s="252">
        <f t="shared" si="53"/>
        <v>2.822496341208458E-3</v>
      </c>
    </row>
    <row r="1685" spans="2:8" x14ac:dyDescent="0.3">
      <c r="B1685" s="440">
        <v>44986</v>
      </c>
      <c r="C1685" s="363">
        <v>17450.900000000001</v>
      </c>
      <c r="D1685" s="252">
        <f t="shared" si="52"/>
        <v>8.4922806642413473E-3</v>
      </c>
      <c r="F1685" s="440">
        <v>44987</v>
      </c>
      <c r="G1685" s="170">
        <v>965.3</v>
      </c>
      <c r="H1685" s="252">
        <f t="shared" si="53"/>
        <v>6.2545606171167112E-3</v>
      </c>
    </row>
    <row r="1686" spans="2:8" x14ac:dyDescent="0.3">
      <c r="B1686" s="440">
        <v>44987</v>
      </c>
      <c r="C1686" s="363">
        <v>17321.900000000001</v>
      </c>
      <c r="D1686" s="252">
        <f t="shared" si="52"/>
        <v>-7.3921688852723877E-3</v>
      </c>
      <c r="F1686" s="440">
        <v>44988</v>
      </c>
      <c r="G1686" s="170">
        <v>966.9</v>
      </c>
      <c r="H1686" s="252">
        <f t="shared" si="53"/>
        <v>1.6575157981975064E-3</v>
      </c>
    </row>
    <row r="1687" spans="2:8" x14ac:dyDescent="0.3">
      <c r="B1687" s="440">
        <v>44988</v>
      </c>
      <c r="C1687" s="363">
        <v>17594.349999999999</v>
      </c>
      <c r="D1687" s="252">
        <f t="shared" si="52"/>
        <v>1.5728644086387522E-2</v>
      </c>
      <c r="F1687" s="440">
        <v>44991</v>
      </c>
      <c r="G1687" s="170">
        <v>965.25</v>
      </c>
      <c r="H1687" s="252">
        <f t="shared" si="53"/>
        <v>-1.7064846416382506E-3</v>
      </c>
    </row>
    <row r="1688" spans="2:8" x14ac:dyDescent="0.3">
      <c r="B1688" s="440">
        <v>44991</v>
      </c>
      <c r="C1688" s="363">
        <v>17711.45</v>
      </c>
      <c r="D1688" s="252">
        <f t="shared" si="52"/>
        <v>6.6555456723325079E-3</v>
      </c>
      <c r="F1688" s="440">
        <v>44993</v>
      </c>
      <c r="G1688" s="170">
        <v>957.5</v>
      </c>
      <c r="H1688" s="252">
        <f t="shared" si="53"/>
        <v>-8.0290080290080779E-3</v>
      </c>
    </row>
    <row r="1689" spans="2:8" x14ac:dyDescent="0.3">
      <c r="B1689" s="440">
        <v>44993</v>
      </c>
      <c r="C1689" s="363">
        <v>17754.400000000001</v>
      </c>
      <c r="D1689" s="252">
        <f t="shared" si="52"/>
        <v>2.4249849673516621E-3</v>
      </c>
      <c r="F1689" s="440">
        <v>44994</v>
      </c>
      <c r="G1689" s="170">
        <v>952.7</v>
      </c>
      <c r="H1689" s="252">
        <f t="shared" si="53"/>
        <v>-5.0130548302871336E-3</v>
      </c>
    </row>
    <row r="1690" spans="2:8" x14ac:dyDescent="0.3">
      <c r="B1690" s="440">
        <v>44994</v>
      </c>
      <c r="C1690" s="363">
        <v>17589.599999999999</v>
      </c>
      <c r="D1690" s="252">
        <f t="shared" si="52"/>
        <v>-9.2822061010230383E-3</v>
      </c>
      <c r="F1690" s="440">
        <v>44995</v>
      </c>
      <c r="G1690" s="170">
        <v>955.55</v>
      </c>
      <c r="H1690" s="252">
        <f t="shared" si="53"/>
        <v>2.9914978482208365E-3</v>
      </c>
    </row>
    <row r="1691" spans="2:8" x14ac:dyDescent="0.3">
      <c r="B1691" s="440">
        <v>44995</v>
      </c>
      <c r="C1691" s="363">
        <v>17412.900000000001</v>
      </c>
      <c r="D1691" s="252">
        <f t="shared" si="52"/>
        <v>-1.0045708827943645E-2</v>
      </c>
      <c r="F1691" s="440">
        <v>44998</v>
      </c>
      <c r="G1691" s="170">
        <v>954.1</v>
      </c>
      <c r="H1691" s="252">
        <f t="shared" si="53"/>
        <v>-1.5174506828526946E-3</v>
      </c>
    </row>
    <row r="1692" spans="2:8" x14ac:dyDescent="0.3">
      <c r="B1692" s="440">
        <v>44998</v>
      </c>
      <c r="C1692" s="363">
        <v>17154.3</v>
      </c>
      <c r="D1692" s="252">
        <f t="shared" si="52"/>
        <v>-1.4851058697862074E-2</v>
      </c>
      <c r="F1692" s="440">
        <v>44999</v>
      </c>
      <c r="G1692" s="170">
        <v>957.2</v>
      </c>
      <c r="H1692" s="252">
        <f t="shared" si="53"/>
        <v>3.2491353107639842E-3</v>
      </c>
    </row>
    <row r="1693" spans="2:8" x14ac:dyDescent="0.3">
      <c r="B1693" s="440">
        <v>44999</v>
      </c>
      <c r="C1693" s="363">
        <v>17043.3</v>
      </c>
      <c r="D1693" s="252">
        <f t="shared" si="52"/>
        <v>-6.4706808205522437E-3</v>
      </c>
      <c r="F1693" s="440">
        <v>45000</v>
      </c>
      <c r="G1693" s="170">
        <v>951.4</v>
      </c>
      <c r="H1693" s="252">
        <f t="shared" si="53"/>
        <v>-6.0593397409111072E-3</v>
      </c>
    </row>
    <row r="1694" spans="2:8" x14ac:dyDescent="0.3">
      <c r="B1694" s="440">
        <v>45000</v>
      </c>
      <c r="C1694" s="363">
        <v>16972.150000000001</v>
      </c>
      <c r="D1694" s="252">
        <f t="shared" si="52"/>
        <v>-4.1746610104849147E-3</v>
      </c>
      <c r="F1694" s="440">
        <v>45001</v>
      </c>
      <c r="G1694" s="170">
        <v>967.4</v>
      </c>
      <c r="H1694" s="252">
        <f t="shared" si="53"/>
        <v>1.6817321841496646E-2</v>
      </c>
    </row>
    <row r="1695" spans="2:8" x14ac:dyDescent="0.3">
      <c r="B1695" s="440">
        <v>45001</v>
      </c>
      <c r="C1695" s="363">
        <v>16985.599999999999</v>
      </c>
      <c r="D1695" s="252">
        <f t="shared" si="52"/>
        <v>7.9247473066157426E-4</v>
      </c>
      <c r="F1695" s="440">
        <v>45002</v>
      </c>
      <c r="G1695" s="170">
        <v>957.7</v>
      </c>
      <c r="H1695" s="252">
        <f t="shared" si="53"/>
        <v>-1.0026876162910869E-2</v>
      </c>
    </row>
    <row r="1696" spans="2:8" x14ac:dyDescent="0.3">
      <c r="B1696" s="440">
        <v>45002</v>
      </c>
      <c r="C1696" s="363">
        <v>17100.05</v>
      </c>
      <c r="D1696" s="252">
        <f t="shared" si="52"/>
        <v>6.7380604747551143E-3</v>
      </c>
      <c r="F1696" s="440">
        <v>45005</v>
      </c>
      <c r="G1696" s="170">
        <v>961.2</v>
      </c>
      <c r="H1696" s="252">
        <f t="shared" si="53"/>
        <v>3.6545891197661273E-3</v>
      </c>
    </row>
    <row r="1697" spans="2:8" x14ac:dyDescent="0.3">
      <c r="B1697" s="440">
        <v>45005</v>
      </c>
      <c r="C1697" s="363">
        <v>16988.400000000001</v>
      </c>
      <c r="D1697" s="252">
        <f t="shared" si="52"/>
        <v>-6.5292206747932235E-3</v>
      </c>
      <c r="F1697" s="440">
        <v>45006</v>
      </c>
      <c r="G1697" s="170">
        <v>956.2</v>
      </c>
      <c r="H1697" s="252">
        <f t="shared" si="53"/>
        <v>-5.2018310445276494E-3</v>
      </c>
    </row>
    <row r="1698" spans="2:8" x14ac:dyDescent="0.3">
      <c r="B1698" s="440">
        <v>45006</v>
      </c>
      <c r="C1698" s="363">
        <v>17107.5</v>
      </c>
      <c r="D1698" s="252">
        <f t="shared" si="52"/>
        <v>7.0106661015751914E-3</v>
      </c>
      <c r="F1698" s="440">
        <v>45007</v>
      </c>
      <c r="G1698" s="170">
        <v>972.05</v>
      </c>
      <c r="H1698" s="252">
        <f t="shared" si="53"/>
        <v>1.6576030119221929E-2</v>
      </c>
    </row>
    <row r="1699" spans="2:8" x14ac:dyDescent="0.3">
      <c r="B1699" s="440">
        <v>45007</v>
      </c>
      <c r="C1699" s="363">
        <v>17151.900000000001</v>
      </c>
      <c r="D1699" s="252">
        <f t="shared" si="52"/>
        <v>2.5953529153881494E-3</v>
      </c>
      <c r="F1699" s="440">
        <v>45008</v>
      </c>
      <c r="G1699" s="170">
        <v>977.65</v>
      </c>
      <c r="H1699" s="252">
        <f t="shared" si="53"/>
        <v>5.7610205236355849E-3</v>
      </c>
    </row>
    <row r="1700" spans="2:8" x14ac:dyDescent="0.3">
      <c r="B1700" s="440">
        <v>45008</v>
      </c>
      <c r="C1700" s="363">
        <v>17076.900000000001</v>
      </c>
      <c r="D1700" s="252">
        <f t="shared" si="52"/>
        <v>-4.3726934042292998E-3</v>
      </c>
      <c r="F1700" s="440">
        <v>45009</v>
      </c>
      <c r="G1700" s="170">
        <v>972.85</v>
      </c>
      <c r="H1700" s="252">
        <f t="shared" si="53"/>
        <v>-4.9097325218635524E-3</v>
      </c>
    </row>
    <row r="1701" spans="2:8" x14ac:dyDescent="0.3">
      <c r="B1701" s="440">
        <v>45009</v>
      </c>
      <c r="C1701" s="363">
        <v>16945.05</v>
      </c>
      <c r="D1701" s="252">
        <f t="shared" si="52"/>
        <v>-7.7209563796709624E-3</v>
      </c>
      <c r="F1701" s="440">
        <v>45012</v>
      </c>
      <c r="G1701" s="170">
        <v>983.45</v>
      </c>
      <c r="H1701" s="252">
        <f t="shared" si="53"/>
        <v>1.0895821555224394E-2</v>
      </c>
    </row>
    <row r="1702" spans="2:8" x14ac:dyDescent="0.3">
      <c r="B1702" s="440">
        <v>45012</v>
      </c>
      <c r="C1702" s="363">
        <v>16985.7</v>
      </c>
      <c r="D1702" s="252">
        <f t="shared" si="52"/>
        <v>2.3989306611666983E-3</v>
      </c>
      <c r="F1702" s="440">
        <v>45013</v>
      </c>
      <c r="G1702" s="170">
        <v>984.2</v>
      </c>
      <c r="H1702" s="252">
        <f t="shared" si="53"/>
        <v>7.6262138390359446E-4</v>
      </c>
    </row>
    <row r="1703" spans="2:8" x14ac:dyDescent="0.3">
      <c r="B1703" s="440">
        <v>45013</v>
      </c>
      <c r="C1703" s="363">
        <v>16951.7</v>
      </c>
      <c r="D1703" s="252">
        <f t="shared" si="52"/>
        <v>-2.0016837692883316E-3</v>
      </c>
      <c r="F1703" s="440">
        <v>45014</v>
      </c>
      <c r="G1703" s="170">
        <v>991.9</v>
      </c>
      <c r="H1703" s="252">
        <f t="shared" si="53"/>
        <v>7.8236130867708198E-3</v>
      </c>
    </row>
    <row r="1704" spans="2:8" x14ac:dyDescent="0.3">
      <c r="B1704" s="440">
        <v>45014</v>
      </c>
      <c r="C1704" s="363">
        <v>17080.7</v>
      </c>
      <c r="D1704" s="252">
        <f t="shared" si="52"/>
        <v>7.6098562386073265E-3</v>
      </c>
      <c r="F1704" s="440">
        <v>45016</v>
      </c>
      <c r="G1704" s="170">
        <v>983.1</v>
      </c>
      <c r="H1704" s="252">
        <f t="shared" si="53"/>
        <v>-8.8718620828711625E-3</v>
      </c>
    </row>
    <row r="1705" spans="2:8" x14ac:dyDescent="0.3">
      <c r="B1705" s="440">
        <v>45016</v>
      </c>
      <c r="C1705" s="363">
        <v>17359.75</v>
      </c>
      <c r="D1705" s="252">
        <f t="shared" si="52"/>
        <v>1.6337152458622883E-2</v>
      </c>
      <c r="F1705" s="440">
        <v>45019</v>
      </c>
      <c r="G1705" s="170">
        <v>979.05</v>
      </c>
      <c r="H1705" s="252">
        <f t="shared" si="53"/>
        <v>-4.1196216051266887E-3</v>
      </c>
    </row>
    <row r="1706" spans="2:8" x14ac:dyDescent="0.3">
      <c r="B1706" s="440">
        <v>45019</v>
      </c>
      <c r="C1706" s="363">
        <v>17398.05</v>
      </c>
      <c r="D1706" s="252">
        <f t="shared" si="52"/>
        <v>2.2062529702329137E-3</v>
      </c>
      <c r="F1706" s="440">
        <v>45021</v>
      </c>
      <c r="G1706" s="170">
        <v>997.15</v>
      </c>
      <c r="H1706" s="252">
        <f t="shared" si="53"/>
        <v>1.8487309126193674E-2</v>
      </c>
    </row>
    <row r="1707" spans="2:8" x14ac:dyDescent="0.3">
      <c r="B1707" s="440">
        <v>45021</v>
      </c>
      <c r="C1707" s="363">
        <v>17557.05</v>
      </c>
      <c r="D1707" s="252">
        <f t="shared" si="52"/>
        <v>9.1389552277409969E-3</v>
      </c>
      <c r="F1707" s="440">
        <v>45022</v>
      </c>
      <c r="G1707" s="363">
        <v>1012.1</v>
      </c>
      <c r="H1707" s="252">
        <f t="shared" si="53"/>
        <v>1.4992729278443528E-2</v>
      </c>
    </row>
    <row r="1708" spans="2:8" x14ac:dyDescent="0.3">
      <c r="B1708" s="440">
        <v>45022</v>
      </c>
      <c r="C1708" s="363">
        <v>17599.150000000001</v>
      </c>
      <c r="D1708" s="252">
        <f t="shared" si="52"/>
        <v>2.3978971410345551E-3</v>
      </c>
      <c r="F1708" s="440">
        <v>45026</v>
      </c>
      <c r="G1708" s="363">
        <v>1008.6</v>
      </c>
      <c r="H1708" s="252">
        <f t="shared" si="53"/>
        <v>-3.4581563086651945E-3</v>
      </c>
    </row>
    <row r="1709" spans="2:8" x14ac:dyDescent="0.3">
      <c r="B1709" s="440">
        <v>45026</v>
      </c>
      <c r="C1709" s="363">
        <v>17624.05</v>
      </c>
      <c r="D1709" s="252">
        <f t="shared" si="52"/>
        <v>1.4148410576646508E-3</v>
      </c>
      <c r="F1709" s="440">
        <v>45027</v>
      </c>
      <c r="G1709" s="363">
        <v>1009.25</v>
      </c>
      <c r="H1709" s="252">
        <f t="shared" si="53"/>
        <v>6.4445766408871563E-4</v>
      </c>
    </row>
    <row r="1710" spans="2:8" x14ac:dyDescent="0.3">
      <c r="B1710" s="440">
        <v>45027</v>
      </c>
      <c r="C1710" s="363">
        <v>17722.3</v>
      </c>
      <c r="D1710" s="252">
        <f t="shared" si="52"/>
        <v>5.5747685690858972E-3</v>
      </c>
      <c r="F1710" s="440">
        <v>45028</v>
      </c>
      <c r="G1710" s="363">
        <v>1016.7</v>
      </c>
      <c r="H1710" s="252">
        <f t="shared" si="53"/>
        <v>7.3817190983402892E-3</v>
      </c>
    </row>
    <row r="1711" spans="2:8" x14ac:dyDescent="0.3">
      <c r="B1711" s="440">
        <v>45028</v>
      </c>
      <c r="C1711" s="363">
        <v>17812.400000000001</v>
      </c>
      <c r="D1711" s="252">
        <f t="shared" si="52"/>
        <v>5.083990227002344E-3</v>
      </c>
      <c r="F1711" s="440">
        <v>45029</v>
      </c>
      <c r="G1711" s="363">
        <v>1003.5</v>
      </c>
      <c r="H1711" s="252">
        <f t="shared" si="53"/>
        <v>-1.2983180879315492E-2</v>
      </c>
    </row>
    <row r="1712" spans="2:8" x14ac:dyDescent="0.3">
      <c r="B1712" s="440">
        <v>45029</v>
      </c>
      <c r="C1712" s="363">
        <v>17828</v>
      </c>
      <c r="D1712" s="252">
        <f t="shared" si="52"/>
        <v>8.7579439042451135E-4</v>
      </c>
      <c r="F1712" s="440">
        <v>45033</v>
      </c>
      <c r="G1712" s="170">
        <v>998.7</v>
      </c>
      <c r="H1712" s="252">
        <f t="shared" si="53"/>
        <v>-4.7832585949177941E-3</v>
      </c>
    </row>
    <row r="1713" spans="2:8" x14ac:dyDescent="0.3">
      <c r="B1713" s="440">
        <v>45033</v>
      </c>
      <c r="C1713" s="363">
        <v>17706.849999999999</v>
      </c>
      <c r="D1713" s="252">
        <f t="shared" si="52"/>
        <v>-6.7954902400718664E-3</v>
      </c>
      <c r="F1713" s="440">
        <v>45034</v>
      </c>
      <c r="G1713" s="363">
        <v>1004.8</v>
      </c>
      <c r="H1713" s="252">
        <f t="shared" si="53"/>
        <v>6.1079403224191253E-3</v>
      </c>
    </row>
    <row r="1714" spans="2:8" x14ac:dyDescent="0.3">
      <c r="B1714" s="440">
        <v>45034</v>
      </c>
      <c r="C1714" s="363">
        <v>17660.150000000001</v>
      </c>
      <c r="D1714" s="252">
        <f t="shared" si="52"/>
        <v>-2.6373973914048943E-3</v>
      </c>
      <c r="F1714" s="440">
        <v>45035</v>
      </c>
      <c r="G1714" s="170">
        <v>995.5</v>
      </c>
      <c r="H1714" s="252">
        <f t="shared" si="53"/>
        <v>-9.2555732484076447E-3</v>
      </c>
    </row>
    <row r="1715" spans="2:8" x14ac:dyDescent="0.3">
      <c r="B1715" s="440">
        <v>45035</v>
      </c>
      <c r="C1715" s="363">
        <v>17618.75</v>
      </c>
      <c r="D1715" s="252">
        <f t="shared" si="52"/>
        <v>-2.3442609490860189E-3</v>
      </c>
      <c r="F1715" s="440">
        <v>45036</v>
      </c>
      <c r="G1715" s="170">
        <v>987.75</v>
      </c>
      <c r="H1715" s="252">
        <f t="shared" si="53"/>
        <v>-7.7850326469111053E-3</v>
      </c>
    </row>
    <row r="1716" spans="2:8" x14ac:dyDescent="0.3">
      <c r="B1716" s="440">
        <v>45036</v>
      </c>
      <c r="C1716" s="363">
        <v>17624.45</v>
      </c>
      <c r="D1716" s="252">
        <f t="shared" si="52"/>
        <v>3.2351897836124799E-4</v>
      </c>
      <c r="F1716" s="440">
        <v>45037</v>
      </c>
      <c r="G1716" s="170">
        <v>989.45</v>
      </c>
      <c r="H1716" s="252">
        <f t="shared" si="53"/>
        <v>1.7210832700582657E-3</v>
      </c>
    </row>
    <row r="1717" spans="2:8" x14ac:dyDescent="0.3">
      <c r="B1717" s="440">
        <v>45037</v>
      </c>
      <c r="C1717" s="363">
        <v>17624.05</v>
      </c>
      <c r="D1717" s="252">
        <f t="shared" si="52"/>
        <v>-2.2695743697065396E-5</v>
      </c>
      <c r="F1717" s="440">
        <v>45040</v>
      </c>
      <c r="G1717" s="170">
        <v>979.15</v>
      </c>
      <c r="H1717" s="252">
        <f t="shared" si="53"/>
        <v>-1.0409823639395688E-2</v>
      </c>
    </row>
    <row r="1718" spans="2:8" x14ac:dyDescent="0.3">
      <c r="B1718" s="440">
        <v>45040</v>
      </c>
      <c r="C1718" s="363">
        <v>17743.400000000001</v>
      </c>
      <c r="D1718" s="252">
        <f t="shared" si="52"/>
        <v>6.7719962210730511E-3</v>
      </c>
      <c r="F1718" s="440">
        <v>45041</v>
      </c>
      <c r="G1718" s="170">
        <v>972.5</v>
      </c>
      <c r="H1718" s="252">
        <f t="shared" si="53"/>
        <v>-6.7916049634887399E-3</v>
      </c>
    </row>
    <row r="1719" spans="2:8" x14ac:dyDescent="0.3">
      <c r="B1719" s="440">
        <v>45041</v>
      </c>
      <c r="C1719" s="363">
        <v>17769.25</v>
      </c>
      <c r="D1719" s="252">
        <f t="shared" si="52"/>
        <v>1.4568797411995682E-3</v>
      </c>
      <c r="F1719" s="440">
        <v>45042</v>
      </c>
      <c r="G1719" s="170">
        <v>971.25</v>
      </c>
      <c r="H1719" s="252">
        <f t="shared" si="53"/>
        <v>-1.2853470437017567E-3</v>
      </c>
    </row>
    <row r="1720" spans="2:8" x14ac:dyDescent="0.3">
      <c r="B1720" s="440">
        <v>45042</v>
      </c>
      <c r="C1720" s="363">
        <v>17813.599999999999</v>
      </c>
      <c r="D1720" s="252">
        <f t="shared" si="52"/>
        <v>2.4958847447134058E-3</v>
      </c>
      <c r="F1720" s="440">
        <v>45043</v>
      </c>
      <c r="G1720" s="170">
        <v>978.7</v>
      </c>
      <c r="H1720" s="252">
        <f t="shared" si="53"/>
        <v>7.6705276705277825E-3</v>
      </c>
    </row>
    <row r="1721" spans="2:8" x14ac:dyDescent="0.3">
      <c r="B1721" s="440">
        <v>45043</v>
      </c>
      <c r="C1721" s="363">
        <v>17915.05</v>
      </c>
      <c r="D1721" s="252">
        <f t="shared" si="52"/>
        <v>5.6950868998968396E-3</v>
      </c>
      <c r="F1721" s="440">
        <v>45044</v>
      </c>
      <c r="G1721" s="170">
        <v>987.65</v>
      </c>
      <c r="H1721" s="252">
        <f t="shared" si="53"/>
        <v>9.1447838970062367E-3</v>
      </c>
    </row>
    <row r="1722" spans="2:8" x14ac:dyDescent="0.3">
      <c r="B1722" s="440">
        <v>45044</v>
      </c>
      <c r="C1722" s="363">
        <v>18065</v>
      </c>
      <c r="D1722" s="252">
        <f t="shared" si="52"/>
        <v>8.3700575772884811E-3</v>
      </c>
      <c r="F1722" s="440">
        <v>45048</v>
      </c>
      <c r="G1722" s="170">
        <v>973.05</v>
      </c>
      <c r="H1722" s="252">
        <f t="shared" si="53"/>
        <v>-1.4782564673720522E-2</v>
      </c>
    </row>
    <row r="1723" spans="2:8" x14ac:dyDescent="0.3">
      <c r="B1723" s="440">
        <v>45048</v>
      </c>
      <c r="C1723" s="363">
        <v>18147.650000000001</v>
      </c>
      <c r="D1723" s="252">
        <f t="shared" si="52"/>
        <v>4.5751453086078087E-3</v>
      </c>
      <c r="F1723" s="440">
        <v>45049</v>
      </c>
      <c r="G1723" s="170">
        <v>963.6</v>
      </c>
      <c r="H1723" s="252">
        <f t="shared" si="53"/>
        <v>-9.7117311546168761E-3</v>
      </c>
    </row>
    <row r="1724" spans="2:8" x14ac:dyDescent="0.3">
      <c r="B1724" s="440">
        <v>45049</v>
      </c>
      <c r="C1724" s="363">
        <v>18089.849999999999</v>
      </c>
      <c r="D1724" s="252">
        <f t="shared" si="52"/>
        <v>-3.1849853837826458E-3</v>
      </c>
      <c r="F1724" s="440">
        <v>45050</v>
      </c>
      <c r="G1724" s="170">
        <v>974</v>
      </c>
      <c r="H1724" s="252">
        <f t="shared" si="53"/>
        <v>1.079286010792857E-2</v>
      </c>
    </row>
    <row r="1725" spans="2:8" x14ac:dyDescent="0.3">
      <c r="B1725" s="440">
        <v>45050</v>
      </c>
      <c r="C1725" s="363">
        <v>18255.8</v>
      </c>
      <c r="D1725" s="252">
        <f t="shared" si="52"/>
        <v>9.1736526284076358E-3</v>
      </c>
      <c r="F1725" s="440">
        <v>45051</v>
      </c>
      <c r="G1725" s="170">
        <v>970.45</v>
      </c>
      <c r="H1725" s="252">
        <f t="shared" si="53"/>
        <v>-3.6447638603696042E-3</v>
      </c>
    </row>
    <row r="1726" spans="2:8" x14ac:dyDescent="0.3">
      <c r="B1726" s="440">
        <v>45051</v>
      </c>
      <c r="C1726" s="363">
        <v>18069</v>
      </c>
      <c r="D1726" s="252">
        <f t="shared" si="52"/>
        <v>-1.0232364508813596E-2</v>
      </c>
      <c r="F1726" s="440">
        <v>45054</v>
      </c>
      <c r="G1726" s="170">
        <v>961.85</v>
      </c>
      <c r="H1726" s="252">
        <f t="shared" si="53"/>
        <v>-8.8618682054717457E-3</v>
      </c>
    </row>
    <row r="1727" spans="2:8" x14ac:dyDescent="0.3">
      <c r="B1727" s="440">
        <v>45054</v>
      </c>
      <c r="C1727" s="363">
        <v>18264.400000000001</v>
      </c>
      <c r="D1727" s="252">
        <f t="shared" si="52"/>
        <v>1.0814101499806439E-2</v>
      </c>
      <c r="F1727" s="440">
        <v>45055</v>
      </c>
      <c r="G1727" s="170">
        <v>957.45</v>
      </c>
      <c r="H1727" s="252">
        <f t="shared" si="53"/>
        <v>-4.5745178562145439E-3</v>
      </c>
    </row>
    <row r="1728" spans="2:8" x14ac:dyDescent="0.3">
      <c r="B1728" s="440">
        <v>45055</v>
      </c>
      <c r="C1728" s="363">
        <v>18265.95</v>
      </c>
      <c r="D1728" s="252">
        <f t="shared" si="52"/>
        <v>8.4864545235596722E-5</v>
      </c>
      <c r="F1728" s="440">
        <v>45056</v>
      </c>
      <c r="G1728" s="170">
        <v>953.8</v>
      </c>
      <c r="H1728" s="252">
        <f t="shared" si="53"/>
        <v>-3.8122095148572788E-3</v>
      </c>
    </row>
    <row r="1729" spans="2:8" x14ac:dyDescent="0.3">
      <c r="B1729" s="440">
        <v>45056</v>
      </c>
      <c r="C1729" s="363">
        <v>18315.099999999999</v>
      </c>
      <c r="D1729" s="252">
        <f t="shared" si="52"/>
        <v>2.6907990003255389E-3</v>
      </c>
      <c r="F1729" s="440">
        <v>45057</v>
      </c>
      <c r="G1729" s="170">
        <v>961.05</v>
      </c>
      <c r="H1729" s="252">
        <f t="shared" si="53"/>
        <v>7.6011742503669932E-3</v>
      </c>
    </row>
    <row r="1730" spans="2:8" x14ac:dyDescent="0.3">
      <c r="B1730" s="440">
        <v>45057</v>
      </c>
      <c r="C1730" s="363">
        <v>18297</v>
      </c>
      <c r="D1730" s="252">
        <f t="shared" si="52"/>
        <v>-9.8825559238002736E-4</v>
      </c>
      <c r="F1730" s="440">
        <v>45058</v>
      </c>
      <c r="G1730" s="170">
        <v>956</v>
      </c>
      <c r="H1730" s="252">
        <f t="shared" si="53"/>
        <v>-5.2546693720409987E-3</v>
      </c>
    </row>
    <row r="1731" spans="2:8" x14ac:dyDescent="0.3">
      <c r="B1731" s="440">
        <v>45058</v>
      </c>
      <c r="C1731" s="363">
        <v>18314.8</v>
      </c>
      <c r="D1731" s="252">
        <f t="shared" si="52"/>
        <v>9.7283707711648404E-4</v>
      </c>
      <c r="F1731" s="440">
        <v>45061</v>
      </c>
      <c r="G1731" s="170">
        <v>953</v>
      </c>
      <c r="H1731" s="252">
        <f t="shared" si="53"/>
        <v>-3.1380753138074979E-3</v>
      </c>
    </row>
    <row r="1732" spans="2:8" x14ac:dyDescent="0.3">
      <c r="B1732" s="440">
        <v>45061</v>
      </c>
      <c r="C1732" s="363">
        <v>18398.849999999999</v>
      </c>
      <c r="D1732" s="252">
        <f t="shared" si="52"/>
        <v>4.5891847030816724E-3</v>
      </c>
      <c r="F1732" s="440">
        <v>45062</v>
      </c>
      <c r="G1732" s="170">
        <v>940.95</v>
      </c>
      <c r="H1732" s="252">
        <f t="shared" si="53"/>
        <v>-1.264428121720873E-2</v>
      </c>
    </row>
    <row r="1733" spans="2:8" x14ac:dyDescent="0.3">
      <c r="B1733" s="440">
        <v>45062</v>
      </c>
      <c r="C1733" s="363">
        <v>18286.5</v>
      </c>
      <c r="D1733" s="252">
        <f t="shared" si="52"/>
        <v>-6.1063599083637232E-3</v>
      </c>
      <c r="F1733" s="440">
        <v>45063</v>
      </c>
      <c r="G1733" s="170">
        <v>935.95</v>
      </c>
      <c r="H1733" s="252">
        <f t="shared" si="53"/>
        <v>-5.313778627982324E-3</v>
      </c>
    </row>
    <row r="1734" spans="2:8" x14ac:dyDescent="0.3">
      <c r="B1734" s="440">
        <v>45063</v>
      </c>
      <c r="C1734" s="363">
        <v>18181.75</v>
      </c>
      <c r="D1734" s="252">
        <f t="shared" si="52"/>
        <v>-5.7282694884204233E-3</v>
      </c>
      <c r="F1734" s="440">
        <v>45064</v>
      </c>
      <c r="G1734" s="170">
        <v>929.65</v>
      </c>
      <c r="H1734" s="252">
        <f t="shared" si="53"/>
        <v>-6.7311287996154601E-3</v>
      </c>
    </row>
    <row r="1735" spans="2:8" x14ac:dyDescent="0.3">
      <c r="B1735" s="440">
        <v>45064</v>
      </c>
      <c r="C1735" s="363">
        <v>18129.95</v>
      </c>
      <c r="D1735" s="252">
        <f t="shared" si="52"/>
        <v>-2.8490106837900653E-3</v>
      </c>
      <c r="F1735" s="440">
        <v>45065</v>
      </c>
      <c r="G1735" s="170">
        <v>925.85</v>
      </c>
      <c r="H1735" s="252">
        <f t="shared" si="53"/>
        <v>-4.0875598343461661E-3</v>
      </c>
    </row>
    <row r="1736" spans="2:8" x14ac:dyDescent="0.3">
      <c r="B1736" s="440">
        <v>45065</v>
      </c>
      <c r="C1736" s="363">
        <v>18203.400000000001</v>
      </c>
      <c r="D1736" s="252">
        <f t="shared" si="52"/>
        <v>4.0513073670915833E-3</v>
      </c>
      <c r="F1736" s="440">
        <v>45068</v>
      </c>
      <c r="G1736" s="170">
        <v>937.45</v>
      </c>
      <c r="H1736" s="252">
        <f t="shared" si="53"/>
        <v>1.2529027380245195E-2</v>
      </c>
    </row>
    <row r="1737" spans="2:8" x14ac:dyDescent="0.3">
      <c r="B1737" s="440">
        <v>45068</v>
      </c>
      <c r="C1737" s="363">
        <v>18314.400000000001</v>
      </c>
      <c r="D1737" s="252">
        <f t="shared" si="52"/>
        <v>6.0977619565576457E-3</v>
      </c>
      <c r="F1737" s="440">
        <v>45069</v>
      </c>
      <c r="G1737" s="170">
        <v>931.6</v>
      </c>
      <c r="H1737" s="252">
        <f t="shared" si="53"/>
        <v>-6.2403328177502715E-3</v>
      </c>
    </row>
    <row r="1738" spans="2:8" x14ac:dyDescent="0.3">
      <c r="B1738" s="440">
        <v>45069</v>
      </c>
      <c r="C1738" s="363">
        <v>18348</v>
      </c>
      <c r="D1738" s="252">
        <f t="shared" si="52"/>
        <v>1.834621936836589E-3</v>
      </c>
      <c r="F1738" s="440">
        <v>45070</v>
      </c>
      <c r="G1738" s="170">
        <v>952.15</v>
      </c>
      <c r="H1738" s="252">
        <f t="shared" si="53"/>
        <v>2.2058823529411686E-2</v>
      </c>
    </row>
    <row r="1739" spans="2:8" x14ac:dyDescent="0.3">
      <c r="B1739" s="440">
        <v>45070</v>
      </c>
      <c r="C1739" s="363">
        <v>18285.400000000001</v>
      </c>
      <c r="D1739" s="252">
        <f t="shared" ref="D1739:D1802" si="54">C1739/C1738-1</f>
        <v>-3.4118160017440058E-3</v>
      </c>
      <c r="F1739" s="440">
        <v>45071</v>
      </c>
      <c r="G1739" s="170">
        <v>945</v>
      </c>
      <c r="H1739" s="252">
        <f t="shared" ref="H1739:H1802" si="55">G1739/G1738-1</f>
        <v>-7.5093210103449604E-3</v>
      </c>
    </row>
    <row r="1740" spans="2:8" x14ac:dyDescent="0.3">
      <c r="B1740" s="440">
        <v>45071</v>
      </c>
      <c r="C1740" s="363">
        <v>18321.150000000001</v>
      </c>
      <c r="D1740" s="252">
        <f t="shared" si="54"/>
        <v>1.955111728482839E-3</v>
      </c>
      <c r="F1740" s="440">
        <v>45072</v>
      </c>
      <c r="G1740" s="170">
        <v>969.9</v>
      </c>
      <c r="H1740" s="252">
        <f t="shared" si="55"/>
        <v>2.6349206349206344E-2</v>
      </c>
    </row>
    <row r="1741" spans="2:8" x14ac:dyDescent="0.3">
      <c r="B1741" s="440">
        <v>45072</v>
      </c>
      <c r="C1741" s="363">
        <v>18499.349999999999</v>
      </c>
      <c r="D1741" s="252">
        <f t="shared" si="54"/>
        <v>9.7264636772254054E-3</v>
      </c>
      <c r="F1741" s="440">
        <v>45075</v>
      </c>
      <c r="G1741" s="170">
        <v>968.45</v>
      </c>
      <c r="H1741" s="252">
        <f t="shared" si="55"/>
        <v>-1.4949994844828396E-3</v>
      </c>
    </row>
    <row r="1742" spans="2:8" x14ac:dyDescent="0.3">
      <c r="B1742" s="440">
        <v>45075</v>
      </c>
      <c r="C1742" s="363">
        <v>18598.650000000001</v>
      </c>
      <c r="D1742" s="252">
        <f t="shared" si="54"/>
        <v>5.3677561644058791E-3</v>
      </c>
      <c r="F1742" s="440">
        <v>45076</v>
      </c>
      <c r="G1742" s="170">
        <v>959.6</v>
      </c>
      <c r="H1742" s="252">
        <f t="shared" si="55"/>
        <v>-9.1383138004027531E-3</v>
      </c>
    </row>
    <row r="1743" spans="2:8" x14ac:dyDescent="0.3">
      <c r="B1743" s="440">
        <v>45076</v>
      </c>
      <c r="C1743" s="363">
        <v>18633.849999999999</v>
      </c>
      <c r="D1743" s="252">
        <f t="shared" si="54"/>
        <v>1.8926104851695325E-3</v>
      </c>
      <c r="F1743" s="440">
        <v>45077</v>
      </c>
      <c r="G1743" s="170">
        <v>975.35</v>
      </c>
      <c r="H1743" s="252">
        <f t="shared" si="55"/>
        <v>1.6413088786994656E-2</v>
      </c>
    </row>
    <row r="1744" spans="2:8" x14ac:dyDescent="0.3">
      <c r="B1744" s="440">
        <v>45077</v>
      </c>
      <c r="C1744" s="363">
        <v>18534.400000000001</v>
      </c>
      <c r="D1744" s="252">
        <f t="shared" si="54"/>
        <v>-5.3370613158310043E-3</v>
      </c>
      <c r="F1744" s="440">
        <v>45078</v>
      </c>
      <c r="G1744" s="170">
        <v>987.7</v>
      </c>
      <c r="H1744" s="252">
        <f t="shared" si="55"/>
        <v>1.2662121289793493E-2</v>
      </c>
    </row>
    <row r="1745" spans="2:8" x14ac:dyDescent="0.3">
      <c r="B1745" s="440">
        <v>45078</v>
      </c>
      <c r="C1745" s="363">
        <v>18487.75</v>
      </c>
      <c r="D1745" s="252">
        <f t="shared" si="54"/>
        <v>-2.5169414709945714E-3</v>
      </c>
      <c r="F1745" s="440">
        <v>45079</v>
      </c>
      <c r="G1745" s="170">
        <v>999.6</v>
      </c>
      <c r="H1745" s="252">
        <f t="shared" si="55"/>
        <v>1.2048192771084265E-2</v>
      </c>
    </row>
    <row r="1746" spans="2:8" x14ac:dyDescent="0.3">
      <c r="B1746" s="440">
        <v>45079</v>
      </c>
      <c r="C1746" s="363">
        <v>18534.099999999999</v>
      </c>
      <c r="D1746" s="252">
        <f t="shared" si="54"/>
        <v>2.507065489310456E-3</v>
      </c>
      <c r="F1746" s="440">
        <v>45082</v>
      </c>
      <c r="G1746" s="363">
        <v>1008.75</v>
      </c>
      <c r="H1746" s="252">
        <f t="shared" si="55"/>
        <v>9.1536614645857384E-3</v>
      </c>
    </row>
    <row r="1747" spans="2:8" x14ac:dyDescent="0.3">
      <c r="B1747" s="440">
        <v>45082</v>
      </c>
      <c r="C1747" s="363">
        <v>18593.849999999999</v>
      </c>
      <c r="D1747" s="252">
        <f t="shared" si="54"/>
        <v>3.223787505193032E-3</v>
      </c>
      <c r="F1747" s="440">
        <v>45083</v>
      </c>
      <c r="G1747" s="363">
        <v>1013.8</v>
      </c>
      <c r="H1747" s="252">
        <f t="shared" si="55"/>
        <v>5.0061957868647866E-3</v>
      </c>
    </row>
    <row r="1748" spans="2:8" x14ac:dyDescent="0.3">
      <c r="B1748" s="440">
        <v>45083</v>
      </c>
      <c r="C1748" s="363">
        <v>18599</v>
      </c>
      <c r="D1748" s="252">
        <f t="shared" si="54"/>
        <v>2.7697330031184464E-4</v>
      </c>
      <c r="F1748" s="440">
        <v>45084</v>
      </c>
      <c r="G1748" s="363">
        <v>1014.6</v>
      </c>
      <c r="H1748" s="252">
        <f t="shared" si="55"/>
        <v>7.891102781614201E-4</v>
      </c>
    </row>
    <row r="1749" spans="2:8" x14ac:dyDescent="0.3">
      <c r="B1749" s="440">
        <v>45084</v>
      </c>
      <c r="C1749" s="363">
        <v>18726.400000000001</v>
      </c>
      <c r="D1749" s="252">
        <f t="shared" si="54"/>
        <v>6.8498306360558203E-3</v>
      </c>
      <c r="F1749" s="440">
        <v>45085</v>
      </c>
      <c r="G1749" s="170">
        <v>987</v>
      </c>
      <c r="H1749" s="252">
        <f t="shared" si="55"/>
        <v>-2.7202838557066844E-2</v>
      </c>
    </row>
    <row r="1750" spans="2:8" x14ac:dyDescent="0.3">
      <c r="B1750" s="440">
        <v>45085</v>
      </c>
      <c r="C1750" s="363">
        <v>18634.55</v>
      </c>
      <c r="D1750" s="252">
        <f t="shared" si="54"/>
        <v>-4.9048402255640333E-3</v>
      </c>
      <c r="F1750" s="440">
        <v>45086</v>
      </c>
      <c r="G1750" s="170">
        <v>983.95</v>
      </c>
      <c r="H1750" s="252">
        <f t="shared" si="55"/>
        <v>-3.0901722391083464E-3</v>
      </c>
    </row>
    <row r="1751" spans="2:8" x14ac:dyDescent="0.3">
      <c r="B1751" s="440">
        <v>45086</v>
      </c>
      <c r="C1751" s="363">
        <v>18563.400000000001</v>
      </c>
      <c r="D1751" s="252">
        <f t="shared" si="54"/>
        <v>-3.8181764518058214E-3</v>
      </c>
      <c r="F1751" s="440">
        <v>45089</v>
      </c>
      <c r="G1751" s="170">
        <v>985.45</v>
      </c>
      <c r="H1751" s="252">
        <f t="shared" si="55"/>
        <v>1.5244677066923451E-3</v>
      </c>
    </row>
    <row r="1752" spans="2:8" x14ac:dyDescent="0.3">
      <c r="B1752" s="440">
        <v>45089</v>
      </c>
      <c r="C1752" s="363">
        <v>18601.5</v>
      </c>
      <c r="D1752" s="252">
        <f t="shared" si="54"/>
        <v>2.0524257409741953E-3</v>
      </c>
      <c r="F1752" s="440">
        <v>45090</v>
      </c>
      <c r="G1752" s="170">
        <v>988.1</v>
      </c>
      <c r="H1752" s="252">
        <f t="shared" si="55"/>
        <v>2.6891267948652153E-3</v>
      </c>
    </row>
    <row r="1753" spans="2:8" x14ac:dyDescent="0.3">
      <c r="B1753" s="440">
        <v>45090</v>
      </c>
      <c r="C1753" s="363">
        <v>18716.150000000001</v>
      </c>
      <c r="D1753" s="252">
        <f t="shared" si="54"/>
        <v>6.1634814396689386E-3</v>
      </c>
      <c r="F1753" s="440">
        <v>45091</v>
      </c>
      <c r="G1753" s="170">
        <v>986.7</v>
      </c>
      <c r="H1753" s="252">
        <f t="shared" si="55"/>
        <v>-1.4168606416354868E-3</v>
      </c>
    </row>
    <row r="1754" spans="2:8" x14ac:dyDescent="0.3">
      <c r="B1754" s="440">
        <v>45091</v>
      </c>
      <c r="C1754" s="363">
        <v>18755.900000000001</v>
      </c>
      <c r="D1754" s="252">
        <f t="shared" si="54"/>
        <v>2.123834228727528E-3</v>
      </c>
      <c r="F1754" s="440">
        <v>45092</v>
      </c>
      <c r="G1754" s="170">
        <v>988.4</v>
      </c>
      <c r="H1754" s="252">
        <f t="shared" si="55"/>
        <v>1.7229147663928579E-3</v>
      </c>
    </row>
    <row r="1755" spans="2:8" x14ac:dyDescent="0.3">
      <c r="B1755" s="440">
        <v>45092</v>
      </c>
      <c r="C1755" s="363">
        <v>18688.099999999999</v>
      </c>
      <c r="D1755" s="252">
        <f t="shared" si="54"/>
        <v>-3.6148625232594878E-3</v>
      </c>
      <c r="F1755" s="440">
        <v>45093</v>
      </c>
      <c r="G1755" s="170">
        <v>992</v>
      </c>
      <c r="H1755" s="252">
        <f t="shared" si="55"/>
        <v>3.6422501011736941E-3</v>
      </c>
    </row>
    <row r="1756" spans="2:8" x14ac:dyDescent="0.3">
      <c r="B1756" s="440">
        <v>45093</v>
      </c>
      <c r="C1756" s="363">
        <v>18826</v>
      </c>
      <c r="D1756" s="252">
        <f t="shared" si="54"/>
        <v>7.3790272954448177E-3</v>
      </c>
      <c r="F1756" s="440">
        <v>45096</v>
      </c>
      <c r="G1756" s="363">
        <v>1001.8</v>
      </c>
      <c r="H1756" s="252">
        <f t="shared" si="55"/>
        <v>9.879032258064413E-3</v>
      </c>
    </row>
    <row r="1757" spans="2:8" x14ac:dyDescent="0.3">
      <c r="B1757" s="440">
        <v>45096</v>
      </c>
      <c r="C1757" s="363">
        <v>18755.45</v>
      </c>
      <c r="D1757" s="252">
        <f t="shared" si="54"/>
        <v>-3.7474768936576197E-3</v>
      </c>
      <c r="F1757" s="440">
        <v>45097</v>
      </c>
      <c r="G1757" s="170">
        <v>991.95</v>
      </c>
      <c r="H1757" s="252">
        <f t="shared" si="55"/>
        <v>-9.8323018566579545E-3</v>
      </c>
    </row>
    <row r="1758" spans="2:8" x14ac:dyDescent="0.3">
      <c r="B1758" s="440">
        <v>45097</v>
      </c>
      <c r="C1758" s="363">
        <v>18816.7</v>
      </c>
      <c r="D1758" s="252">
        <f t="shared" si="54"/>
        <v>3.2657174314665305E-3</v>
      </c>
      <c r="F1758" s="440">
        <v>45098</v>
      </c>
      <c r="G1758" s="170">
        <v>991.9</v>
      </c>
      <c r="H1758" s="252">
        <f t="shared" si="55"/>
        <v>-5.0405766419792108E-5</v>
      </c>
    </row>
    <row r="1759" spans="2:8" x14ac:dyDescent="0.3">
      <c r="B1759" s="440">
        <v>45098</v>
      </c>
      <c r="C1759" s="363">
        <v>18856.849999999999</v>
      </c>
      <c r="D1759" s="252">
        <f t="shared" si="54"/>
        <v>2.1337428985952478E-3</v>
      </c>
      <c r="F1759" s="440">
        <v>45099</v>
      </c>
      <c r="G1759" s="170">
        <v>990.3</v>
      </c>
      <c r="H1759" s="252">
        <f t="shared" si="55"/>
        <v>-1.613065833249383E-3</v>
      </c>
    </row>
    <row r="1760" spans="2:8" x14ac:dyDescent="0.3">
      <c r="B1760" s="440">
        <v>45099</v>
      </c>
      <c r="C1760" s="363">
        <v>18771.25</v>
      </c>
      <c r="D1760" s="252">
        <f t="shared" si="54"/>
        <v>-4.5394644386521632E-3</v>
      </c>
      <c r="F1760" s="440">
        <v>45100</v>
      </c>
      <c r="G1760" s="170">
        <v>991.45</v>
      </c>
      <c r="H1760" s="252">
        <f t="shared" si="55"/>
        <v>1.1612642633547221E-3</v>
      </c>
    </row>
    <row r="1761" spans="2:8" x14ac:dyDescent="0.3">
      <c r="B1761" s="440">
        <v>45100</v>
      </c>
      <c r="C1761" s="363">
        <v>18665.5</v>
      </c>
      <c r="D1761" s="252">
        <f t="shared" si="54"/>
        <v>-5.6336152360657588E-3</v>
      </c>
      <c r="F1761" s="440">
        <v>45103</v>
      </c>
      <c r="G1761" s="170">
        <v>994.95</v>
      </c>
      <c r="H1761" s="252">
        <f t="shared" si="55"/>
        <v>3.5301830652074706E-3</v>
      </c>
    </row>
    <row r="1762" spans="2:8" x14ac:dyDescent="0.3">
      <c r="B1762" s="440">
        <v>45103</v>
      </c>
      <c r="C1762" s="363">
        <v>18691.2</v>
      </c>
      <c r="D1762" s="252">
        <f t="shared" si="54"/>
        <v>1.3768717687712151E-3</v>
      </c>
      <c r="F1762" s="440">
        <v>45104</v>
      </c>
      <c r="G1762" s="363">
        <v>1001.8</v>
      </c>
      <c r="H1762" s="252">
        <f t="shared" si="55"/>
        <v>6.8847680787977872E-3</v>
      </c>
    </row>
    <row r="1763" spans="2:8" x14ac:dyDescent="0.3">
      <c r="B1763" s="440">
        <v>45104</v>
      </c>
      <c r="C1763" s="363">
        <v>18817.400000000001</v>
      </c>
      <c r="D1763" s="252">
        <f t="shared" si="54"/>
        <v>6.7518404382811426E-3</v>
      </c>
      <c r="F1763" s="440">
        <v>45105</v>
      </c>
      <c r="G1763" s="363">
        <v>1021.8</v>
      </c>
      <c r="H1763" s="252">
        <f t="shared" si="55"/>
        <v>1.9964064683569482E-2</v>
      </c>
    </row>
    <row r="1764" spans="2:8" x14ac:dyDescent="0.3">
      <c r="B1764" s="440">
        <v>45105</v>
      </c>
      <c r="C1764" s="363">
        <v>18972.099999999999</v>
      </c>
      <c r="D1764" s="252">
        <f t="shared" si="54"/>
        <v>8.2211145004089659E-3</v>
      </c>
      <c r="F1764" s="440">
        <v>45107</v>
      </c>
      <c r="G1764" s="363">
        <v>1051.5999999999999</v>
      </c>
      <c r="H1764" s="252">
        <f t="shared" si="55"/>
        <v>2.9164220003914609E-2</v>
      </c>
    </row>
    <row r="1765" spans="2:8" x14ac:dyDescent="0.3">
      <c r="B1765" s="440">
        <v>45107</v>
      </c>
      <c r="C1765" s="363">
        <v>19189.05</v>
      </c>
      <c r="D1765" s="252">
        <f t="shared" si="54"/>
        <v>1.1435212759789426E-2</v>
      </c>
      <c r="F1765" s="440">
        <v>45110</v>
      </c>
      <c r="G1765" s="363">
        <v>1032.7</v>
      </c>
      <c r="H1765" s="252">
        <f t="shared" si="55"/>
        <v>-1.7972613160897599E-2</v>
      </c>
    </row>
    <row r="1766" spans="2:8" x14ac:dyDescent="0.3">
      <c r="B1766" s="440">
        <v>45110</v>
      </c>
      <c r="C1766" s="363">
        <v>19322.55</v>
      </c>
      <c r="D1766" s="252">
        <f t="shared" si="54"/>
        <v>6.9570927169402275E-3</v>
      </c>
      <c r="F1766" s="440">
        <v>45111</v>
      </c>
      <c r="G1766" s="363">
        <v>1048.8</v>
      </c>
      <c r="H1766" s="252">
        <f t="shared" si="55"/>
        <v>1.5590200445434244E-2</v>
      </c>
    </row>
    <row r="1767" spans="2:8" x14ac:dyDescent="0.3">
      <c r="B1767" s="440">
        <v>45111</v>
      </c>
      <c r="C1767" s="363">
        <v>19389</v>
      </c>
      <c r="D1767" s="252">
        <f t="shared" si="54"/>
        <v>3.4389870902133968E-3</v>
      </c>
      <c r="F1767" s="440">
        <v>45112</v>
      </c>
      <c r="G1767" s="363">
        <v>1044.7</v>
      </c>
      <c r="H1767" s="252">
        <f t="shared" si="55"/>
        <v>-3.9092295957283696E-3</v>
      </c>
    </row>
    <row r="1768" spans="2:8" x14ac:dyDescent="0.3">
      <c r="B1768" s="440">
        <v>45112</v>
      </c>
      <c r="C1768" s="363">
        <v>19398.5</v>
      </c>
      <c r="D1768" s="252">
        <f t="shared" si="54"/>
        <v>4.8996853886218439E-4</v>
      </c>
      <c r="F1768" s="440">
        <v>45113</v>
      </c>
      <c r="G1768" s="363">
        <v>1042.5</v>
      </c>
      <c r="H1768" s="252">
        <f t="shared" si="55"/>
        <v>-2.1058677132191894E-3</v>
      </c>
    </row>
    <row r="1769" spans="2:8" x14ac:dyDescent="0.3">
      <c r="B1769" s="440">
        <v>45113</v>
      </c>
      <c r="C1769" s="363">
        <v>19497.3</v>
      </c>
      <c r="D1769" s="252">
        <f t="shared" si="54"/>
        <v>5.0931773075237885E-3</v>
      </c>
      <c r="F1769" s="440">
        <v>45114</v>
      </c>
      <c r="G1769" s="363">
        <v>1035.7</v>
      </c>
      <c r="H1769" s="252">
        <f t="shared" si="55"/>
        <v>-6.5227817745803218E-3</v>
      </c>
    </row>
    <row r="1770" spans="2:8" x14ac:dyDescent="0.3">
      <c r="B1770" s="440">
        <v>45114</v>
      </c>
      <c r="C1770" s="363">
        <v>19331.8</v>
      </c>
      <c r="D1770" s="252">
        <f t="shared" si="54"/>
        <v>-8.4883547978438223E-3</v>
      </c>
      <c r="F1770" s="440">
        <v>45117</v>
      </c>
      <c r="G1770" s="363">
        <v>1045</v>
      </c>
      <c r="H1770" s="252">
        <f t="shared" si="55"/>
        <v>8.9794341990923066E-3</v>
      </c>
    </row>
    <row r="1771" spans="2:8" x14ac:dyDescent="0.3">
      <c r="B1771" s="440">
        <v>45117</v>
      </c>
      <c r="C1771" s="363">
        <v>19355.900000000001</v>
      </c>
      <c r="D1771" s="252">
        <f t="shared" si="54"/>
        <v>1.2466505964268126E-3</v>
      </c>
      <c r="F1771" s="440">
        <v>45118</v>
      </c>
      <c r="G1771" s="363">
        <v>1072.25</v>
      </c>
      <c r="H1771" s="252">
        <f t="shared" si="55"/>
        <v>2.6076555023923476E-2</v>
      </c>
    </row>
    <row r="1772" spans="2:8" x14ac:dyDescent="0.3">
      <c r="B1772" s="440">
        <v>45118</v>
      </c>
      <c r="C1772" s="363">
        <v>19439.400000000001</v>
      </c>
      <c r="D1772" s="252">
        <f t="shared" si="54"/>
        <v>4.3139301194985435E-3</v>
      </c>
      <c r="F1772" s="440">
        <v>45119</v>
      </c>
      <c r="G1772" s="363">
        <v>1078.75</v>
      </c>
      <c r="H1772" s="252">
        <f t="shared" si="55"/>
        <v>6.0620191186757655E-3</v>
      </c>
    </row>
    <row r="1773" spans="2:8" x14ac:dyDescent="0.3">
      <c r="B1773" s="440">
        <v>45119</v>
      </c>
      <c r="C1773" s="363">
        <v>19384.3</v>
      </c>
      <c r="D1773" s="252">
        <f t="shared" si="54"/>
        <v>-2.8344496229308902E-3</v>
      </c>
      <c r="F1773" s="440">
        <v>45120</v>
      </c>
      <c r="G1773" s="363">
        <v>1075.6500000000001</v>
      </c>
      <c r="H1773" s="252">
        <f t="shared" si="55"/>
        <v>-2.8736964078793781E-3</v>
      </c>
    </row>
    <row r="1774" spans="2:8" x14ac:dyDescent="0.3">
      <c r="B1774" s="440">
        <v>45120</v>
      </c>
      <c r="C1774" s="363">
        <v>19413.75</v>
      </c>
      <c r="D1774" s="252">
        <f t="shared" si="54"/>
        <v>1.5192707500399916E-3</v>
      </c>
      <c r="F1774" s="440">
        <v>45121</v>
      </c>
      <c r="G1774" s="363">
        <v>1072.95</v>
      </c>
      <c r="H1774" s="252">
        <f t="shared" si="55"/>
        <v>-2.5101101659462666E-3</v>
      </c>
    </row>
    <row r="1775" spans="2:8" x14ac:dyDescent="0.3">
      <c r="B1775" s="440">
        <v>45121</v>
      </c>
      <c r="C1775" s="363">
        <v>19564.5</v>
      </c>
      <c r="D1775" s="252">
        <f t="shared" si="54"/>
        <v>7.7651149314275081E-3</v>
      </c>
      <c r="F1775" s="440">
        <v>45124</v>
      </c>
      <c r="G1775" s="363">
        <v>1077.5999999999999</v>
      </c>
      <c r="H1775" s="252">
        <f t="shared" si="55"/>
        <v>4.3338459387667339E-3</v>
      </c>
    </row>
    <row r="1776" spans="2:8" x14ac:dyDescent="0.3">
      <c r="B1776" s="440">
        <v>45124</v>
      </c>
      <c r="C1776" s="363">
        <v>19711.45</v>
      </c>
      <c r="D1776" s="252">
        <f t="shared" si="54"/>
        <v>7.5110531830611116E-3</v>
      </c>
      <c r="F1776" s="440">
        <v>45125</v>
      </c>
      <c r="G1776" s="363">
        <v>1067.1500000000001</v>
      </c>
      <c r="H1776" s="252">
        <f t="shared" si="55"/>
        <v>-9.6974758723086252E-3</v>
      </c>
    </row>
    <row r="1777" spans="2:8" x14ac:dyDescent="0.3">
      <c r="B1777" s="440">
        <v>45125</v>
      </c>
      <c r="C1777" s="363">
        <v>19749.25</v>
      </c>
      <c r="D1777" s="252">
        <f t="shared" si="54"/>
        <v>1.9176671427012515E-3</v>
      </c>
      <c r="F1777" s="440">
        <v>45126</v>
      </c>
      <c r="G1777" s="363">
        <v>1081.8499999999999</v>
      </c>
      <c r="H1777" s="252">
        <f t="shared" si="55"/>
        <v>1.3775008199409466E-2</v>
      </c>
    </row>
    <row r="1778" spans="2:8" x14ac:dyDescent="0.3">
      <c r="B1778" s="440">
        <v>45126</v>
      </c>
      <c r="C1778" s="363">
        <v>19833.150000000001</v>
      </c>
      <c r="D1778" s="252">
        <f t="shared" si="54"/>
        <v>4.248262592250418E-3</v>
      </c>
      <c r="F1778" s="440">
        <v>45127</v>
      </c>
      <c r="G1778" s="363">
        <v>1097.6500000000001</v>
      </c>
      <c r="H1778" s="252">
        <f t="shared" si="55"/>
        <v>1.4604612469381273E-2</v>
      </c>
    </row>
    <row r="1779" spans="2:8" x14ac:dyDescent="0.3">
      <c r="B1779" s="440">
        <v>45127</v>
      </c>
      <c r="C1779" s="363">
        <v>19979.150000000001</v>
      </c>
      <c r="D1779" s="252">
        <f t="shared" si="54"/>
        <v>7.3614125844860823E-3</v>
      </c>
      <c r="F1779" s="440">
        <v>45128</v>
      </c>
      <c r="G1779" s="363">
        <v>1097.1500000000001</v>
      </c>
      <c r="H1779" s="252">
        <f t="shared" si="55"/>
        <v>-4.5551860793513477E-4</v>
      </c>
    </row>
    <row r="1780" spans="2:8" x14ac:dyDescent="0.3">
      <c r="B1780" s="440">
        <v>45128</v>
      </c>
      <c r="C1780" s="363">
        <v>19745</v>
      </c>
      <c r="D1780" s="252">
        <f t="shared" si="54"/>
        <v>-1.1719717805812602E-2</v>
      </c>
      <c r="F1780" s="440">
        <v>45131</v>
      </c>
      <c r="G1780" s="363">
        <v>1100.4000000000001</v>
      </c>
      <c r="H1780" s="252">
        <f t="shared" si="55"/>
        <v>2.9622202980448264E-3</v>
      </c>
    </row>
    <row r="1781" spans="2:8" x14ac:dyDescent="0.3">
      <c r="B1781" s="440">
        <v>45131</v>
      </c>
      <c r="C1781" s="363">
        <v>19672.349999999999</v>
      </c>
      <c r="D1781" s="252">
        <f t="shared" si="54"/>
        <v>-3.679412509496105E-3</v>
      </c>
      <c r="F1781" s="440">
        <v>45132</v>
      </c>
      <c r="G1781" s="363">
        <v>1095.05</v>
      </c>
      <c r="H1781" s="252">
        <f t="shared" si="55"/>
        <v>-4.861868411486836E-3</v>
      </c>
    </row>
    <row r="1782" spans="2:8" x14ac:dyDescent="0.3">
      <c r="B1782" s="440">
        <v>45132</v>
      </c>
      <c r="C1782" s="363">
        <v>19680.599999999999</v>
      </c>
      <c r="D1782" s="252">
        <f t="shared" si="54"/>
        <v>4.1937033450500927E-4</v>
      </c>
      <c r="F1782" s="440">
        <v>45133</v>
      </c>
      <c r="G1782" s="363">
        <v>1112</v>
      </c>
      <c r="H1782" s="252">
        <f t="shared" si="55"/>
        <v>1.5478745262773375E-2</v>
      </c>
    </row>
    <row r="1783" spans="2:8" x14ac:dyDescent="0.3">
      <c r="B1783" s="440">
        <v>45133</v>
      </c>
      <c r="C1783" s="363">
        <v>19778.3</v>
      </c>
      <c r="D1783" s="252">
        <f t="shared" si="54"/>
        <v>4.9642795443227694E-3</v>
      </c>
      <c r="F1783" s="440">
        <v>45134</v>
      </c>
      <c r="G1783" s="363">
        <v>1134.95</v>
      </c>
      <c r="H1783" s="252">
        <f t="shared" si="55"/>
        <v>2.0638489208633093E-2</v>
      </c>
    </row>
    <row r="1784" spans="2:8" x14ac:dyDescent="0.3">
      <c r="B1784" s="440">
        <v>45134</v>
      </c>
      <c r="C1784" s="363">
        <v>19659.900000000001</v>
      </c>
      <c r="D1784" s="252">
        <f t="shared" si="54"/>
        <v>-5.9863587871554769E-3</v>
      </c>
      <c r="F1784" s="440">
        <v>45135</v>
      </c>
      <c r="G1784" s="363">
        <v>1138.55</v>
      </c>
      <c r="H1784" s="252">
        <f t="shared" si="55"/>
        <v>3.171945900700468E-3</v>
      </c>
    </row>
    <row r="1785" spans="2:8" x14ac:dyDescent="0.3">
      <c r="B1785" s="440">
        <v>45135</v>
      </c>
      <c r="C1785" s="363">
        <v>19646.05</v>
      </c>
      <c r="D1785" s="252">
        <f t="shared" si="54"/>
        <v>-7.044796769059003E-4</v>
      </c>
      <c r="F1785" s="440">
        <v>45138</v>
      </c>
      <c r="G1785" s="363">
        <v>1143.4000000000001</v>
      </c>
      <c r="H1785" s="252">
        <f t="shared" si="55"/>
        <v>4.2598041368409056E-3</v>
      </c>
    </row>
    <row r="1786" spans="2:8" x14ac:dyDescent="0.3">
      <c r="B1786" s="440">
        <v>45138</v>
      </c>
      <c r="C1786" s="363">
        <v>19753.8</v>
      </c>
      <c r="D1786" s="252">
        <f t="shared" si="54"/>
        <v>5.4845630546598301E-3</v>
      </c>
      <c r="F1786" s="440">
        <v>45139</v>
      </c>
      <c r="G1786" s="363">
        <v>1143.45</v>
      </c>
      <c r="H1786" s="252">
        <f t="shared" si="55"/>
        <v>4.3729228616395943E-5</v>
      </c>
    </row>
    <row r="1787" spans="2:8" x14ac:dyDescent="0.3">
      <c r="B1787" s="440">
        <v>45139</v>
      </c>
      <c r="C1787" s="363">
        <v>19733.55</v>
      </c>
      <c r="D1787" s="252">
        <f t="shared" si="54"/>
        <v>-1.0251192175683155E-3</v>
      </c>
      <c r="F1787" s="440">
        <v>45140</v>
      </c>
      <c r="G1787" s="363">
        <v>1135.25</v>
      </c>
      <c r="H1787" s="252">
        <f t="shared" si="55"/>
        <v>-7.1712798985527071E-3</v>
      </c>
    </row>
    <row r="1788" spans="2:8" x14ac:dyDescent="0.3">
      <c r="B1788" s="440">
        <v>45140</v>
      </c>
      <c r="C1788" s="363">
        <v>19526.55</v>
      </c>
      <c r="D1788" s="252">
        <f t="shared" si="54"/>
        <v>-1.0489749690248296E-2</v>
      </c>
      <c r="F1788" s="440">
        <v>45141</v>
      </c>
      <c r="G1788" s="363">
        <v>1141</v>
      </c>
      <c r="H1788" s="252">
        <f t="shared" si="55"/>
        <v>5.0649636643911311E-3</v>
      </c>
    </row>
    <row r="1789" spans="2:8" x14ac:dyDescent="0.3">
      <c r="B1789" s="440">
        <v>45141</v>
      </c>
      <c r="C1789" s="363">
        <v>19381.650000000001</v>
      </c>
      <c r="D1789" s="252">
        <f t="shared" si="54"/>
        <v>-7.4206657089961325E-3</v>
      </c>
      <c r="F1789" s="440">
        <v>45142</v>
      </c>
      <c r="G1789" s="363">
        <v>1138.95</v>
      </c>
      <c r="H1789" s="252">
        <f t="shared" si="55"/>
        <v>-1.7966695880805572E-3</v>
      </c>
    </row>
    <row r="1790" spans="2:8" x14ac:dyDescent="0.3">
      <c r="B1790" s="440">
        <v>45142</v>
      </c>
      <c r="C1790" s="363">
        <v>19517</v>
      </c>
      <c r="D1790" s="252">
        <f t="shared" si="54"/>
        <v>6.983409565233023E-3</v>
      </c>
      <c r="F1790" s="440">
        <v>45145</v>
      </c>
      <c r="G1790" s="363">
        <v>1160.8</v>
      </c>
      <c r="H1790" s="252">
        <f t="shared" si="55"/>
        <v>1.9184336450239092E-2</v>
      </c>
    </row>
    <row r="1791" spans="2:8" x14ac:dyDescent="0.3">
      <c r="B1791" s="440">
        <v>45145</v>
      </c>
      <c r="C1791" s="363">
        <v>19597.3</v>
      </c>
      <c r="D1791" s="252">
        <f t="shared" si="54"/>
        <v>4.1143618383971958E-3</v>
      </c>
      <c r="F1791" s="440">
        <v>45146</v>
      </c>
      <c r="G1791" s="363">
        <v>1148.6500000000001</v>
      </c>
      <c r="H1791" s="252">
        <f t="shared" si="55"/>
        <v>-1.0466919365954452E-2</v>
      </c>
    </row>
    <row r="1792" spans="2:8" x14ac:dyDescent="0.3">
      <c r="B1792" s="440">
        <v>45146</v>
      </c>
      <c r="C1792" s="363">
        <v>19570.849999999999</v>
      </c>
      <c r="D1792" s="252">
        <f t="shared" si="54"/>
        <v>-1.3496757206350463E-3</v>
      </c>
      <c r="F1792" s="440">
        <v>45147</v>
      </c>
      <c r="G1792" s="363">
        <v>1152.8</v>
      </c>
      <c r="H1792" s="252">
        <f t="shared" si="55"/>
        <v>3.6129369259565447E-3</v>
      </c>
    </row>
    <row r="1793" spans="2:8" x14ac:dyDescent="0.3">
      <c r="B1793" s="440">
        <v>45147</v>
      </c>
      <c r="C1793" s="363">
        <v>19632.55</v>
      </c>
      <c r="D1793" s="252">
        <f t="shared" si="54"/>
        <v>3.152647943242215E-3</v>
      </c>
      <c r="F1793" s="440">
        <v>45148</v>
      </c>
      <c r="G1793" s="363">
        <v>1150.3</v>
      </c>
      <c r="H1793" s="252">
        <f t="shared" si="55"/>
        <v>-2.1686328938237409E-3</v>
      </c>
    </row>
    <row r="1794" spans="2:8" x14ac:dyDescent="0.3">
      <c r="B1794" s="440">
        <v>45148</v>
      </c>
      <c r="C1794" s="363">
        <v>19543.099999999999</v>
      </c>
      <c r="D1794" s="252">
        <f t="shared" si="54"/>
        <v>-4.5562089489139534E-3</v>
      </c>
      <c r="F1794" s="440">
        <v>45149</v>
      </c>
      <c r="G1794" s="363">
        <v>1132.3499999999999</v>
      </c>
      <c r="H1794" s="252">
        <f t="shared" si="55"/>
        <v>-1.5604624880465989E-2</v>
      </c>
    </row>
    <row r="1795" spans="2:8" x14ac:dyDescent="0.3">
      <c r="B1795" s="440">
        <v>45149</v>
      </c>
      <c r="C1795" s="363">
        <v>19428.3</v>
      </c>
      <c r="D1795" s="252">
        <f t="shared" si="54"/>
        <v>-5.8741960077981492E-3</v>
      </c>
      <c r="F1795" s="440">
        <v>45152</v>
      </c>
      <c r="G1795" s="363">
        <v>1134.25</v>
      </c>
      <c r="H1795" s="252">
        <f t="shared" si="55"/>
        <v>1.6779264361725943E-3</v>
      </c>
    </row>
    <row r="1796" spans="2:8" x14ac:dyDescent="0.3">
      <c r="B1796" s="440">
        <v>45152</v>
      </c>
      <c r="C1796" s="363">
        <v>19434.55</v>
      </c>
      <c r="D1796" s="252">
        <f t="shared" si="54"/>
        <v>3.2169567074835648E-4</v>
      </c>
      <c r="F1796" s="440">
        <v>45154</v>
      </c>
      <c r="G1796" s="363">
        <v>1143.6500000000001</v>
      </c>
      <c r="H1796" s="252">
        <f t="shared" si="55"/>
        <v>8.2874145911395747E-3</v>
      </c>
    </row>
    <row r="1797" spans="2:8" x14ac:dyDescent="0.3">
      <c r="B1797" s="440">
        <v>45154</v>
      </c>
      <c r="C1797" s="363">
        <v>19465</v>
      </c>
      <c r="D1797" s="252">
        <f t="shared" si="54"/>
        <v>1.5667972759854099E-3</v>
      </c>
      <c r="F1797" s="440">
        <v>45155</v>
      </c>
      <c r="G1797" s="363">
        <v>1144.8</v>
      </c>
      <c r="H1797" s="252">
        <f t="shared" si="55"/>
        <v>1.0055523980236902E-3</v>
      </c>
    </row>
    <row r="1798" spans="2:8" x14ac:dyDescent="0.3">
      <c r="B1798" s="440">
        <v>45155</v>
      </c>
      <c r="C1798" s="363">
        <v>19365.25</v>
      </c>
      <c r="D1798" s="252">
        <f t="shared" si="54"/>
        <v>-5.1245825841254034E-3</v>
      </c>
      <c r="F1798" s="440">
        <v>45156</v>
      </c>
      <c r="G1798" s="363">
        <v>1134.9000000000001</v>
      </c>
      <c r="H1798" s="252">
        <f t="shared" si="55"/>
        <v>-8.6477987421382796E-3</v>
      </c>
    </row>
    <row r="1799" spans="2:8" x14ac:dyDescent="0.3">
      <c r="B1799" s="440">
        <v>45156</v>
      </c>
      <c r="C1799" s="363">
        <v>19310.150000000001</v>
      </c>
      <c r="D1799" s="252">
        <f t="shared" si="54"/>
        <v>-2.8453027975366973E-3</v>
      </c>
      <c r="F1799" s="440">
        <v>45159</v>
      </c>
      <c r="G1799" s="363">
        <v>1137.4000000000001</v>
      </c>
      <c r="H1799" s="252">
        <f t="shared" si="55"/>
        <v>2.2028372543836383E-3</v>
      </c>
    </row>
    <row r="1800" spans="2:8" x14ac:dyDescent="0.3">
      <c r="B1800" s="440">
        <v>45159</v>
      </c>
      <c r="C1800" s="363">
        <v>19393.599999999999</v>
      </c>
      <c r="D1800" s="252">
        <f t="shared" si="54"/>
        <v>4.3215614586109563E-3</v>
      </c>
      <c r="F1800" s="440">
        <v>45160</v>
      </c>
      <c r="G1800" s="363">
        <v>1137.55</v>
      </c>
      <c r="H1800" s="252">
        <f t="shared" si="55"/>
        <v>1.3187972568995399E-4</v>
      </c>
    </row>
    <row r="1801" spans="2:8" x14ac:dyDescent="0.3">
      <c r="B1801" s="440">
        <v>45160</v>
      </c>
      <c r="C1801" s="363">
        <v>19396.45</v>
      </c>
      <c r="D1801" s="252">
        <f t="shared" si="54"/>
        <v>1.4695569672484865E-4</v>
      </c>
      <c r="F1801" s="440">
        <v>45161</v>
      </c>
      <c r="G1801" s="363">
        <v>1123.7</v>
      </c>
      <c r="H1801" s="252">
        <f t="shared" si="55"/>
        <v>-1.2175288998285683E-2</v>
      </c>
    </row>
    <row r="1802" spans="2:8" x14ac:dyDescent="0.3">
      <c r="B1802" s="440">
        <v>45161</v>
      </c>
      <c r="C1802" s="363">
        <v>19444</v>
      </c>
      <c r="D1802" s="252">
        <f t="shared" si="54"/>
        <v>2.4514795233148146E-3</v>
      </c>
      <c r="F1802" s="440">
        <v>45162</v>
      </c>
      <c r="G1802" s="363">
        <v>1118.3</v>
      </c>
      <c r="H1802" s="252">
        <f t="shared" si="55"/>
        <v>-4.8055530835633409E-3</v>
      </c>
    </row>
    <row r="1803" spans="2:8" x14ac:dyDescent="0.3">
      <c r="B1803" s="440">
        <v>45162</v>
      </c>
      <c r="C1803" s="363">
        <v>19386.7</v>
      </c>
      <c r="D1803" s="252">
        <f t="shared" ref="D1803:D1866" si="56">C1803/C1802-1</f>
        <v>-2.9469245011314316E-3</v>
      </c>
      <c r="F1803" s="440">
        <v>45163</v>
      </c>
      <c r="G1803" s="363">
        <v>1106.3</v>
      </c>
      <c r="H1803" s="252">
        <f t="shared" ref="H1803:H1866" si="57">G1803/G1802-1</f>
        <v>-1.073057319145132E-2</v>
      </c>
    </row>
    <row r="1804" spans="2:8" x14ac:dyDescent="0.3">
      <c r="B1804" s="440">
        <v>45163</v>
      </c>
      <c r="C1804" s="363">
        <v>19265.8</v>
      </c>
      <c r="D1804" s="252">
        <f t="shared" si="56"/>
        <v>-6.2362341192674364E-3</v>
      </c>
      <c r="F1804" s="440">
        <v>45166</v>
      </c>
      <c r="G1804" s="363">
        <v>1117</v>
      </c>
      <c r="H1804" s="252">
        <f t="shared" si="57"/>
        <v>9.67187923709667E-3</v>
      </c>
    </row>
    <row r="1805" spans="2:8" x14ac:dyDescent="0.3">
      <c r="B1805" s="440">
        <v>45166</v>
      </c>
      <c r="C1805" s="363">
        <v>19306.05</v>
      </c>
      <c r="D1805" s="252">
        <f t="shared" si="56"/>
        <v>2.0891943236200916E-3</v>
      </c>
      <c r="F1805" s="440">
        <v>45167</v>
      </c>
      <c r="G1805" s="363">
        <v>1111.5999999999999</v>
      </c>
      <c r="H1805" s="252">
        <f t="shared" si="57"/>
        <v>-4.8343777976723734E-3</v>
      </c>
    </row>
    <row r="1806" spans="2:8" x14ac:dyDescent="0.3">
      <c r="B1806" s="440">
        <v>45167</v>
      </c>
      <c r="C1806" s="363">
        <v>19342.650000000001</v>
      </c>
      <c r="D1806" s="252">
        <f t="shared" si="56"/>
        <v>1.8957787843707496E-3</v>
      </c>
      <c r="F1806" s="440">
        <v>45168</v>
      </c>
      <c r="G1806" s="363">
        <v>1114.9000000000001</v>
      </c>
      <c r="H1806" s="252">
        <f t="shared" si="57"/>
        <v>2.968693774739295E-3</v>
      </c>
    </row>
    <row r="1807" spans="2:8" x14ac:dyDescent="0.3">
      <c r="B1807" s="440">
        <v>45168</v>
      </c>
      <c r="C1807" s="363">
        <v>19347.45</v>
      </c>
      <c r="D1807" s="252">
        <f t="shared" si="56"/>
        <v>2.4815627641494586E-4</v>
      </c>
      <c r="F1807" s="440">
        <v>45169</v>
      </c>
      <c r="G1807" s="363">
        <v>1111.5999999999999</v>
      </c>
      <c r="H1807" s="252">
        <f t="shared" si="57"/>
        <v>-2.9599067180914318E-3</v>
      </c>
    </row>
    <row r="1808" spans="2:8" x14ac:dyDescent="0.3">
      <c r="B1808" s="440">
        <v>45169</v>
      </c>
      <c r="C1808" s="363">
        <v>19253.8</v>
      </c>
      <c r="D1808" s="252">
        <f t="shared" si="56"/>
        <v>-4.840431167931758E-3</v>
      </c>
      <c r="F1808" s="440">
        <v>45170</v>
      </c>
      <c r="G1808" s="363">
        <v>1109</v>
      </c>
      <c r="H1808" s="252">
        <f t="shared" si="57"/>
        <v>-2.33897085282464E-3</v>
      </c>
    </row>
    <row r="1809" spans="2:8" x14ac:dyDescent="0.3">
      <c r="B1809" s="440">
        <v>45170</v>
      </c>
      <c r="C1809" s="363">
        <v>19435.3</v>
      </c>
      <c r="D1809" s="252">
        <f t="shared" si="56"/>
        <v>9.4267105714196386E-3</v>
      </c>
      <c r="F1809" s="440">
        <v>45173</v>
      </c>
      <c r="G1809" s="363">
        <v>1108.9000000000001</v>
      </c>
      <c r="H1809" s="252">
        <f t="shared" si="57"/>
        <v>-9.0171325518362266E-5</v>
      </c>
    </row>
    <row r="1810" spans="2:8" x14ac:dyDescent="0.3">
      <c r="B1810" s="440">
        <v>45173</v>
      </c>
      <c r="C1810" s="363">
        <v>19528.8</v>
      </c>
      <c r="D1810" s="252">
        <f t="shared" si="56"/>
        <v>4.8108338950261231E-3</v>
      </c>
      <c r="F1810" s="440">
        <v>45174</v>
      </c>
      <c r="G1810" s="363">
        <v>1131.9000000000001</v>
      </c>
      <c r="H1810" s="252">
        <f t="shared" si="57"/>
        <v>2.0741275137523774E-2</v>
      </c>
    </row>
    <row r="1811" spans="2:8" x14ac:dyDescent="0.3">
      <c r="B1811" s="440">
        <v>45174</v>
      </c>
      <c r="C1811" s="363">
        <v>19574.900000000001</v>
      </c>
      <c r="D1811" s="252">
        <f t="shared" si="56"/>
        <v>2.3606161156857208E-3</v>
      </c>
      <c r="F1811" s="440">
        <v>45175</v>
      </c>
      <c r="G1811" s="363">
        <v>1142.3499999999999</v>
      </c>
      <c r="H1811" s="252">
        <f t="shared" si="57"/>
        <v>9.2322643343050181E-3</v>
      </c>
    </row>
    <row r="1812" spans="2:8" x14ac:dyDescent="0.3">
      <c r="B1812" s="440">
        <v>45175</v>
      </c>
      <c r="C1812" s="363">
        <v>19611.05</v>
      </c>
      <c r="D1812" s="252">
        <f t="shared" si="56"/>
        <v>1.8467527292602703E-3</v>
      </c>
      <c r="F1812" s="440">
        <v>45176</v>
      </c>
      <c r="G1812" s="363">
        <v>1133.05</v>
      </c>
      <c r="H1812" s="252">
        <f t="shared" si="57"/>
        <v>-8.141112618724522E-3</v>
      </c>
    </row>
    <row r="1813" spans="2:8" x14ac:dyDescent="0.3">
      <c r="B1813" s="440">
        <v>45176</v>
      </c>
      <c r="C1813" s="363">
        <v>19727.05</v>
      </c>
      <c r="D1813" s="252">
        <f t="shared" si="56"/>
        <v>5.91503259641879E-3</v>
      </c>
      <c r="F1813" s="440">
        <v>45177</v>
      </c>
      <c r="G1813" s="363">
        <v>1130.45</v>
      </c>
      <c r="H1813" s="252">
        <f t="shared" si="57"/>
        <v>-2.2946913198886865E-3</v>
      </c>
    </row>
    <row r="1814" spans="2:8" x14ac:dyDescent="0.3">
      <c r="B1814" s="440">
        <v>45177</v>
      </c>
      <c r="C1814" s="363">
        <v>19819.95</v>
      </c>
      <c r="D1814" s="252">
        <f t="shared" si="56"/>
        <v>4.7092697590365162E-3</v>
      </c>
      <c r="F1814" s="440">
        <v>45180</v>
      </c>
      <c r="G1814" s="363">
        <v>1136.9000000000001</v>
      </c>
      <c r="H1814" s="252">
        <f t="shared" si="57"/>
        <v>5.7056924233711559E-3</v>
      </c>
    </row>
    <row r="1815" spans="2:8" x14ac:dyDescent="0.3">
      <c r="B1815" s="440">
        <v>45180</v>
      </c>
      <c r="C1815" s="363">
        <v>19996.349999999999</v>
      </c>
      <c r="D1815" s="252">
        <f t="shared" si="56"/>
        <v>8.9001233605532359E-3</v>
      </c>
      <c r="F1815" s="440">
        <v>45181</v>
      </c>
      <c r="G1815" s="363">
        <v>1145.25</v>
      </c>
      <c r="H1815" s="252">
        <f t="shared" si="57"/>
        <v>7.3445333802444335E-3</v>
      </c>
    </row>
    <row r="1816" spans="2:8" x14ac:dyDescent="0.3">
      <c r="B1816" s="440">
        <v>45181</v>
      </c>
      <c r="C1816" s="363">
        <v>19993.2</v>
      </c>
      <c r="D1816" s="252">
        <f t="shared" si="56"/>
        <v>-1.5752874899654934E-4</v>
      </c>
      <c r="F1816" s="440">
        <v>45182</v>
      </c>
      <c r="G1816" s="363">
        <v>1148.75</v>
      </c>
      <c r="H1816" s="252">
        <f t="shared" si="57"/>
        <v>3.0561012879284366E-3</v>
      </c>
    </row>
    <row r="1817" spans="2:8" x14ac:dyDescent="0.3">
      <c r="B1817" s="440">
        <v>45182</v>
      </c>
      <c r="C1817" s="363">
        <v>20070</v>
      </c>
      <c r="D1817" s="252">
        <f t="shared" si="56"/>
        <v>3.8413060440549707E-3</v>
      </c>
      <c r="F1817" s="440">
        <v>45183</v>
      </c>
      <c r="G1817" s="363">
        <v>1143.8</v>
      </c>
      <c r="H1817" s="252">
        <f t="shared" si="57"/>
        <v>-4.3090315560392334E-3</v>
      </c>
    </row>
    <row r="1818" spans="2:8" x14ac:dyDescent="0.3">
      <c r="B1818" s="440">
        <v>45183</v>
      </c>
      <c r="C1818" s="363">
        <v>20103.099999999999</v>
      </c>
      <c r="D1818" s="252">
        <f t="shared" si="56"/>
        <v>1.6492277030393243E-3</v>
      </c>
      <c r="F1818" s="440">
        <v>45184</v>
      </c>
      <c r="G1818" s="363">
        <v>1149.8</v>
      </c>
      <c r="H1818" s="252">
        <f t="shared" si="57"/>
        <v>5.2456723203357924E-3</v>
      </c>
    </row>
    <row r="1819" spans="2:8" x14ac:dyDescent="0.3">
      <c r="B1819" s="440">
        <v>45184</v>
      </c>
      <c r="C1819" s="363">
        <v>20192.349999999999</v>
      </c>
      <c r="D1819" s="252">
        <f t="shared" si="56"/>
        <v>4.4396137909079592E-3</v>
      </c>
      <c r="F1819" s="440">
        <v>45187</v>
      </c>
      <c r="G1819" s="363">
        <v>1147.6500000000001</v>
      </c>
      <c r="H1819" s="252">
        <f t="shared" si="57"/>
        <v>-1.8698904157243845E-3</v>
      </c>
    </row>
    <row r="1820" spans="2:8" x14ac:dyDescent="0.3">
      <c r="B1820" s="440">
        <v>45187</v>
      </c>
      <c r="C1820" s="363">
        <v>20133.3</v>
      </c>
      <c r="D1820" s="252">
        <f t="shared" si="56"/>
        <v>-2.9243748251194246E-3</v>
      </c>
      <c r="F1820" s="440">
        <v>45189</v>
      </c>
      <c r="G1820" s="363">
        <v>1153.1500000000001</v>
      </c>
      <c r="H1820" s="252">
        <f t="shared" si="57"/>
        <v>4.792401864680107E-3</v>
      </c>
    </row>
    <row r="1821" spans="2:8" x14ac:dyDescent="0.3">
      <c r="B1821" s="440">
        <v>45189</v>
      </c>
      <c r="C1821" s="363">
        <v>19901.400000000001</v>
      </c>
      <c r="D1821" s="252">
        <f t="shared" si="56"/>
        <v>-1.1518230990448575E-2</v>
      </c>
      <c r="F1821" s="440">
        <v>45190</v>
      </c>
      <c r="G1821" s="363">
        <v>1146.1500000000001</v>
      </c>
      <c r="H1821" s="252">
        <f t="shared" si="57"/>
        <v>-6.0703290985560932E-3</v>
      </c>
    </row>
    <row r="1822" spans="2:8" x14ac:dyDescent="0.3">
      <c r="B1822" s="440">
        <v>45190</v>
      </c>
      <c r="C1822" s="363">
        <v>19742.349999999999</v>
      </c>
      <c r="D1822" s="252">
        <f t="shared" si="56"/>
        <v>-7.9919000673320806E-3</v>
      </c>
      <c r="F1822" s="440">
        <v>45191</v>
      </c>
      <c r="G1822" s="363">
        <v>1132.3499999999999</v>
      </c>
      <c r="H1822" s="252">
        <f t="shared" si="57"/>
        <v>-1.2040308860096993E-2</v>
      </c>
    </row>
    <row r="1823" spans="2:8" x14ac:dyDescent="0.3">
      <c r="B1823" s="440">
        <v>45191</v>
      </c>
      <c r="C1823" s="363">
        <v>19674.25</v>
      </c>
      <c r="D1823" s="252">
        <f t="shared" si="56"/>
        <v>-3.4494373770092013E-3</v>
      </c>
      <c r="F1823" s="440">
        <v>45194</v>
      </c>
      <c r="G1823" s="363">
        <v>1124.05</v>
      </c>
      <c r="H1823" s="252">
        <f t="shared" si="57"/>
        <v>-7.3298891685432688E-3</v>
      </c>
    </row>
    <row r="1824" spans="2:8" x14ac:dyDescent="0.3">
      <c r="B1824" s="440">
        <v>45194</v>
      </c>
      <c r="C1824" s="363">
        <v>19674.55</v>
      </c>
      <c r="D1824" s="252">
        <f t="shared" si="56"/>
        <v>1.5248357624786379E-5</v>
      </c>
      <c r="F1824" s="440">
        <v>45195</v>
      </c>
      <c r="G1824" s="363">
        <v>1125.8499999999999</v>
      </c>
      <c r="H1824" s="252">
        <f t="shared" si="57"/>
        <v>1.6013522530136104E-3</v>
      </c>
    </row>
    <row r="1825" spans="2:8" x14ac:dyDescent="0.3">
      <c r="B1825" s="440">
        <v>45195</v>
      </c>
      <c r="C1825" s="363">
        <v>19664.7</v>
      </c>
      <c r="D1825" s="252">
        <f t="shared" si="56"/>
        <v>-5.0064677464023433E-4</v>
      </c>
      <c r="F1825" s="440">
        <v>45196</v>
      </c>
      <c r="G1825" s="363">
        <v>1139.95</v>
      </c>
      <c r="H1825" s="252">
        <f t="shared" si="57"/>
        <v>1.2523870853133223E-2</v>
      </c>
    </row>
    <row r="1826" spans="2:8" x14ac:dyDescent="0.3">
      <c r="B1826" s="440">
        <v>45196</v>
      </c>
      <c r="C1826" s="363">
        <v>19716.45</v>
      </c>
      <c r="D1826" s="252">
        <f t="shared" si="56"/>
        <v>2.6316190941126916E-3</v>
      </c>
      <c r="F1826" s="440">
        <v>45197</v>
      </c>
      <c r="G1826" s="363">
        <v>1132.3</v>
      </c>
      <c r="H1826" s="252">
        <f t="shared" si="57"/>
        <v>-6.7108206500285927E-3</v>
      </c>
    </row>
    <row r="1827" spans="2:8" x14ac:dyDescent="0.3">
      <c r="B1827" s="440">
        <v>45197</v>
      </c>
      <c r="C1827" s="363">
        <v>19523.55</v>
      </c>
      <c r="D1827" s="252">
        <f t="shared" si="56"/>
        <v>-9.7837085276508695E-3</v>
      </c>
      <c r="F1827" s="440">
        <v>45198</v>
      </c>
      <c r="G1827" s="363">
        <v>1158.6500000000001</v>
      </c>
      <c r="H1827" s="252">
        <f t="shared" si="57"/>
        <v>2.3271217875121541E-2</v>
      </c>
    </row>
    <row r="1828" spans="2:8" x14ac:dyDescent="0.3">
      <c r="B1828" s="440">
        <v>45198</v>
      </c>
      <c r="C1828" s="363">
        <v>19638.3</v>
      </c>
      <c r="D1828" s="252">
        <f t="shared" si="56"/>
        <v>5.8775171523621772E-3</v>
      </c>
      <c r="F1828" s="440">
        <v>45202</v>
      </c>
      <c r="G1828" s="363">
        <v>1141.45</v>
      </c>
      <c r="H1828" s="252">
        <f t="shared" si="57"/>
        <v>-1.484486255556039E-2</v>
      </c>
    </row>
    <row r="1829" spans="2:8" x14ac:dyDescent="0.3">
      <c r="B1829" s="440">
        <v>45202</v>
      </c>
      <c r="C1829" s="363">
        <v>19528.75</v>
      </c>
      <c r="D1829" s="252">
        <f t="shared" si="56"/>
        <v>-5.5783850944327584E-3</v>
      </c>
      <c r="F1829" s="440">
        <v>45203</v>
      </c>
      <c r="G1829" s="363">
        <v>1123.8</v>
      </c>
      <c r="H1829" s="252">
        <f t="shared" si="57"/>
        <v>-1.5462788558412655E-2</v>
      </c>
    </row>
    <row r="1830" spans="2:8" x14ac:dyDescent="0.3">
      <c r="B1830" s="440">
        <v>45203</v>
      </c>
      <c r="C1830" s="363">
        <v>19436.099999999999</v>
      </c>
      <c r="D1830" s="252">
        <f t="shared" si="56"/>
        <v>-4.7442872687705195E-3</v>
      </c>
      <c r="F1830" s="440">
        <v>45204</v>
      </c>
      <c r="G1830" s="363">
        <v>1119.0999999999999</v>
      </c>
      <c r="H1830" s="252">
        <f t="shared" si="57"/>
        <v>-4.1822388325325477E-3</v>
      </c>
    </row>
    <row r="1831" spans="2:8" x14ac:dyDescent="0.3">
      <c r="B1831" s="440">
        <v>45204</v>
      </c>
      <c r="C1831" s="363">
        <v>19545.75</v>
      </c>
      <c r="D1831" s="252">
        <f t="shared" si="56"/>
        <v>5.6415638939910639E-3</v>
      </c>
      <c r="F1831" s="440">
        <v>45205</v>
      </c>
      <c r="G1831" s="363">
        <v>1127.3</v>
      </c>
      <c r="H1831" s="252">
        <f t="shared" si="57"/>
        <v>7.3273165936913465E-3</v>
      </c>
    </row>
    <row r="1832" spans="2:8" x14ac:dyDescent="0.3">
      <c r="B1832" s="440">
        <v>45205</v>
      </c>
      <c r="C1832" s="363">
        <v>19653.5</v>
      </c>
      <c r="D1832" s="252">
        <f t="shared" si="56"/>
        <v>5.5127073660514725E-3</v>
      </c>
      <c r="F1832" s="440">
        <v>45208</v>
      </c>
      <c r="G1832" s="363">
        <v>1123.05</v>
      </c>
      <c r="H1832" s="252">
        <f t="shared" si="57"/>
        <v>-3.7700700789496944E-3</v>
      </c>
    </row>
    <row r="1833" spans="2:8" x14ac:dyDescent="0.3">
      <c r="B1833" s="440">
        <v>45208</v>
      </c>
      <c r="C1833" s="363">
        <v>19512.349999999999</v>
      </c>
      <c r="D1833" s="252">
        <f t="shared" si="56"/>
        <v>-7.1819268832524763E-3</v>
      </c>
      <c r="F1833" s="440">
        <v>45209</v>
      </c>
      <c r="G1833" s="363">
        <v>1126.5</v>
      </c>
      <c r="H1833" s="252">
        <f t="shared" si="57"/>
        <v>3.071991451849998E-3</v>
      </c>
    </row>
    <row r="1834" spans="2:8" x14ac:dyDescent="0.3">
      <c r="B1834" s="440">
        <v>45209</v>
      </c>
      <c r="C1834" s="363">
        <v>19689.849999999999</v>
      </c>
      <c r="D1834" s="252">
        <f t="shared" si="56"/>
        <v>9.096802794127834E-3</v>
      </c>
      <c r="F1834" s="440">
        <v>45210</v>
      </c>
      <c r="G1834" s="363">
        <v>1128.75</v>
      </c>
      <c r="H1834" s="252">
        <f t="shared" si="57"/>
        <v>1.997336884154377E-3</v>
      </c>
    </row>
    <row r="1835" spans="2:8" x14ac:dyDescent="0.3">
      <c r="B1835" s="440">
        <v>45210</v>
      </c>
      <c r="C1835" s="363">
        <v>19811.349999999999</v>
      </c>
      <c r="D1835" s="252">
        <f t="shared" si="56"/>
        <v>6.1706920062876147E-3</v>
      </c>
      <c r="F1835" s="440">
        <v>45211</v>
      </c>
      <c r="G1835" s="363">
        <v>1130.4000000000001</v>
      </c>
      <c r="H1835" s="252">
        <f t="shared" si="57"/>
        <v>1.4617940199337376E-3</v>
      </c>
    </row>
    <row r="1836" spans="2:8" x14ac:dyDescent="0.3">
      <c r="B1836" s="440">
        <v>45211</v>
      </c>
      <c r="C1836" s="363">
        <v>19794</v>
      </c>
      <c r="D1836" s="252">
        <f t="shared" si="56"/>
        <v>-8.7576061197236488E-4</v>
      </c>
      <c r="F1836" s="440">
        <v>45212</v>
      </c>
      <c r="G1836" s="363">
        <v>1145.3</v>
      </c>
      <c r="H1836" s="252">
        <f t="shared" si="57"/>
        <v>1.3181174805378504E-2</v>
      </c>
    </row>
    <row r="1837" spans="2:8" x14ac:dyDescent="0.3">
      <c r="B1837" s="440">
        <v>45212</v>
      </c>
      <c r="C1837" s="363">
        <v>19751.05</v>
      </c>
      <c r="D1837" s="252">
        <f t="shared" si="56"/>
        <v>-2.1698494493280762E-3</v>
      </c>
      <c r="F1837" s="440">
        <v>45215</v>
      </c>
      <c r="G1837" s="363">
        <v>1135.3</v>
      </c>
      <c r="H1837" s="252">
        <f t="shared" si="57"/>
        <v>-8.7313367676591369E-3</v>
      </c>
    </row>
    <row r="1838" spans="2:8" x14ac:dyDescent="0.3">
      <c r="B1838" s="440">
        <v>45215</v>
      </c>
      <c r="C1838" s="363">
        <v>19731.75</v>
      </c>
      <c r="D1838" s="252">
        <f t="shared" si="56"/>
        <v>-9.7716323942265149E-4</v>
      </c>
      <c r="F1838" s="440">
        <v>45216</v>
      </c>
      <c r="G1838" s="363">
        <v>1136.8</v>
      </c>
      <c r="H1838" s="252">
        <f t="shared" si="57"/>
        <v>1.3212366775301465E-3</v>
      </c>
    </row>
    <row r="1839" spans="2:8" x14ac:dyDescent="0.3">
      <c r="B1839" s="440">
        <v>45216</v>
      </c>
      <c r="C1839" s="363">
        <v>19811.5</v>
      </c>
      <c r="D1839" s="252">
        <f t="shared" si="56"/>
        <v>4.0417094276989918E-3</v>
      </c>
      <c r="F1839" s="440">
        <v>45217</v>
      </c>
      <c r="G1839" s="363">
        <v>1153.4000000000001</v>
      </c>
      <c r="H1839" s="252">
        <f t="shared" si="57"/>
        <v>1.4602392681210441E-2</v>
      </c>
    </row>
    <row r="1840" spans="2:8" x14ac:dyDescent="0.3">
      <c r="B1840" s="440">
        <v>45217</v>
      </c>
      <c r="C1840" s="363">
        <v>19671.099999999999</v>
      </c>
      <c r="D1840" s="252">
        <f t="shared" si="56"/>
        <v>-7.0867930242536348E-3</v>
      </c>
      <c r="F1840" s="440">
        <v>45218</v>
      </c>
      <c r="G1840" s="363">
        <v>1141.5</v>
      </c>
      <c r="H1840" s="252">
        <f t="shared" si="57"/>
        <v>-1.0317322698110032E-2</v>
      </c>
    </row>
    <row r="1841" spans="2:8" x14ac:dyDescent="0.3">
      <c r="B1841" s="440">
        <v>45218</v>
      </c>
      <c r="C1841" s="363">
        <v>19624.7</v>
      </c>
      <c r="D1841" s="252">
        <f t="shared" si="56"/>
        <v>-2.358790306591807E-3</v>
      </c>
      <c r="F1841" s="440">
        <v>45219</v>
      </c>
      <c r="G1841" s="363">
        <v>1142.2</v>
      </c>
      <c r="H1841" s="252">
        <f t="shared" si="57"/>
        <v>6.1322820849762927E-4</v>
      </c>
    </row>
    <row r="1842" spans="2:8" x14ac:dyDescent="0.3">
      <c r="B1842" s="440">
        <v>45219</v>
      </c>
      <c r="C1842" s="363">
        <v>19542.650000000001</v>
      </c>
      <c r="D1842" s="252">
        <f t="shared" si="56"/>
        <v>-4.1809556324428065E-3</v>
      </c>
      <c r="F1842" s="440">
        <v>45222</v>
      </c>
      <c r="G1842" s="363">
        <v>1122.45</v>
      </c>
      <c r="H1842" s="252">
        <f t="shared" si="57"/>
        <v>-1.7291192435650471E-2</v>
      </c>
    </row>
    <row r="1843" spans="2:8" x14ac:dyDescent="0.3">
      <c r="B1843" s="440">
        <v>45222</v>
      </c>
      <c r="C1843" s="363">
        <v>19281.75</v>
      </c>
      <c r="D1843" s="252">
        <f t="shared" si="56"/>
        <v>-1.3350287704072983E-2</v>
      </c>
      <c r="F1843" s="440">
        <v>45224</v>
      </c>
      <c r="G1843" s="363">
        <v>1120.3</v>
      </c>
      <c r="H1843" s="252">
        <f t="shared" si="57"/>
        <v>-1.9154528041338548E-3</v>
      </c>
    </row>
    <row r="1844" spans="2:8" x14ac:dyDescent="0.3">
      <c r="B1844" s="440">
        <v>45224</v>
      </c>
      <c r="C1844" s="363">
        <v>19122.150000000001</v>
      </c>
      <c r="D1844" s="252">
        <f t="shared" si="56"/>
        <v>-8.2772569917148875E-3</v>
      </c>
      <c r="F1844" s="440">
        <v>45225</v>
      </c>
      <c r="G1844" s="363">
        <v>1103.7</v>
      </c>
      <c r="H1844" s="252">
        <f t="shared" si="57"/>
        <v>-1.4817459609033246E-2</v>
      </c>
    </row>
    <row r="1845" spans="2:8" x14ac:dyDescent="0.3">
      <c r="B1845" s="440">
        <v>45225</v>
      </c>
      <c r="C1845" s="363">
        <v>18857.25</v>
      </c>
      <c r="D1845" s="252">
        <f t="shared" si="56"/>
        <v>-1.3853044767455636E-2</v>
      </c>
      <c r="F1845" s="440">
        <v>45226</v>
      </c>
      <c r="G1845" s="363">
        <v>1111.3</v>
      </c>
      <c r="H1845" s="252">
        <f t="shared" si="57"/>
        <v>6.8859291474132611E-3</v>
      </c>
    </row>
    <row r="1846" spans="2:8" x14ac:dyDescent="0.3">
      <c r="B1846" s="440">
        <v>45226</v>
      </c>
      <c r="C1846" s="363">
        <v>19047.25</v>
      </c>
      <c r="D1846" s="252">
        <f t="shared" si="56"/>
        <v>1.0075700327460302E-2</v>
      </c>
      <c r="F1846" s="440">
        <v>45229</v>
      </c>
      <c r="G1846" s="363">
        <v>1115.2</v>
      </c>
      <c r="H1846" s="252">
        <f t="shared" si="57"/>
        <v>3.5094034014218067E-3</v>
      </c>
    </row>
    <row r="1847" spans="2:8" x14ac:dyDescent="0.3">
      <c r="B1847" s="440">
        <v>45229</v>
      </c>
      <c r="C1847" s="363">
        <v>19140.900000000001</v>
      </c>
      <c r="D1847" s="252">
        <f t="shared" si="56"/>
        <v>4.9167202614550654E-3</v>
      </c>
      <c r="F1847" s="440">
        <v>45230</v>
      </c>
      <c r="G1847" s="363">
        <v>1088.5999999999999</v>
      </c>
      <c r="H1847" s="252">
        <f t="shared" si="57"/>
        <v>-2.3852223816355878E-2</v>
      </c>
    </row>
    <row r="1848" spans="2:8" x14ac:dyDescent="0.3">
      <c r="B1848" s="440">
        <v>45230</v>
      </c>
      <c r="C1848" s="363">
        <v>19079.599999999999</v>
      </c>
      <c r="D1848" s="252">
        <f t="shared" si="56"/>
        <v>-3.2025662325179116E-3</v>
      </c>
      <c r="F1848" s="440">
        <v>45231</v>
      </c>
      <c r="G1848" s="363">
        <v>1116.2</v>
      </c>
      <c r="H1848" s="252">
        <f t="shared" si="57"/>
        <v>2.5353665258129876E-2</v>
      </c>
    </row>
    <row r="1849" spans="2:8" x14ac:dyDescent="0.3">
      <c r="B1849" s="440">
        <v>45231</v>
      </c>
      <c r="C1849" s="363">
        <v>18989.150000000001</v>
      </c>
      <c r="D1849" s="252">
        <f t="shared" si="56"/>
        <v>-4.740665422755086E-3</v>
      </c>
      <c r="F1849" s="440">
        <v>45232</v>
      </c>
      <c r="G1849" s="363">
        <v>1132.8499999999999</v>
      </c>
      <c r="H1849" s="252">
        <f t="shared" si="57"/>
        <v>1.4916681598279746E-2</v>
      </c>
    </row>
    <row r="1850" spans="2:8" x14ac:dyDescent="0.3">
      <c r="B1850" s="440">
        <v>45232</v>
      </c>
      <c r="C1850" s="363">
        <v>19133.25</v>
      </c>
      <c r="D1850" s="252">
        <f t="shared" si="56"/>
        <v>7.5885439843277336E-3</v>
      </c>
      <c r="F1850" s="440">
        <v>45233</v>
      </c>
      <c r="G1850" s="363">
        <v>1141.0999999999999</v>
      </c>
      <c r="H1850" s="252">
        <f t="shared" si="57"/>
        <v>7.2825175442468026E-3</v>
      </c>
    </row>
    <row r="1851" spans="2:8" x14ac:dyDescent="0.3">
      <c r="B1851" s="440">
        <v>45233</v>
      </c>
      <c r="C1851" s="363">
        <v>19230.599999999999</v>
      </c>
      <c r="D1851" s="252">
        <f t="shared" si="56"/>
        <v>5.0880012543608188E-3</v>
      </c>
      <c r="F1851" s="440">
        <v>45236</v>
      </c>
      <c r="G1851" s="363">
        <v>1150</v>
      </c>
      <c r="H1851" s="252">
        <f t="shared" si="57"/>
        <v>7.7994917185173485E-3</v>
      </c>
    </row>
    <row r="1852" spans="2:8" x14ac:dyDescent="0.3">
      <c r="B1852" s="440">
        <v>45236</v>
      </c>
      <c r="C1852" s="363">
        <v>19411.75</v>
      </c>
      <c r="D1852" s="252">
        <f t="shared" si="56"/>
        <v>9.4198828949696445E-3</v>
      </c>
      <c r="F1852" s="440">
        <v>45237</v>
      </c>
      <c r="G1852" s="363">
        <v>1170.95</v>
      </c>
      <c r="H1852" s="252">
        <f t="shared" si="57"/>
        <v>1.8217391304347963E-2</v>
      </c>
    </row>
    <row r="1853" spans="2:8" x14ac:dyDescent="0.3">
      <c r="B1853" s="440">
        <v>45237</v>
      </c>
      <c r="C1853" s="363">
        <v>19406.7</v>
      </c>
      <c r="D1853" s="252">
        <f t="shared" si="56"/>
        <v>-2.6015171223614519E-4</v>
      </c>
      <c r="F1853" s="440">
        <v>45238</v>
      </c>
      <c r="G1853" s="363">
        <v>1176.7</v>
      </c>
      <c r="H1853" s="252">
        <f t="shared" si="57"/>
        <v>4.9105427217217557E-3</v>
      </c>
    </row>
    <row r="1854" spans="2:8" x14ac:dyDescent="0.3">
      <c r="B1854" s="440">
        <v>45238</v>
      </c>
      <c r="C1854" s="363">
        <v>19443.5</v>
      </c>
      <c r="D1854" s="252">
        <f t="shared" si="56"/>
        <v>1.8962523252279428E-3</v>
      </c>
      <c r="F1854" s="440">
        <v>45239</v>
      </c>
      <c r="G1854" s="363">
        <v>1176.2</v>
      </c>
      <c r="H1854" s="252">
        <f t="shared" si="57"/>
        <v>-4.2491714115744372E-4</v>
      </c>
    </row>
    <row r="1855" spans="2:8" x14ac:dyDescent="0.3">
      <c r="B1855" s="440">
        <v>45239</v>
      </c>
      <c r="C1855" s="363">
        <v>19395.3</v>
      </c>
      <c r="D1855" s="252">
        <f t="shared" si="56"/>
        <v>-2.4789775503382128E-3</v>
      </c>
      <c r="F1855" s="440">
        <v>45240</v>
      </c>
      <c r="G1855" s="363">
        <v>1179.3499999999999</v>
      </c>
      <c r="H1855" s="252">
        <f t="shared" si="57"/>
        <v>2.6781159666722232E-3</v>
      </c>
    </row>
    <row r="1856" spans="2:8" x14ac:dyDescent="0.3">
      <c r="B1856" s="440">
        <v>45240</v>
      </c>
      <c r="C1856" s="363">
        <v>19425.349999999999</v>
      </c>
      <c r="D1856" s="252">
        <f t="shared" si="56"/>
        <v>1.549344428804833E-3</v>
      </c>
      <c r="F1856" s="440">
        <v>45242</v>
      </c>
      <c r="G1856" s="363">
        <v>1178</v>
      </c>
      <c r="H1856" s="252">
        <f t="shared" si="57"/>
        <v>-1.144698350786344E-3</v>
      </c>
    </row>
    <row r="1857" spans="2:8" x14ac:dyDescent="0.3">
      <c r="B1857" s="440">
        <v>45242</v>
      </c>
      <c r="C1857" s="363">
        <v>19525.55</v>
      </c>
      <c r="D1857" s="252">
        <f t="shared" si="56"/>
        <v>5.1582082176124811E-3</v>
      </c>
      <c r="F1857" s="440">
        <v>45243</v>
      </c>
      <c r="G1857" s="363">
        <v>1177.8</v>
      </c>
      <c r="H1857" s="252">
        <f t="shared" si="57"/>
        <v>-1.6977928692707422E-4</v>
      </c>
    </row>
    <row r="1858" spans="2:8" x14ac:dyDescent="0.3">
      <c r="B1858" s="440">
        <v>45243</v>
      </c>
      <c r="C1858" s="363">
        <v>19443.55</v>
      </c>
      <c r="D1858" s="252">
        <f t="shared" si="56"/>
        <v>-4.1996256187405434E-3</v>
      </c>
      <c r="F1858" s="440">
        <v>45245</v>
      </c>
      <c r="G1858" s="363">
        <v>1180.9000000000001</v>
      </c>
      <c r="H1858" s="252">
        <f t="shared" si="57"/>
        <v>2.6320258108338823E-3</v>
      </c>
    </row>
    <row r="1859" spans="2:8" x14ac:dyDescent="0.3">
      <c r="B1859" s="440">
        <v>45245</v>
      </c>
      <c r="C1859" s="363">
        <v>19675.45</v>
      </c>
      <c r="D1859" s="252">
        <f t="shared" si="56"/>
        <v>1.1926834348665816E-2</v>
      </c>
      <c r="F1859" s="440">
        <v>45246</v>
      </c>
      <c r="G1859" s="363">
        <v>1189.55</v>
      </c>
      <c r="H1859" s="252">
        <f t="shared" si="57"/>
        <v>7.3249216699127206E-3</v>
      </c>
    </row>
    <row r="1860" spans="2:8" x14ac:dyDescent="0.3">
      <c r="B1860" s="440">
        <v>45246</v>
      </c>
      <c r="C1860" s="363">
        <v>19765.2</v>
      </c>
      <c r="D1860" s="252">
        <f t="shared" si="56"/>
        <v>4.5615220998758144E-3</v>
      </c>
      <c r="F1860" s="440">
        <v>45247</v>
      </c>
      <c r="G1860" s="363">
        <v>1194.5999999999999</v>
      </c>
      <c r="H1860" s="252">
        <f t="shared" si="57"/>
        <v>4.245302845613752E-3</v>
      </c>
    </row>
    <row r="1861" spans="2:8" x14ac:dyDescent="0.3">
      <c r="B1861" s="440">
        <v>45247</v>
      </c>
      <c r="C1861" s="363">
        <v>19731.8</v>
      </c>
      <c r="D1861" s="252">
        <f t="shared" si="56"/>
        <v>-1.6898387064133713E-3</v>
      </c>
      <c r="F1861" s="440">
        <v>45250</v>
      </c>
      <c r="G1861" s="363">
        <v>1188</v>
      </c>
      <c r="H1861" s="252">
        <f t="shared" si="57"/>
        <v>-5.5248618784529135E-3</v>
      </c>
    </row>
    <row r="1862" spans="2:8" x14ac:dyDescent="0.3">
      <c r="B1862" s="440">
        <v>45250</v>
      </c>
      <c r="C1862" s="363">
        <v>19694</v>
      </c>
      <c r="D1862" s="252">
        <f t="shared" si="56"/>
        <v>-1.915689394784037E-3</v>
      </c>
      <c r="F1862" s="440">
        <v>45251</v>
      </c>
      <c r="G1862" s="363">
        <v>1201.4000000000001</v>
      </c>
      <c r="H1862" s="252">
        <f t="shared" si="57"/>
        <v>1.1279461279461334E-2</v>
      </c>
    </row>
    <row r="1863" spans="2:8" x14ac:dyDescent="0.3">
      <c r="B1863" s="440">
        <v>45251</v>
      </c>
      <c r="C1863" s="363">
        <v>19783.400000000001</v>
      </c>
      <c r="D1863" s="252">
        <f t="shared" si="56"/>
        <v>4.5394536407028507E-3</v>
      </c>
      <c r="F1863" s="440">
        <v>45252</v>
      </c>
      <c r="G1863" s="363">
        <v>1204.0999999999999</v>
      </c>
      <c r="H1863" s="252">
        <f t="shared" si="57"/>
        <v>2.2473780589311598E-3</v>
      </c>
    </row>
    <row r="1864" spans="2:8" x14ac:dyDescent="0.3">
      <c r="B1864" s="440">
        <v>45252</v>
      </c>
      <c r="C1864" s="363">
        <v>19811.849999999999</v>
      </c>
      <c r="D1864" s="252">
        <f t="shared" si="56"/>
        <v>1.4380743451578581E-3</v>
      </c>
      <c r="F1864" s="440">
        <v>45253</v>
      </c>
      <c r="G1864" s="363">
        <v>1198.8</v>
      </c>
      <c r="H1864" s="252">
        <f t="shared" si="57"/>
        <v>-4.4016277717797703E-3</v>
      </c>
    </row>
    <row r="1865" spans="2:8" x14ac:dyDescent="0.3">
      <c r="B1865" s="440">
        <v>45253</v>
      </c>
      <c r="C1865" s="363">
        <v>19802</v>
      </c>
      <c r="D1865" s="252">
        <f t="shared" si="56"/>
        <v>-4.971771944567438E-4</v>
      </c>
      <c r="F1865" s="440">
        <v>45254</v>
      </c>
      <c r="G1865" s="363">
        <v>1195.45</v>
      </c>
      <c r="H1865" s="252">
        <f t="shared" si="57"/>
        <v>-2.7944611277943565E-3</v>
      </c>
    </row>
    <row r="1866" spans="2:8" x14ac:dyDescent="0.3">
      <c r="B1866" s="440">
        <v>45254</v>
      </c>
      <c r="C1866" s="363">
        <v>19794.7</v>
      </c>
      <c r="D1866" s="252">
        <f t="shared" si="56"/>
        <v>-3.6864963135030404E-4</v>
      </c>
      <c r="F1866" s="440">
        <v>45258</v>
      </c>
      <c r="G1866" s="363">
        <v>1191.3499999999999</v>
      </c>
      <c r="H1866" s="252">
        <f t="shared" si="57"/>
        <v>-3.4296708352504757E-3</v>
      </c>
    </row>
    <row r="1867" spans="2:8" x14ac:dyDescent="0.3">
      <c r="B1867" s="440">
        <v>45258</v>
      </c>
      <c r="C1867" s="363">
        <v>19889.7</v>
      </c>
      <c r="D1867" s="252">
        <f t="shared" ref="D1867:D1930" si="58">C1867/C1866-1</f>
        <v>4.7992644495749026E-3</v>
      </c>
      <c r="F1867" s="440">
        <v>45259</v>
      </c>
      <c r="G1867" s="363">
        <v>1202.2</v>
      </c>
      <c r="H1867" s="252">
        <f t="shared" ref="H1867:H1930" si="59">G1867/G1866-1</f>
        <v>9.107315230620916E-3</v>
      </c>
    </row>
    <row r="1868" spans="2:8" x14ac:dyDescent="0.3">
      <c r="B1868" s="440">
        <v>45259</v>
      </c>
      <c r="C1868" s="363">
        <v>20096.599999999999</v>
      </c>
      <c r="D1868" s="252">
        <f t="shared" si="58"/>
        <v>1.04023690653956E-2</v>
      </c>
      <c r="F1868" s="440">
        <v>45260</v>
      </c>
      <c r="G1868" s="363">
        <v>1225.8499999999999</v>
      </c>
      <c r="H1868" s="252">
        <f t="shared" si="59"/>
        <v>1.9672267509565744E-2</v>
      </c>
    </row>
    <row r="1869" spans="2:8" x14ac:dyDescent="0.3">
      <c r="B1869" s="440">
        <v>45260</v>
      </c>
      <c r="C1869" s="363">
        <v>20133.150000000001</v>
      </c>
      <c r="D1869" s="252">
        <f t="shared" si="58"/>
        <v>1.8187156036346686E-3</v>
      </c>
      <c r="F1869" s="440">
        <v>45261</v>
      </c>
      <c r="G1869" s="363">
        <v>1231.25</v>
      </c>
      <c r="H1869" s="252">
        <f t="shared" si="59"/>
        <v>4.4051066606844991E-3</v>
      </c>
    </row>
    <row r="1870" spans="2:8" x14ac:dyDescent="0.3">
      <c r="B1870" s="440">
        <v>45261</v>
      </c>
      <c r="C1870" s="363">
        <v>20267.900000000001</v>
      </c>
      <c r="D1870" s="252">
        <f t="shared" si="58"/>
        <v>6.6929417403636116E-3</v>
      </c>
      <c r="F1870" s="440">
        <v>45264</v>
      </c>
      <c r="G1870" s="363">
        <v>1231.1500000000001</v>
      </c>
      <c r="H1870" s="252">
        <f t="shared" si="59"/>
        <v>-8.1218274111560795E-5</v>
      </c>
    </row>
    <row r="1871" spans="2:8" x14ac:dyDescent="0.3">
      <c r="B1871" s="440">
        <v>45264</v>
      </c>
      <c r="C1871" s="363">
        <v>20686.8</v>
      </c>
      <c r="D1871" s="252">
        <f t="shared" si="58"/>
        <v>2.0668150129021567E-2</v>
      </c>
      <c r="F1871" s="440">
        <v>45265</v>
      </c>
      <c r="G1871" s="363">
        <v>1239.55</v>
      </c>
      <c r="H1871" s="252">
        <f t="shared" si="59"/>
        <v>6.8228891686632487E-3</v>
      </c>
    </row>
    <row r="1872" spans="2:8" x14ac:dyDescent="0.3">
      <c r="B1872" s="440">
        <v>45265</v>
      </c>
      <c r="C1872" s="363">
        <v>20855.099999999999</v>
      </c>
      <c r="D1872" s="252">
        <f t="shared" si="58"/>
        <v>8.1356227159348204E-3</v>
      </c>
      <c r="F1872" s="440">
        <v>45266</v>
      </c>
      <c r="G1872" s="363">
        <v>1240.3499999999999</v>
      </c>
      <c r="H1872" s="252">
        <f t="shared" si="59"/>
        <v>6.4539550643383237E-4</v>
      </c>
    </row>
    <row r="1873" spans="2:8" x14ac:dyDescent="0.3">
      <c r="B1873" s="440">
        <v>45266</v>
      </c>
      <c r="C1873" s="363">
        <v>20937.7</v>
      </c>
      <c r="D1873" s="252">
        <f t="shared" si="58"/>
        <v>3.9606619004464161E-3</v>
      </c>
      <c r="F1873" s="440">
        <v>45267</v>
      </c>
      <c r="G1873" s="363">
        <v>1239.3</v>
      </c>
      <c r="H1873" s="252">
        <f t="shared" si="59"/>
        <v>-8.4653525214650749E-4</v>
      </c>
    </row>
    <row r="1874" spans="2:8" x14ac:dyDescent="0.3">
      <c r="B1874" s="440">
        <v>45267</v>
      </c>
      <c r="C1874" s="363">
        <v>20901.150000000001</v>
      </c>
      <c r="D1874" s="252">
        <f t="shared" si="58"/>
        <v>-1.7456549668778409E-3</v>
      </c>
      <c r="F1874" s="440">
        <v>45268</v>
      </c>
      <c r="G1874" s="363">
        <v>1235.8</v>
      </c>
      <c r="H1874" s="252">
        <f t="shared" si="59"/>
        <v>-2.8241749374646741E-3</v>
      </c>
    </row>
    <row r="1875" spans="2:8" x14ac:dyDescent="0.3">
      <c r="B1875" s="440">
        <v>45268</v>
      </c>
      <c r="C1875" s="363">
        <v>20969.400000000001</v>
      </c>
      <c r="D1875" s="252">
        <f t="shared" si="58"/>
        <v>3.2653705657343934E-3</v>
      </c>
      <c r="F1875" s="440">
        <v>45271</v>
      </c>
      <c r="G1875" s="363">
        <v>1241.4000000000001</v>
      </c>
      <c r="H1875" s="252">
        <f t="shared" si="59"/>
        <v>4.5314775853699807E-3</v>
      </c>
    </row>
    <row r="1876" spans="2:8" x14ac:dyDescent="0.3">
      <c r="B1876" s="440">
        <v>45271</v>
      </c>
      <c r="C1876" s="363">
        <v>20997.1</v>
      </c>
      <c r="D1876" s="252">
        <f t="shared" si="58"/>
        <v>1.3209724646388032E-3</v>
      </c>
      <c r="F1876" s="440">
        <v>45272</v>
      </c>
      <c r="G1876" s="363">
        <v>1218</v>
      </c>
      <c r="H1876" s="252">
        <f t="shared" si="59"/>
        <v>-1.8849685838569386E-2</v>
      </c>
    </row>
    <row r="1877" spans="2:8" x14ac:dyDescent="0.3">
      <c r="B1877" s="440">
        <v>45272</v>
      </c>
      <c r="C1877" s="363">
        <v>20906.400000000001</v>
      </c>
      <c r="D1877" s="252">
        <f t="shared" si="58"/>
        <v>-4.3196441413336784E-3</v>
      </c>
      <c r="F1877" s="440">
        <v>45273</v>
      </c>
      <c r="G1877" s="363">
        <v>1233.0999999999999</v>
      </c>
      <c r="H1877" s="252">
        <f t="shared" si="59"/>
        <v>1.2397372742200208E-2</v>
      </c>
    </row>
    <row r="1878" spans="2:8" x14ac:dyDescent="0.3">
      <c r="B1878" s="440">
        <v>45273</v>
      </c>
      <c r="C1878" s="363">
        <v>20926.349999999999</v>
      </c>
      <c r="D1878" s="252">
        <f t="shared" si="58"/>
        <v>9.5425324302600423E-4</v>
      </c>
      <c r="F1878" s="440">
        <v>45274</v>
      </c>
      <c r="G1878" s="363">
        <v>1231.3</v>
      </c>
      <c r="H1878" s="252">
        <f t="shared" si="59"/>
        <v>-1.4597356256588201E-3</v>
      </c>
    </row>
    <row r="1879" spans="2:8" x14ac:dyDescent="0.3">
      <c r="B1879" s="440">
        <v>45274</v>
      </c>
      <c r="C1879" s="363">
        <v>21182.7</v>
      </c>
      <c r="D1879" s="252">
        <f t="shared" si="58"/>
        <v>1.2250105727946048E-2</v>
      </c>
      <c r="F1879" s="440">
        <v>45275</v>
      </c>
      <c r="G1879" s="363">
        <v>1235.75</v>
      </c>
      <c r="H1879" s="252">
        <f t="shared" si="59"/>
        <v>3.6140664338504269E-3</v>
      </c>
    </row>
    <row r="1880" spans="2:8" x14ac:dyDescent="0.3">
      <c r="B1880" s="440">
        <v>45275</v>
      </c>
      <c r="C1880" s="363">
        <v>21456.65</v>
      </c>
      <c r="D1880" s="252">
        <f t="shared" si="58"/>
        <v>1.2932723401643864E-2</v>
      </c>
      <c r="F1880" s="440">
        <v>45278</v>
      </c>
      <c r="G1880" s="363">
        <v>1252.75</v>
      </c>
      <c r="H1880" s="252">
        <f t="shared" si="59"/>
        <v>1.3756827837345664E-2</v>
      </c>
    </row>
    <row r="1881" spans="2:8" x14ac:dyDescent="0.3">
      <c r="B1881" s="440">
        <v>45278</v>
      </c>
      <c r="C1881" s="363">
        <v>21418.65</v>
      </c>
      <c r="D1881" s="252">
        <f t="shared" si="58"/>
        <v>-1.7710127163373945E-3</v>
      </c>
      <c r="F1881" s="440">
        <v>45279</v>
      </c>
      <c r="G1881" s="363">
        <v>1244.95</v>
      </c>
      <c r="H1881" s="252">
        <f t="shared" si="59"/>
        <v>-6.2263021353022863E-3</v>
      </c>
    </row>
    <row r="1882" spans="2:8" x14ac:dyDescent="0.3">
      <c r="B1882" s="440">
        <v>45279</v>
      </c>
      <c r="C1882" s="363">
        <v>21453.1</v>
      </c>
      <c r="D1882" s="252">
        <f t="shared" si="58"/>
        <v>1.6084113611267714E-3</v>
      </c>
      <c r="F1882" s="440">
        <v>45280</v>
      </c>
      <c r="G1882" s="363">
        <v>1232.1500000000001</v>
      </c>
      <c r="H1882" s="252">
        <f t="shared" si="59"/>
        <v>-1.0281537411141017E-2</v>
      </c>
    </row>
    <row r="1883" spans="2:8" x14ac:dyDescent="0.3">
      <c r="B1883" s="440">
        <v>45280</v>
      </c>
      <c r="C1883" s="363">
        <v>21150.15</v>
      </c>
      <c r="D1883" s="252">
        <f t="shared" si="58"/>
        <v>-1.4121502253753415E-2</v>
      </c>
      <c r="F1883" s="440">
        <v>45281</v>
      </c>
      <c r="G1883" s="363">
        <v>1233.5</v>
      </c>
      <c r="H1883" s="252">
        <f t="shared" si="59"/>
        <v>1.0956458223430054E-3</v>
      </c>
    </row>
    <row r="1884" spans="2:8" x14ac:dyDescent="0.3">
      <c r="B1884" s="440">
        <v>45281</v>
      </c>
      <c r="C1884" s="363">
        <v>21255.05</v>
      </c>
      <c r="D1884" s="252">
        <f t="shared" si="58"/>
        <v>4.9597756989903097E-3</v>
      </c>
      <c r="F1884" s="440">
        <v>45282</v>
      </c>
      <c r="G1884" s="363">
        <v>1243.6500000000001</v>
      </c>
      <c r="H1884" s="252">
        <f t="shared" si="59"/>
        <v>8.22861775435757E-3</v>
      </c>
    </row>
    <row r="1885" spans="2:8" x14ac:dyDescent="0.3">
      <c r="B1885" s="440">
        <v>45282</v>
      </c>
      <c r="C1885" s="363">
        <v>21349.4</v>
      </c>
      <c r="D1885" s="252">
        <f t="shared" si="58"/>
        <v>4.4389450977533329E-3</v>
      </c>
      <c r="F1885" s="440">
        <v>45286</v>
      </c>
      <c r="G1885" s="363">
        <v>1247.5</v>
      </c>
      <c r="H1885" s="252">
        <f t="shared" si="59"/>
        <v>3.0957262895507931E-3</v>
      </c>
    </row>
    <row r="1886" spans="2:8" x14ac:dyDescent="0.3">
      <c r="B1886" s="440">
        <v>45286</v>
      </c>
      <c r="C1886" s="363">
        <v>21441.35</v>
      </c>
      <c r="D1886" s="252">
        <f t="shared" si="58"/>
        <v>4.306912606443225E-3</v>
      </c>
      <c r="F1886" s="440">
        <v>45287</v>
      </c>
      <c r="G1886" s="363">
        <v>1252.45</v>
      </c>
      <c r="H1886" s="252">
        <f t="shared" si="59"/>
        <v>3.9679358717434887E-3</v>
      </c>
    </row>
    <row r="1887" spans="2:8" x14ac:dyDescent="0.3">
      <c r="B1887" s="440">
        <v>45287</v>
      </c>
      <c r="C1887" s="363">
        <v>21654.75</v>
      </c>
      <c r="D1887" s="252">
        <f t="shared" si="58"/>
        <v>9.9527315211029865E-3</v>
      </c>
      <c r="F1887" s="440">
        <v>45288</v>
      </c>
      <c r="G1887" s="363">
        <v>1262.1500000000001</v>
      </c>
      <c r="H1887" s="252">
        <f t="shared" si="59"/>
        <v>7.7448201525012195E-3</v>
      </c>
    </row>
    <row r="1888" spans="2:8" x14ac:dyDescent="0.3">
      <c r="B1888" s="440">
        <v>45288</v>
      </c>
      <c r="C1888" s="363">
        <v>21778.7</v>
      </c>
      <c r="D1888" s="252">
        <f t="shared" si="58"/>
        <v>5.7239173853311787E-3</v>
      </c>
      <c r="F1888" s="440">
        <v>45289</v>
      </c>
      <c r="G1888" s="363">
        <v>1259.45</v>
      </c>
      <c r="H1888" s="252">
        <f t="shared" si="59"/>
        <v>-2.1392069088460586E-3</v>
      </c>
    </row>
    <row r="1889" spans="2:8" x14ac:dyDescent="0.3">
      <c r="B1889" s="440">
        <v>45289</v>
      </c>
      <c r="C1889" s="363">
        <v>21731.4</v>
      </c>
      <c r="D1889" s="252">
        <f t="shared" si="58"/>
        <v>-2.1718468044464867E-3</v>
      </c>
      <c r="F1889" s="440">
        <v>45292</v>
      </c>
      <c r="G1889" s="363">
        <v>1260.25</v>
      </c>
      <c r="H1889" s="252">
        <f t="shared" si="59"/>
        <v>6.3519790384680697E-4</v>
      </c>
    </row>
    <row r="1890" spans="2:8" x14ac:dyDescent="0.3">
      <c r="B1890" s="440">
        <v>45292</v>
      </c>
      <c r="C1890" s="363">
        <v>21741.9</v>
      </c>
      <c r="D1890" s="252">
        <f t="shared" si="58"/>
        <v>4.8317181589774272E-4</v>
      </c>
      <c r="F1890" s="440">
        <v>45293</v>
      </c>
      <c r="G1890" s="363">
        <v>1296.2</v>
      </c>
      <c r="H1890" s="252">
        <f t="shared" si="59"/>
        <v>2.8526086094029068E-2</v>
      </c>
    </row>
    <row r="1891" spans="2:8" x14ac:dyDescent="0.3">
      <c r="B1891" s="440">
        <v>45293</v>
      </c>
      <c r="C1891" s="363">
        <v>21665.8</v>
      </c>
      <c r="D1891" s="252">
        <f t="shared" si="58"/>
        <v>-3.5001540803702991E-3</v>
      </c>
      <c r="F1891" s="440">
        <v>45294</v>
      </c>
      <c r="G1891" s="363">
        <v>1298.5999999999999</v>
      </c>
      <c r="H1891" s="252">
        <f t="shared" si="59"/>
        <v>1.8515661163400754E-3</v>
      </c>
    </row>
    <row r="1892" spans="2:8" x14ac:dyDescent="0.3">
      <c r="B1892" s="440">
        <v>45294</v>
      </c>
      <c r="C1892" s="363">
        <v>21517.35</v>
      </c>
      <c r="D1892" s="252">
        <f t="shared" si="58"/>
        <v>-6.8518125340398806E-3</v>
      </c>
      <c r="F1892" s="440">
        <v>45295</v>
      </c>
      <c r="G1892" s="363">
        <v>1312.95</v>
      </c>
      <c r="H1892" s="252">
        <f t="shared" si="59"/>
        <v>1.1050361928230501E-2</v>
      </c>
    </row>
    <row r="1893" spans="2:8" x14ac:dyDescent="0.3">
      <c r="B1893" s="440">
        <v>45295</v>
      </c>
      <c r="C1893" s="363">
        <v>21658.6</v>
      </c>
      <c r="D1893" s="252">
        <f t="shared" si="58"/>
        <v>6.5644700671783074E-3</v>
      </c>
      <c r="F1893" s="440">
        <v>45296</v>
      </c>
      <c r="G1893" s="363">
        <v>1300.2</v>
      </c>
      <c r="H1893" s="252">
        <f t="shared" si="59"/>
        <v>-9.7109562435736541E-3</v>
      </c>
    </row>
    <row r="1894" spans="2:8" x14ac:dyDescent="0.3">
      <c r="B1894" s="440">
        <v>45296</v>
      </c>
      <c r="C1894" s="363">
        <v>21710.799999999999</v>
      </c>
      <c r="D1894" s="252">
        <f t="shared" si="58"/>
        <v>2.4101280784538659E-3</v>
      </c>
      <c r="F1894" s="440">
        <v>45299</v>
      </c>
      <c r="G1894" s="363">
        <v>1305.3</v>
      </c>
      <c r="H1894" s="252">
        <f t="shared" si="59"/>
        <v>3.9224734656206905E-3</v>
      </c>
    </row>
    <row r="1895" spans="2:8" x14ac:dyDescent="0.3">
      <c r="B1895" s="440">
        <v>45299</v>
      </c>
      <c r="C1895" s="363">
        <v>21513</v>
      </c>
      <c r="D1895" s="252">
        <f t="shared" si="58"/>
        <v>-9.1106730290915205E-3</v>
      </c>
      <c r="F1895" s="440">
        <v>45300</v>
      </c>
      <c r="G1895" s="363">
        <v>1324</v>
      </c>
      <c r="H1895" s="252">
        <f t="shared" si="59"/>
        <v>1.4326208534436669E-2</v>
      </c>
    </row>
    <row r="1896" spans="2:8" x14ac:dyDescent="0.3">
      <c r="B1896" s="440">
        <v>45300</v>
      </c>
      <c r="C1896" s="363">
        <v>21544.85</v>
      </c>
      <c r="D1896" s="252">
        <f t="shared" si="58"/>
        <v>1.4805001626922998E-3</v>
      </c>
      <c r="F1896" s="440">
        <v>45301</v>
      </c>
      <c r="G1896" s="363">
        <v>1324.85</v>
      </c>
      <c r="H1896" s="252">
        <f t="shared" si="59"/>
        <v>6.4199395770381251E-4</v>
      </c>
    </row>
    <row r="1897" spans="2:8" x14ac:dyDescent="0.3">
      <c r="B1897" s="440">
        <v>45301</v>
      </c>
      <c r="C1897" s="363">
        <v>21618.7</v>
      </c>
      <c r="D1897" s="252">
        <f t="shared" si="58"/>
        <v>3.4277333098164942E-3</v>
      </c>
      <c r="F1897" s="440">
        <v>45302</v>
      </c>
      <c r="G1897" s="363">
        <v>1316.25</v>
      </c>
      <c r="H1897" s="252">
        <f t="shared" si="59"/>
        <v>-6.4913009019887946E-3</v>
      </c>
    </row>
    <row r="1898" spans="2:8" x14ac:dyDescent="0.3">
      <c r="B1898" s="440">
        <v>45302</v>
      </c>
      <c r="C1898" s="363">
        <v>21647.200000000001</v>
      </c>
      <c r="D1898" s="252">
        <f t="shared" si="58"/>
        <v>1.3183031357111297E-3</v>
      </c>
      <c r="F1898" s="440">
        <v>45303</v>
      </c>
      <c r="G1898" s="363">
        <v>1325.95</v>
      </c>
      <c r="H1898" s="252">
        <f t="shared" si="59"/>
        <v>7.3694207027541481E-3</v>
      </c>
    </row>
    <row r="1899" spans="2:8" x14ac:dyDescent="0.3">
      <c r="B1899" s="440">
        <v>45303</v>
      </c>
      <c r="C1899" s="363">
        <v>21894.55</v>
      </c>
      <c r="D1899" s="252">
        <f t="shared" si="58"/>
        <v>1.1426420045086649E-2</v>
      </c>
      <c r="F1899" s="440">
        <v>45306</v>
      </c>
      <c r="G1899" s="363">
        <v>1329.35</v>
      </c>
      <c r="H1899" s="252">
        <f t="shared" si="59"/>
        <v>2.5641992533653735E-3</v>
      </c>
    </row>
    <row r="1900" spans="2:8" x14ac:dyDescent="0.3">
      <c r="B1900" s="440">
        <v>45306</v>
      </c>
      <c r="C1900" s="363">
        <v>22097.45</v>
      </c>
      <c r="D1900" s="252">
        <f t="shared" si="58"/>
        <v>9.2671463903117868E-3</v>
      </c>
      <c r="F1900" s="440">
        <v>45307</v>
      </c>
      <c r="G1900" s="363">
        <v>1313.45</v>
      </c>
      <c r="H1900" s="252">
        <f t="shared" si="59"/>
        <v>-1.196073268890796E-2</v>
      </c>
    </row>
    <row r="1901" spans="2:8" x14ac:dyDescent="0.3">
      <c r="B1901" s="440">
        <v>45307</v>
      </c>
      <c r="C1901" s="363">
        <v>22032.3</v>
      </c>
      <c r="D1901" s="252">
        <f t="shared" si="58"/>
        <v>-2.9483039898269281E-3</v>
      </c>
      <c r="F1901" s="440">
        <v>45308</v>
      </c>
      <c r="G1901" s="363">
        <v>1299</v>
      </c>
      <c r="H1901" s="252">
        <f t="shared" si="59"/>
        <v>-1.1001560775058095E-2</v>
      </c>
    </row>
    <row r="1902" spans="2:8" x14ac:dyDescent="0.3">
      <c r="B1902" s="440">
        <v>45308</v>
      </c>
      <c r="C1902" s="363">
        <v>21571.95</v>
      </c>
      <c r="D1902" s="252">
        <f t="shared" si="58"/>
        <v>-2.0894323334377241E-2</v>
      </c>
      <c r="F1902" s="440">
        <v>45309</v>
      </c>
      <c r="G1902" s="363">
        <v>1335.75</v>
      </c>
      <c r="H1902" s="252">
        <f t="shared" si="59"/>
        <v>2.8290993071593551E-2</v>
      </c>
    </row>
    <row r="1903" spans="2:8" x14ac:dyDescent="0.3">
      <c r="B1903" s="440">
        <v>45309</v>
      </c>
      <c r="C1903" s="363">
        <v>21462.25</v>
      </c>
      <c r="D1903" s="252">
        <f t="shared" si="58"/>
        <v>-5.0853075405793424E-3</v>
      </c>
      <c r="F1903" s="440">
        <v>45310</v>
      </c>
      <c r="G1903" s="363">
        <v>1335.6</v>
      </c>
      <c r="H1903" s="252">
        <f t="shared" si="59"/>
        <v>-1.1229646266153193E-4</v>
      </c>
    </row>
    <row r="1904" spans="2:8" x14ac:dyDescent="0.3">
      <c r="B1904" s="440">
        <v>45310</v>
      </c>
      <c r="C1904" s="363">
        <v>21622.400000000001</v>
      </c>
      <c r="D1904" s="252">
        <f t="shared" si="58"/>
        <v>7.4619389858938678E-3</v>
      </c>
      <c r="F1904" s="440">
        <v>45311</v>
      </c>
      <c r="G1904" s="363">
        <v>1326.15</v>
      </c>
      <c r="H1904" s="252">
        <f t="shared" si="59"/>
        <v>-7.0754716981130672E-3</v>
      </c>
    </row>
    <row r="1905" spans="2:8" x14ac:dyDescent="0.3">
      <c r="B1905" s="440">
        <v>45311</v>
      </c>
      <c r="C1905" s="363">
        <v>21571.8</v>
      </c>
      <c r="D1905" s="252">
        <f t="shared" si="58"/>
        <v>-2.3401657540329523E-3</v>
      </c>
      <c r="F1905" s="440">
        <v>45314</v>
      </c>
      <c r="G1905" s="363">
        <v>1378.3</v>
      </c>
      <c r="H1905" s="252">
        <f t="shared" si="59"/>
        <v>3.9324359989443058E-2</v>
      </c>
    </row>
    <row r="1906" spans="2:8" x14ac:dyDescent="0.3">
      <c r="B1906" s="440">
        <v>45314</v>
      </c>
      <c r="C1906" s="363">
        <v>21238.799999999999</v>
      </c>
      <c r="D1906" s="252">
        <f t="shared" si="58"/>
        <v>-1.5436820293160514E-2</v>
      </c>
      <c r="F1906" s="440">
        <v>45315</v>
      </c>
      <c r="G1906" s="363">
        <v>1382.1</v>
      </c>
      <c r="H1906" s="252">
        <f t="shared" si="59"/>
        <v>2.7570195167960776E-3</v>
      </c>
    </row>
    <row r="1907" spans="2:8" x14ac:dyDescent="0.3">
      <c r="B1907" s="440">
        <v>45315</v>
      </c>
      <c r="C1907" s="363">
        <v>21453.95</v>
      </c>
      <c r="D1907" s="252">
        <f t="shared" si="58"/>
        <v>1.0130045011959243E-2</v>
      </c>
      <c r="F1907" s="440">
        <v>45316</v>
      </c>
      <c r="G1907" s="363">
        <v>1368.3</v>
      </c>
      <c r="H1907" s="252">
        <f t="shared" si="59"/>
        <v>-9.9848057304101623E-3</v>
      </c>
    </row>
    <row r="1908" spans="2:8" x14ac:dyDescent="0.3">
      <c r="B1908" s="440">
        <v>45316</v>
      </c>
      <c r="C1908" s="363">
        <v>21352.6</v>
      </c>
      <c r="D1908" s="252">
        <f t="shared" si="58"/>
        <v>-4.7240717909756702E-3</v>
      </c>
      <c r="F1908" s="440">
        <v>45320</v>
      </c>
      <c r="G1908" s="363">
        <v>1400.85</v>
      </c>
      <c r="H1908" s="252">
        <f t="shared" si="59"/>
        <v>2.3788642841482188E-2</v>
      </c>
    </row>
    <row r="1909" spans="2:8" x14ac:dyDescent="0.3">
      <c r="B1909" s="440">
        <v>45320</v>
      </c>
      <c r="C1909" s="363">
        <v>21737.599999999999</v>
      </c>
      <c r="D1909" s="252">
        <f t="shared" si="58"/>
        <v>1.8030591122392581E-2</v>
      </c>
      <c r="F1909" s="440">
        <v>45321</v>
      </c>
      <c r="G1909" s="363">
        <v>1371.75</v>
      </c>
      <c r="H1909" s="252">
        <f t="shared" si="59"/>
        <v>-2.0773102045186786E-2</v>
      </c>
    </row>
    <row r="1910" spans="2:8" x14ac:dyDescent="0.3">
      <c r="B1910" s="440">
        <v>45321</v>
      </c>
      <c r="C1910" s="363">
        <v>21522.1</v>
      </c>
      <c r="D1910" s="252">
        <f t="shared" si="58"/>
        <v>-9.9136979243338308E-3</v>
      </c>
      <c r="F1910" s="440">
        <v>45322</v>
      </c>
      <c r="G1910" s="363">
        <v>1418.45</v>
      </c>
      <c r="H1910" s="252">
        <f t="shared" si="59"/>
        <v>3.4044104246400586E-2</v>
      </c>
    </row>
    <row r="1911" spans="2:8" x14ac:dyDescent="0.3">
      <c r="B1911" s="440">
        <v>45322</v>
      </c>
      <c r="C1911" s="363">
        <v>21725.7</v>
      </c>
      <c r="D1911" s="252">
        <f t="shared" si="58"/>
        <v>9.4600433972522602E-3</v>
      </c>
      <c r="F1911" s="440">
        <v>45323</v>
      </c>
      <c r="G1911" s="363">
        <v>1407.95</v>
      </c>
      <c r="H1911" s="252">
        <f t="shared" si="59"/>
        <v>-7.4024463322640566E-3</v>
      </c>
    </row>
    <row r="1912" spans="2:8" x14ac:dyDescent="0.3">
      <c r="B1912" s="440">
        <v>45323</v>
      </c>
      <c r="C1912" s="363">
        <v>21697.45</v>
      </c>
      <c r="D1912" s="252">
        <f t="shared" si="58"/>
        <v>-1.3003033273956133E-3</v>
      </c>
      <c r="F1912" s="440">
        <v>45324</v>
      </c>
      <c r="G1912" s="363">
        <v>1416.65</v>
      </c>
      <c r="H1912" s="252">
        <f t="shared" si="59"/>
        <v>6.1791967044284579E-3</v>
      </c>
    </row>
    <row r="1913" spans="2:8" x14ac:dyDescent="0.3">
      <c r="B1913" s="440">
        <v>45324</v>
      </c>
      <c r="C1913" s="363">
        <v>21853.8</v>
      </c>
      <c r="D1913" s="252">
        <f t="shared" si="58"/>
        <v>7.2059159025599229E-3</v>
      </c>
      <c r="F1913" s="440">
        <v>45327</v>
      </c>
      <c r="G1913" s="363">
        <v>1463.8</v>
      </c>
      <c r="H1913" s="252">
        <f t="shared" si="59"/>
        <v>3.3282744502876493E-2</v>
      </c>
    </row>
    <row r="1914" spans="2:8" x14ac:dyDescent="0.3">
      <c r="B1914" s="440">
        <v>45327</v>
      </c>
      <c r="C1914" s="363">
        <v>21771.7</v>
      </c>
      <c r="D1914" s="252">
        <f t="shared" si="58"/>
        <v>-3.756783717248191E-3</v>
      </c>
      <c r="F1914" s="440">
        <v>45328</v>
      </c>
      <c r="G1914" s="363">
        <v>1475.1</v>
      </c>
      <c r="H1914" s="252">
        <f t="shared" si="59"/>
        <v>7.7196338297580436E-3</v>
      </c>
    </row>
    <row r="1915" spans="2:8" x14ac:dyDescent="0.3">
      <c r="B1915" s="440">
        <v>45328</v>
      </c>
      <c r="C1915" s="363">
        <v>21929.4</v>
      </c>
      <c r="D1915" s="252">
        <f t="shared" si="58"/>
        <v>7.2433480160023489E-3</v>
      </c>
      <c r="F1915" s="440">
        <v>45329</v>
      </c>
      <c r="G1915" s="363">
        <v>1496.2</v>
      </c>
      <c r="H1915" s="252">
        <f t="shared" si="59"/>
        <v>1.4304114975256077E-2</v>
      </c>
    </row>
    <row r="1916" spans="2:8" x14ac:dyDescent="0.3">
      <c r="B1916" s="440">
        <v>45329</v>
      </c>
      <c r="C1916" s="363">
        <v>21930.5</v>
      </c>
      <c r="D1916" s="252">
        <f t="shared" si="58"/>
        <v>5.0160971116319786E-5</v>
      </c>
      <c r="F1916" s="440">
        <v>45330</v>
      </c>
      <c r="G1916" s="363">
        <v>1499.6</v>
      </c>
      <c r="H1916" s="252">
        <f t="shared" si="59"/>
        <v>2.2724234727977688E-3</v>
      </c>
    </row>
    <row r="1917" spans="2:8" x14ac:dyDescent="0.3">
      <c r="B1917" s="440">
        <v>45330</v>
      </c>
      <c r="C1917" s="363">
        <v>21717.95</v>
      </c>
      <c r="D1917" s="252">
        <f t="shared" si="58"/>
        <v>-9.6919814869701471E-3</v>
      </c>
      <c r="F1917" s="440">
        <v>45331</v>
      </c>
      <c r="G1917" s="363">
        <v>1534.8</v>
      </c>
      <c r="H1917" s="252">
        <f t="shared" si="59"/>
        <v>2.3472926113630388E-2</v>
      </c>
    </row>
    <row r="1918" spans="2:8" x14ac:dyDescent="0.3">
      <c r="B1918" s="440">
        <v>45331</v>
      </c>
      <c r="C1918" s="363">
        <v>21782.5</v>
      </c>
      <c r="D1918" s="252">
        <f t="shared" si="58"/>
        <v>2.9721958103781088E-3</v>
      </c>
      <c r="F1918" s="440">
        <v>45334</v>
      </c>
      <c r="G1918" s="363">
        <v>1534.45</v>
      </c>
      <c r="H1918" s="252">
        <f t="shared" si="59"/>
        <v>-2.2804274172527617E-4</v>
      </c>
    </row>
    <row r="1919" spans="2:8" x14ac:dyDescent="0.3">
      <c r="B1919" s="440">
        <v>45334</v>
      </c>
      <c r="C1919" s="363">
        <v>21616.05</v>
      </c>
      <c r="D1919" s="252">
        <f t="shared" si="58"/>
        <v>-7.6414552966831417E-3</v>
      </c>
      <c r="F1919" s="440">
        <v>45335</v>
      </c>
      <c r="G1919" s="363">
        <v>1542.2</v>
      </c>
      <c r="H1919" s="252">
        <f t="shared" si="59"/>
        <v>5.0506696210368407E-3</v>
      </c>
    </row>
    <row r="1920" spans="2:8" x14ac:dyDescent="0.3">
      <c r="B1920" s="440">
        <v>45335</v>
      </c>
      <c r="C1920" s="363">
        <v>21743.25</v>
      </c>
      <c r="D1920" s="252">
        <f t="shared" si="58"/>
        <v>5.8845163663112654E-3</v>
      </c>
      <c r="F1920" s="440">
        <v>45336</v>
      </c>
      <c r="G1920" s="363">
        <v>1520.4</v>
      </c>
      <c r="H1920" s="252">
        <f t="shared" si="59"/>
        <v>-1.4135650369601849E-2</v>
      </c>
    </row>
    <row r="1921" spans="2:8" x14ac:dyDescent="0.3">
      <c r="B1921" s="440">
        <v>45336</v>
      </c>
      <c r="C1921" s="363">
        <v>21840.05</v>
      </c>
      <c r="D1921" s="252">
        <f t="shared" si="58"/>
        <v>4.4519563542708696E-3</v>
      </c>
      <c r="F1921" s="440">
        <v>45337</v>
      </c>
      <c r="G1921" s="363">
        <v>1509.9</v>
      </c>
      <c r="H1921" s="252">
        <f t="shared" si="59"/>
        <v>-6.906077348066253E-3</v>
      </c>
    </row>
    <row r="1922" spans="2:8" x14ac:dyDescent="0.3">
      <c r="B1922" s="440">
        <v>45337</v>
      </c>
      <c r="C1922" s="363">
        <v>21910.75</v>
      </c>
      <c r="D1922" s="252">
        <f t="shared" si="58"/>
        <v>3.2371720760713263E-3</v>
      </c>
      <c r="F1922" s="440">
        <v>45338</v>
      </c>
      <c r="G1922" s="363">
        <v>1509.95</v>
      </c>
      <c r="H1922" s="252">
        <f t="shared" si="59"/>
        <v>3.3114775813025688E-5</v>
      </c>
    </row>
    <row r="1923" spans="2:8" x14ac:dyDescent="0.3">
      <c r="B1923" s="440">
        <v>45338</v>
      </c>
      <c r="C1923" s="363">
        <v>22040.7</v>
      </c>
      <c r="D1923" s="252">
        <f t="shared" si="58"/>
        <v>5.9308786782743539E-3</v>
      </c>
      <c r="F1923" s="440">
        <v>45341</v>
      </c>
      <c r="G1923" s="363">
        <v>1530.1</v>
      </c>
      <c r="H1923" s="252">
        <f t="shared" si="59"/>
        <v>1.3344812742143608E-2</v>
      </c>
    </row>
    <row r="1924" spans="2:8" x14ac:dyDescent="0.3">
      <c r="B1924" s="440">
        <v>45341</v>
      </c>
      <c r="C1924" s="363">
        <v>22122.25</v>
      </c>
      <c r="D1924" s="252">
        <f t="shared" si="58"/>
        <v>3.6999732313400813E-3</v>
      </c>
      <c r="F1924" s="440">
        <v>45342</v>
      </c>
      <c r="G1924" s="363">
        <v>1538.7</v>
      </c>
      <c r="H1924" s="252">
        <f t="shared" si="59"/>
        <v>5.620547676622456E-3</v>
      </c>
    </row>
    <row r="1925" spans="2:8" x14ac:dyDescent="0.3">
      <c r="B1925" s="440">
        <v>45342</v>
      </c>
      <c r="C1925" s="363">
        <v>22196.95</v>
      </c>
      <c r="D1925" s="252">
        <f t="shared" si="58"/>
        <v>3.3766908881329716E-3</v>
      </c>
      <c r="F1925" s="440">
        <v>45343</v>
      </c>
      <c r="G1925" s="363">
        <v>1543.4</v>
      </c>
      <c r="H1925" s="252">
        <f t="shared" si="59"/>
        <v>3.0545265483850059E-3</v>
      </c>
    </row>
    <row r="1926" spans="2:8" x14ac:dyDescent="0.3">
      <c r="B1926" s="440">
        <v>45343</v>
      </c>
      <c r="C1926" s="363">
        <v>22055.05</v>
      </c>
      <c r="D1926" s="252">
        <f t="shared" si="58"/>
        <v>-6.3927701778848656E-3</v>
      </c>
      <c r="F1926" s="440">
        <v>45344</v>
      </c>
      <c r="G1926" s="363">
        <v>1558.05</v>
      </c>
      <c r="H1926" s="252">
        <f t="shared" si="59"/>
        <v>9.4920305818322337E-3</v>
      </c>
    </row>
    <row r="1927" spans="2:8" x14ac:dyDescent="0.3">
      <c r="B1927" s="440">
        <v>45344</v>
      </c>
      <c r="C1927" s="363">
        <v>22217.45</v>
      </c>
      <c r="D1927" s="252">
        <f t="shared" si="58"/>
        <v>7.3633929644232321E-3</v>
      </c>
      <c r="F1927" s="440">
        <v>45345</v>
      </c>
      <c r="G1927" s="363">
        <v>1561.25</v>
      </c>
      <c r="H1927" s="252">
        <f t="shared" si="59"/>
        <v>2.0538493629858046E-3</v>
      </c>
    </row>
    <row r="1928" spans="2:8" x14ac:dyDescent="0.3">
      <c r="B1928" s="440">
        <v>45345</v>
      </c>
      <c r="C1928" s="363">
        <v>22212.7</v>
      </c>
      <c r="D1928" s="252">
        <f t="shared" si="58"/>
        <v>-2.1379591267223219E-4</v>
      </c>
      <c r="F1928" s="440">
        <v>45348</v>
      </c>
      <c r="G1928" s="363">
        <v>1556.95</v>
      </c>
      <c r="H1928" s="252">
        <f t="shared" si="59"/>
        <v>-2.7542033626901663E-3</v>
      </c>
    </row>
    <row r="1929" spans="2:8" x14ac:dyDescent="0.3">
      <c r="B1929" s="440">
        <v>45348</v>
      </c>
      <c r="C1929" s="363">
        <v>22122.05</v>
      </c>
      <c r="D1929" s="252">
        <f t="shared" si="58"/>
        <v>-4.0809987079464261E-3</v>
      </c>
      <c r="F1929" s="440">
        <v>45349</v>
      </c>
      <c r="G1929" s="363">
        <v>1582.75</v>
      </c>
      <c r="H1929" s="252">
        <f t="shared" si="59"/>
        <v>1.6570859693631812E-2</v>
      </c>
    </row>
    <row r="1930" spans="2:8" x14ac:dyDescent="0.3">
      <c r="B1930" s="440">
        <v>45349</v>
      </c>
      <c r="C1930" s="363">
        <v>22198.35</v>
      </c>
      <c r="D1930" s="252">
        <f t="shared" si="58"/>
        <v>3.4490474436139618E-3</v>
      </c>
      <c r="F1930" s="440">
        <v>45350</v>
      </c>
      <c r="G1930" s="363">
        <v>1573.85</v>
      </c>
      <c r="H1930" s="252">
        <f t="shared" si="59"/>
        <v>-5.6231243089559513E-3</v>
      </c>
    </row>
    <row r="1931" spans="2:8" x14ac:dyDescent="0.3">
      <c r="B1931" s="440">
        <v>45350</v>
      </c>
      <c r="C1931" s="363">
        <v>21951.15</v>
      </c>
      <c r="D1931" s="252">
        <f t="shared" ref="D1931:D1994" si="60">C1931/C1930-1</f>
        <v>-1.1135962808046407E-2</v>
      </c>
      <c r="F1931" s="440">
        <v>45351</v>
      </c>
      <c r="G1931" s="363">
        <v>1577.95</v>
      </c>
      <c r="H1931" s="252">
        <f t="shared" ref="H1931:H1994" si="61">G1931/G1930-1</f>
        <v>2.6050767226863947E-3</v>
      </c>
    </row>
    <row r="1932" spans="2:8" x14ac:dyDescent="0.3">
      <c r="B1932" s="440">
        <v>45351</v>
      </c>
      <c r="C1932" s="363">
        <v>21982.799999999999</v>
      </c>
      <c r="D1932" s="252">
        <f t="shared" si="60"/>
        <v>1.4418378991531977E-3</v>
      </c>
      <c r="F1932" s="440">
        <v>45352</v>
      </c>
      <c r="G1932" s="363">
        <v>1559.25</v>
      </c>
      <c r="H1932" s="252">
        <f t="shared" si="61"/>
        <v>-1.1850819100732046E-2</v>
      </c>
    </row>
    <row r="1933" spans="2:8" x14ac:dyDescent="0.3">
      <c r="B1933" s="440">
        <v>45352</v>
      </c>
      <c r="C1933" s="363">
        <v>22338.75</v>
      </c>
      <c r="D1933" s="252">
        <f t="shared" si="60"/>
        <v>1.6192204814673428E-2</v>
      </c>
      <c r="F1933" s="440">
        <v>45353</v>
      </c>
      <c r="G1933" s="363">
        <v>1550.55</v>
      </c>
      <c r="H1933" s="252">
        <f t="shared" si="61"/>
        <v>-5.5796055796055732E-3</v>
      </c>
    </row>
    <row r="1934" spans="2:8" x14ac:dyDescent="0.3">
      <c r="B1934" s="440">
        <v>45353</v>
      </c>
      <c r="C1934" s="363">
        <v>22378.400000000001</v>
      </c>
      <c r="D1934" s="252">
        <f t="shared" si="60"/>
        <v>1.7749426445079486E-3</v>
      </c>
      <c r="F1934" s="440">
        <v>45355</v>
      </c>
      <c r="G1934" s="363">
        <v>1552.1</v>
      </c>
      <c r="H1934" s="252">
        <f t="shared" si="61"/>
        <v>9.9964528715612566E-4</v>
      </c>
    </row>
    <row r="1935" spans="2:8" x14ac:dyDescent="0.3">
      <c r="B1935" s="440">
        <v>45355</v>
      </c>
      <c r="C1935" s="363">
        <v>22405.599999999999</v>
      </c>
      <c r="D1935" s="252">
        <f t="shared" si="60"/>
        <v>1.2154577628427088E-3</v>
      </c>
      <c r="F1935" s="440">
        <v>45356</v>
      </c>
      <c r="G1935" s="363">
        <v>1574.2</v>
      </c>
      <c r="H1935" s="252">
        <f t="shared" si="61"/>
        <v>1.4238773274917849E-2</v>
      </c>
    </row>
    <row r="1936" spans="2:8" x14ac:dyDescent="0.3">
      <c r="B1936" s="440">
        <v>45356</v>
      </c>
      <c r="C1936" s="363">
        <v>22356.3</v>
      </c>
      <c r="D1936" s="252">
        <f t="shared" si="60"/>
        <v>-2.2003427714499812E-3</v>
      </c>
      <c r="F1936" s="440">
        <v>45357</v>
      </c>
      <c r="G1936" s="363">
        <v>1604</v>
      </c>
      <c r="H1936" s="252">
        <f t="shared" si="61"/>
        <v>1.8930250285859485E-2</v>
      </c>
    </row>
    <row r="1937" spans="2:8" x14ac:dyDescent="0.3">
      <c r="B1937" s="440">
        <v>45357</v>
      </c>
      <c r="C1937" s="363">
        <v>22474.05</v>
      </c>
      <c r="D1937" s="252">
        <f t="shared" si="60"/>
        <v>5.2669717260906967E-3</v>
      </c>
      <c r="F1937" s="440">
        <v>45358</v>
      </c>
      <c r="G1937" s="363">
        <v>1605.7</v>
      </c>
      <c r="H1937" s="252">
        <f t="shared" si="61"/>
        <v>1.0598503740648635E-3</v>
      </c>
    </row>
    <row r="1938" spans="2:8" x14ac:dyDescent="0.3">
      <c r="B1938" s="440">
        <v>45358</v>
      </c>
      <c r="C1938" s="363">
        <v>22493.55</v>
      </c>
      <c r="D1938" s="252">
        <f t="shared" si="60"/>
        <v>8.6766737637411495E-4</v>
      </c>
      <c r="F1938" s="440">
        <v>45362</v>
      </c>
      <c r="G1938" s="363">
        <v>1593.6</v>
      </c>
      <c r="H1938" s="252">
        <f t="shared" si="61"/>
        <v>-7.5356542317992492E-3</v>
      </c>
    </row>
    <row r="1939" spans="2:8" x14ac:dyDescent="0.3">
      <c r="B1939" s="440">
        <v>45362</v>
      </c>
      <c r="C1939" s="363">
        <v>22332.65</v>
      </c>
      <c r="D1939" s="252">
        <f t="shared" si="60"/>
        <v>-7.1531616841271628E-3</v>
      </c>
      <c r="F1939" s="440">
        <v>45363</v>
      </c>
      <c r="G1939" s="363">
        <v>1584.3</v>
      </c>
      <c r="H1939" s="252">
        <f t="shared" si="61"/>
        <v>-5.8358433734939652E-3</v>
      </c>
    </row>
    <row r="1940" spans="2:8" x14ac:dyDescent="0.3">
      <c r="B1940" s="440">
        <v>45363</v>
      </c>
      <c r="C1940" s="363">
        <v>22335.7</v>
      </c>
      <c r="D1940" s="252">
        <f t="shared" si="60"/>
        <v>1.3657134285449679E-4</v>
      </c>
      <c r="F1940" s="440">
        <v>45364</v>
      </c>
      <c r="G1940" s="363">
        <v>1558.6</v>
      </c>
      <c r="H1940" s="252">
        <f t="shared" si="61"/>
        <v>-1.6221675187780171E-2</v>
      </c>
    </row>
    <row r="1941" spans="2:8" x14ac:dyDescent="0.3">
      <c r="B1941" s="440">
        <v>45364</v>
      </c>
      <c r="C1941" s="363">
        <v>21997.7</v>
      </c>
      <c r="D1941" s="252">
        <f t="shared" si="60"/>
        <v>-1.5132724741109493E-2</v>
      </c>
      <c r="F1941" s="440">
        <v>45365</v>
      </c>
      <c r="G1941" s="363">
        <v>1570.2</v>
      </c>
      <c r="H1941" s="252">
        <f t="shared" si="61"/>
        <v>7.4425766713719366E-3</v>
      </c>
    </row>
    <row r="1942" spans="2:8" x14ac:dyDescent="0.3">
      <c r="B1942" s="440">
        <v>45365</v>
      </c>
      <c r="C1942" s="363">
        <v>22146.65</v>
      </c>
      <c r="D1942" s="252">
        <f t="shared" si="60"/>
        <v>6.7711624397095438E-3</v>
      </c>
      <c r="F1942" s="440">
        <v>45366</v>
      </c>
      <c r="G1942" s="363">
        <v>1548.2</v>
      </c>
      <c r="H1942" s="252">
        <f t="shared" si="61"/>
        <v>-1.4010954018596311E-2</v>
      </c>
    </row>
    <row r="1943" spans="2:8" x14ac:dyDescent="0.3">
      <c r="B1943" s="440">
        <v>45366</v>
      </c>
      <c r="C1943" s="363">
        <v>22023.35</v>
      </c>
      <c r="D1943" s="252">
        <f t="shared" si="60"/>
        <v>-5.5674334493028832E-3</v>
      </c>
      <c r="F1943" s="440">
        <v>45369</v>
      </c>
      <c r="G1943" s="363">
        <v>1571.25</v>
      </c>
      <c r="H1943" s="252">
        <f t="shared" si="61"/>
        <v>1.4888257331094223E-2</v>
      </c>
    </row>
    <row r="1944" spans="2:8" x14ac:dyDescent="0.3">
      <c r="B1944" s="440">
        <v>45369</v>
      </c>
      <c r="C1944" s="363">
        <v>22055.7</v>
      </c>
      <c r="D1944" s="252">
        <f t="shared" si="60"/>
        <v>1.4688955131714199E-3</v>
      </c>
      <c r="F1944" s="440">
        <v>45370</v>
      </c>
      <c r="G1944" s="363">
        <v>1548.45</v>
      </c>
      <c r="H1944" s="252">
        <f t="shared" si="61"/>
        <v>-1.4510739856801846E-2</v>
      </c>
    </row>
    <row r="1945" spans="2:8" x14ac:dyDescent="0.3">
      <c r="B1945" s="440">
        <v>45370</v>
      </c>
      <c r="C1945" s="363">
        <v>21817.45</v>
      </c>
      <c r="D1945" s="252">
        <f t="shared" si="60"/>
        <v>-1.0802196257656771E-2</v>
      </c>
      <c r="F1945" s="440">
        <v>45371</v>
      </c>
      <c r="G1945" s="363">
        <v>1549.35</v>
      </c>
      <c r="H1945" s="252">
        <f t="shared" si="61"/>
        <v>5.8122638767788004E-4</v>
      </c>
    </row>
    <row r="1946" spans="2:8" x14ac:dyDescent="0.3">
      <c r="B1946" s="440">
        <v>45371</v>
      </c>
      <c r="C1946" s="363">
        <v>21839.1</v>
      </c>
      <c r="D1946" s="252">
        <f t="shared" si="60"/>
        <v>9.9232495089940365E-4</v>
      </c>
      <c r="F1946" s="440">
        <v>45372</v>
      </c>
      <c r="G1946" s="363">
        <v>1565.2</v>
      </c>
      <c r="H1946" s="252">
        <f t="shared" si="61"/>
        <v>1.0230096492077401E-2</v>
      </c>
    </row>
    <row r="1947" spans="2:8" x14ac:dyDescent="0.3">
      <c r="B1947" s="440">
        <v>45372</v>
      </c>
      <c r="C1947" s="363">
        <v>22011.95</v>
      </c>
      <c r="D1947" s="252">
        <f t="shared" si="60"/>
        <v>7.9147034447391018E-3</v>
      </c>
      <c r="F1947" s="440">
        <v>45373</v>
      </c>
      <c r="G1947" s="363">
        <v>1608.9</v>
      </c>
      <c r="H1947" s="252">
        <f t="shared" si="61"/>
        <v>2.7919754663940699E-2</v>
      </c>
    </row>
    <row r="1948" spans="2:8" x14ac:dyDescent="0.3">
      <c r="B1948" s="440">
        <v>45373</v>
      </c>
      <c r="C1948" s="363">
        <v>22096.75</v>
      </c>
      <c r="D1948" s="252">
        <f t="shared" si="60"/>
        <v>3.8524528721899376E-3</v>
      </c>
      <c r="F1948" s="440">
        <v>45377</v>
      </c>
      <c r="G1948" s="363">
        <v>1598.1</v>
      </c>
      <c r="H1948" s="252">
        <f t="shared" si="61"/>
        <v>-6.7126608241656616E-3</v>
      </c>
    </row>
    <row r="1949" spans="2:8" x14ac:dyDescent="0.3">
      <c r="B1949" s="440">
        <v>45377</v>
      </c>
      <c r="C1949" s="363">
        <v>22004.7</v>
      </c>
      <c r="D1949" s="252">
        <f t="shared" si="60"/>
        <v>-4.1657709844207247E-3</v>
      </c>
      <c r="F1949" s="440">
        <v>45378</v>
      </c>
      <c r="G1949" s="363">
        <v>1604.15</v>
      </c>
      <c r="H1949" s="252">
        <f t="shared" si="61"/>
        <v>3.7857455728678158E-3</v>
      </c>
    </row>
    <row r="1950" spans="2:8" x14ac:dyDescent="0.3">
      <c r="B1950" s="440">
        <v>45378</v>
      </c>
      <c r="C1950" s="363">
        <v>22123.65</v>
      </c>
      <c r="D1950" s="252">
        <f t="shared" si="60"/>
        <v>5.4056633355601402E-3</v>
      </c>
      <c r="F1950" s="440">
        <v>45379</v>
      </c>
      <c r="G1950" s="363">
        <v>1620.55</v>
      </c>
      <c r="H1950" s="252">
        <f t="shared" si="61"/>
        <v>1.0223482841380083E-2</v>
      </c>
    </row>
    <row r="1951" spans="2:8" x14ac:dyDescent="0.3">
      <c r="B1951" s="440">
        <v>45379</v>
      </c>
      <c r="C1951" s="363">
        <v>22326.9</v>
      </c>
      <c r="D1951" s="252">
        <f t="shared" si="60"/>
        <v>9.1870012407537782E-3</v>
      </c>
      <c r="F1951" s="440">
        <v>45383</v>
      </c>
      <c r="G1951" s="363">
        <v>1629.25</v>
      </c>
      <c r="H1951" s="252">
        <f t="shared" si="61"/>
        <v>5.3685477152818351E-3</v>
      </c>
    </row>
    <row r="1952" spans="2:8" x14ac:dyDescent="0.3">
      <c r="B1952" s="440">
        <v>45383</v>
      </c>
      <c r="C1952" s="363">
        <v>22462</v>
      </c>
      <c r="D1952" s="252">
        <f t="shared" si="60"/>
        <v>6.0509967796693598E-3</v>
      </c>
      <c r="F1952" s="440">
        <v>45384</v>
      </c>
      <c r="G1952" s="363">
        <v>1622.25</v>
      </c>
      <c r="H1952" s="252">
        <f t="shared" si="61"/>
        <v>-4.2964554242749253E-3</v>
      </c>
    </row>
    <row r="1953" spans="2:8" x14ac:dyDescent="0.3">
      <c r="B1953" s="440">
        <v>45384</v>
      </c>
      <c r="C1953" s="363">
        <v>22453.3</v>
      </c>
      <c r="D1953" s="252">
        <f t="shared" si="60"/>
        <v>-3.8732080847658779E-4</v>
      </c>
      <c r="F1953" s="440">
        <v>45385</v>
      </c>
      <c r="G1953" s="363">
        <v>1619.85</v>
      </c>
      <c r="H1953" s="252">
        <f t="shared" si="61"/>
        <v>-1.4794267221451829E-3</v>
      </c>
    </row>
    <row r="1954" spans="2:8" x14ac:dyDescent="0.3">
      <c r="B1954" s="440">
        <v>45385</v>
      </c>
      <c r="C1954" s="363">
        <v>22434.65</v>
      </c>
      <c r="D1954" s="252">
        <f t="shared" si="60"/>
        <v>-8.306128720498851E-4</v>
      </c>
      <c r="F1954" s="440">
        <v>45386</v>
      </c>
      <c r="G1954" s="363">
        <v>1619.35</v>
      </c>
      <c r="H1954" s="252">
        <f t="shared" si="61"/>
        <v>-3.0867055591565773E-4</v>
      </c>
    </row>
    <row r="1955" spans="2:8" x14ac:dyDescent="0.3">
      <c r="B1955" s="440">
        <v>45386</v>
      </c>
      <c r="C1955" s="363">
        <v>22514.65</v>
      </c>
      <c r="D1955" s="252">
        <f t="shared" si="60"/>
        <v>3.5659125504521327E-3</v>
      </c>
      <c r="F1955" s="440">
        <v>45387</v>
      </c>
      <c r="G1955" s="363">
        <v>1609</v>
      </c>
      <c r="H1955" s="252">
        <f t="shared" si="61"/>
        <v>-6.3914533609163993E-3</v>
      </c>
    </row>
    <row r="1956" spans="2:8" x14ac:dyDescent="0.3">
      <c r="B1956" s="440">
        <v>45387</v>
      </c>
      <c r="C1956" s="363">
        <v>22513.7</v>
      </c>
      <c r="D1956" s="252">
        <f t="shared" si="60"/>
        <v>-4.2194748752555356E-5</v>
      </c>
      <c r="F1956" s="440">
        <v>45390</v>
      </c>
      <c r="G1956" s="363">
        <v>1599.7</v>
      </c>
      <c r="H1956" s="252">
        <f t="shared" si="61"/>
        <v>-5.7799875699191539E-3</v>
      </c>
    </row>
    <row r="1957" spans="2:8" x14ac:dyDescent="0.3">
      <c r="B1957" s="440">
        <v>45390</v>
      </c>
      <c r="C1957" s="363">
        <v>22666.3</v>
      </c>
      <c r="D1957" s="252">
        <f t="shared" si="60"/>
        <v>6.7780951154186031E-3</v>
      </c>
      <c r="F1957" s="440">
        <v>45391</v>
      </c>
      <c r="G1957" s="363">
        <v>1602.55</v>
      </c>
      <c r="H1957" s="252">
        <f t="shared" si="61"/>
        <v>1.7815840470087885E-3</v>
      </c>
    </row>
    <row r="1958" spans="2:8" x14ac:dyDescent="0.3">
      <c r="B1958" s="440">
        <v>45391</v>
      </c>
      <c r="C1958" s="363">
        <v>22642.75</v>
      </c>
      <c r="D1958" s="252">
        <f t="shared" si="60"/>
        <v>-1.0389873953843276E-3</v>
      </c>
      <c r="F1958" s="440">
        <v>45392</v>
      </c>
      <c r="G1958" s="363">
        <v>1604.05</v>
      </c>
      <c r="H1958" s="252">
        <f t="shared" si="61"/>
        <v>9.3600823687256529E-4</v>
      </c>
    </row>
    <row r="1959" spans="2:8" x14ac:dyDescent="0.3">
      <c r="B1959" s="440">
        <v>45392</v>
      </c>
      <c r="C1959" s="363">
        <v>22753.8</v>
      </c>
      <c r="D1959" s="252">
        <f t="shared" si="60"/>
        <v>4.904439610913025E-3</v>
      </c>
      <c r="F1959" s="440">
        <v>45394</v>
      </c>
      <c r="G1959" s="363">
        <v>1540</v>
      </c>
      <c r="H1959" s="252">
        <f t="shared" si="61"/>
        <v>-3.9930176740126555E-2</v>
      </c>
    </row>
    <row r="1960" spans="2:8" x14ac:dyDescent="0.3">
      <c r="B1960" s="440">
        <v>45394</v>
      </c>
      <c r="C1960" s="363">
        <v>22519.4</v>
      </c>
      <c r="D1960" s="252">
        <f t="shared" si="60"/>
        <v>-1.0301576000492085E-2</v>
      </c>
      <c r="F1960" s="440">
        <v>45397</v>
      </c>
      <c r="G1960" s="363">
        <v>1540.05</v>
      </c>
      <c r="H1960" s="252">
        <f t="shared" si="61"/>
        <v>3.2467532467439497E-5</v>
      </c>
    </row>
    <row r="1961" spans="2:8" x14ac:dyDescent="0.3">
      <c r="B1961" s="440">
        <v>45397</v>
      </c>
      <c r="C1961" s="363">
        <v>22272.5</v>
      </c>
      <c r="D1961" s="252">
        <f t="shared" si="60"/>
        <v>-1.0963880032327733E-2</v>
      </c>
      <c r="F1961" s="440">
        <v>45398</v>
      </c>
      <c r="G1961" s="363">
        <v>1537.55</v>
      </c>
      <c r="H1961" s="252">
        <f t="shared" si="61"/>
        <v>-1.6233239180546422E-3</v>
      </c>
    </row>
    <row r="1962" spans="2:8" x14ac:dyDescent="0.3">
      <c r="B1962" s="440">
        <v>45398</v>
      </c>
      <c r="C1962" s="363">
        <v>22147.9</v>
      </c>
      <c r="D1962" s="252">
        <f t="shared" si="60"/>
        <v>-5.5943427994162853E-3</v>
      </c>
      <c r="F1962" s="440">
        <v>45400</v>
      </c>
      <c r="G1962" s="363">
        <v>1516.4</v>
      </c>
      <c r="H1962" s="252">
        <f t="shared" si="61"/>
        <v>-1.3755650222756932E-2</v>
      </c>
    </row>
    <row r="1963" spans="2:8" x14ac:dyDescent="0.3">
      <c r="B1963" s="440">
        <v>45400</v>
      </c>
      <c r="C1963" s="363">
        <v>21995.85</v>
      </c>
      <c r="D1963" s="252">
        <f t="shared" si="60"/>
        <v>-6.8652106971768267E-3</v>
      </c>
      <c r="F1963" s="440">
        <v>45401</v>
      </c>
      <c r="G1963" s="363">
        <v>1522.8</v>
      </c>
      <c r="H1963" s="252">
        <f t="shared" si="61"/>
        <v>4.2205222896332106E-3</v>
      </c>
    </row>
    <row r="1964" spans="2:8" x14ac:dyDescent="0.3">
      <c r="B1964" s="440">
        <v>45401</v>
      </c>
      <c r="C1964" s="363">
        <v>22147</v>
      </c>
      <c r="D1964" s="252">
        <f t="shared" si="60"/>
        <v>6.8717508075386569E-3</v>
      </c>
      <c r="F1964" s="440">
        <v>45404</v>
      </c>
      <c r="G1964" s="363">
        <v>1540.1</v>
      </c>
      <c r="H1964" s="252">
        <f t="shared" si="61"/>
        <v>1.1360651431573388E-2</v>
      </c>
    </row>
    <row r="1965" spans="2:8" x14ac:dyDescent="0.3">
      <c r="B1965" s="440">
        <v>45404</v>
      </c>
      <c r="C1965" s="363">
        <v>22336.400000000001</v>
      </c>
      <c r="D1965" s="252">
        <f t="shared" si="60"/>
        <v>8.5519483451483858E-3</v>
      </c>
      <c r="F1965" s="440">
        <v>45405</v>
      </c>
      <c r="G1965" s="363">
        <v>1484.65</v>
      </c>
      <c r="H1965" s="252">
        <f t="shared" si="61"/>
        <v>-3.6004155574313246E-2</v>
      </c>
    </row>
    <row r="1966" spans="2:8" x14ac:dyDescent="0.3">
      <c r="B1966" s="440">
        <v>45405</v>
      </c>
      <c r="C1966" s="363">
        <v>22368</v>
      </c>
      <c r="D1966" s="252">
        <f t="shared" si="60"/>
        <v>1.4147311115488836E-3</v>
      </c>
      <c r="F1966" s="440">
        <v>45406</v>
      </c>
      <c r="G1966" s="363">
        <v>1485.75</v>
      </c>
      <c r="H1966" s="252">
        <f t="shared" si="61"/>
        <v>7.4091536725817697E-4</v>
      </c>
    </row>
    <row r="1967" spans="2:8" x14ac:dyDescent="0.3">
      <c r="B1967" s="440">
        <v>45406</v>
      </c>
      <c r="C1967" s="363">
        <v>22402.400000000001</v>
      </c>
      <c r="D1967" s="252">
        <f t="shared" si="60"/>
        <v>1.5379113018598733E-3</v>
      </c>
      <c r="F1967" s="440">
        <v>45407</v>
      </c>
      <c r="G1967" s="363">
        <v>1520.15</v>
      </c>
      <c r="H1967" s="252">
        <f t="shared" si="61"/>
        <v>2.3153289584385117E-2</v>
      </c>
    </row>
    <row r="1968" spans="2:8" x14ac:dyDescent="0.3">
      <c r="B1968" s="440">
        <v>45407</v>
      </c>
      <c r="C1968" s="363">
        <v>22570.35</v>
      </c>
      <c r="D1968" s="252">
        <f t="shared" si="60"/>
        <v>7.496964610934409E-3</v>
      </c>
      <c r="F1968" s="440">
        <v>45408</v>
      </c>
      <c r="G1968" s="363">
        <v>1506.55</v>
      </c>
      <c r="H1968" s="252">
        <f t="shared" si="61"/>
        <v>-8.9464855441897528E-3</v>
      </c>
    </row>
    <row r="1969" spans="2:8" x14ac:dyDescent="0.3">
      <c r="B1969" s="440">
        <v>45408</v>
      </c>
      <c r="C1969" s="363">
        <v>22419.95</v>
      </c>
      <c r="D1969" s="252">
        <f t="shared" si="60"/>
        <v>-6.6636095585579369E-3</v>
      </c>
      <c r="F1969" s="440">
        <v>45411</v>
      </c>
      <c r="G1969" s="363">
        <v>1521.6</v>
      </c>
      <c r="H1969" s="252">
        <f t="shared" si="61"/>
        <v>9.9897115927118918E-3</v>
      </c>
    </row>
    <row r="1970" spans="2:8" x14ac:dyDescent="0.3">
      <c r="B1970" s="440">
        <v>45411</v>
      </c>
      <c r="C1970" s="363">
        <v>22643.4</v>
      </c>
      <c r="D1970" s="252">
        <f t="shared" si="60"/>
        <v>9.9665699522077933E-3</v>
      </c>
      <c r="F1970" s="440">
        <v>45412</v>
      </c>
      <c r="G1970" s="363">
        <v>1502.1</v>
      </c>
      <c r="H1970" s="252">
        <f t="shared" si="61"/>
        <v>-1.2815457413249187E-2</v>
      </c>
    </row>
    <row r="1971" spans="2:8" x14ac:dyDescent="0.3">
      <c r="B1971" s="440">
        <v>45412</v>
      </c>
      <c r="C1971" s="363">
        <v>22604.85</v>
      </c>
      <c r="D1971" s="252">
        <f t="shared" si="60"/>
        <v>-1.7024828426828176E-3</v>
      </c>
      <c r="F1971" s="440">
        <v>45414</v>
      </c>
      <c r="G1971" s="363">
        <v>1519</v>
      </c>
      <c r="H1971" s="252">
        <f t="shared" si="61"/>
        <v>1.1250915385127458E-2</v>
      </c>
    </row>
    <row r="1972" spans="2:8" x14ac:dyDescent="0.3">
      <c r="B1972" s="440">
        <v>45414</v>
      </c>
      <c r="C1972" s="363">
        <v>22648.2</v>
      </c>
      <c r="D1972" s="252">
        <f t="shared" si="60"/>
        <v>1.917730044658672E-3</v>
      </c>
      <c r="F1972" s="440">
        <v>45415</v>
      </c>
      <c r="G1972" s="363">
        <v>1511.15</v>
      </c>
      <c r="H1972" s="252">
        <f t="shared" si="61"/>
        <v>-5.1678736010533077E-3</v>
      </c>
    </row>
    <row r="1973" spans="2:8" x14ac:dyDescent="0.3">
      <c r="B1973" s="440">
        <v>45415</v>
      </c>
      <c r="C1973" s="363">
        <v>22475.85</v>
      </c>
      <c r="D1973" s="252">
        <f t="shared" si="60"/>
        <v>-7.6098762815588472E-3</v>
      </c>
      <c r="F1973" s="440">
        <v>45418</v>
      </c>
      <c r="G1973" s="363">
        <v>1529.15</v>
      </c>
      <c r="H1973" s="252">
        <f t="shared" si="61"/>
        <v>1.1911458161003141E-2</v>
      </c>
    </row>
    <row r="1974" spans="2:8" x14ac:dyDescent="0.3">
      <c r="B1974" s="440">
        <v>45418</v>
      </c>
      <c r="C1974" s="363">
        <v>22442.7</v>
      </c>
      <c r="D1974" s="252">
        <f t="shared" si="60"/>
        <v>-1.4749164102803025E-3</v>
      </c>
      <c r="F1974" s="440">
        <v>45419</v>
      </c>
      <c r="G1974" s="363">
        <v>1515.35</v>
      </c>
      <c r="H1974" s="252">
        <f t="shared" si="61"/>
        <v>-9.0246215217605341E-3</v>
      </c>
    </row>
    <row r="1975" spans="2:8" x14ac:dyDescent="0.3">
      <c r="B1975" s="440">
        <v>45419</v>
      </c>
      <c r="C1975" s="363">
        <v>22302.5</v>
      </c>
      <c r="D1975" s="252">
        <f t="shared" si="60"/>
        <v>-6.2470201891929866E-3</v>
      </c>
      <c r="F1975" s="440">
        <v>45420</v>
      </c>
      <c r="G1975" s="363">
        <v>1521.75</v>
      </c>
      <c r="H1975" s="252">
        <f t="shared" si="61"/>
        <v>4.2234467284785193E-3</v>
      </c>
    </row>
    <row r="1976" spans="2:8" x14ac:dyDescent="0.3">
      <c r="B1976" s="440">
        <v>45420</v>
      </c>
      <c r="C1976" s="363">
        <v>22302.5</v>
      </c>
      <c r="D1976" s="252">
        <f t="shared" si="60"/>
        <v>0</v>
      </c>
      <c r="F1976" s="440">
        <v>45421</v>
      </c>
      <c r="G1976" s="363">
        <v>1494.65</v>
      </c>
      <c r="H1976" s="252">
        <f t="shared" si="61"/>
        <v>-1.780844422539829E-2</v>
      </c>
    </row>
    <row r="1977" spans="2:8" x14ac:dyDescent="0.3">
      <c r="B1977" s="440">
        <v>45421</v>
      </c>
      <c r="C1977" s="363">
        <v>21957.5</v>
      </c>
      <c r="D1977" s="252">
        <f t="shared" si="60"/>
        <v>-1.546911781190452E-2</v>
      </c>
      <c r="F1977" s="440">
        <v>45422</v>
      </c>
      <c r="G1977" s="363">
        <v>1506.55</v>
      </c>
      <c r="H1977" s="252">
        <f t="shared" si="61"/>
        <v>7.9617301709429267E-3</v>
      </c>
    </row>
    <row r="1978" spans="2:8" x14ac:dyDescent="0.3">
      <c r="B1978" s="440">
        <v>45422</v>
      </c>
      <c r="C1978" s="363">
        <v>22055.200000000001</v>
      </c>
      <c r="D1978" s="252">
        <f t="shared" si="60"/>
        <v>4.4495047250370234E-3</v>
      </c>
      <c r="F1978" s="440">
        <v>45425</v>
      </c>
      <c r="G1978" s="363">
        <v>1525.05</v>
      </c>
      <c r="H1978" s="252">
        <f t="shared" si="61"/>
        <v>1.2279711924595871E-2</v>
      </c>
    </row>
    <row r="1979" spans="2:8" x14ac:dyDescent="0.3">
      <c r="B1979" s="440">
        <v>45425</v>
      </c>
      <c r="C1979" s="363">
        <v>22104.05</v>
      </c>
      <c r="D1979" s="252">
        <f t="shared" si="60"/>
        <v>2.2148971671078765E-3</v>
      </c>
      <c r="F1979" s="440">
        <v>45426</v>
      </c>
      <c r="G1979" s="363">
        <v>1545.25</v>
      </c>
      <c r="H1979" s="252">
        <f t="shared" si="61"/>
        <v>1.3245467361725938E-2</v>
      </c>
    </row>
    <row r="1980" spans="2:8" x14ac:dyDescent="0.3">
      <c r="B1980" s="440">
        <v>45426</v>
      </c>
      <c r="C1980" s="363">
        <v>22217.85</v>
      </c>
      <c r="D1980" s="252">
        <f t="shared" si="60"/>
        <v>5.1483777859713253E-3</v>
      </c>
      <c r="F1980" s="440">
        <v>45427</v>
      </c>
      <c r="G1980" s="363">
        <v>1527.4</v>
      </c>
      <c r="H1980" s="252">
        <f t="shared" si="61"/>
        <v>-1.1551528878822159E-2</v>
      </c>
    </row>
    <row r="1981" spans="2:8" x14ac:dyDescent="0.3">
      <c r="B1981" s="440">
        <v>45427</v>
      </c>
      <c r="C1981" s="363">
        <v>22200.55</v>
      </c>
      <c r="D1981" s="252">
        <f t="shared" si="60"/>
        <v>-7.7865320001702099E-4</v>
      </c>
      <c r="F1981" s="440">
        <v>45428</v>
      </c>
      <c r="G1981" s="363">
        <v>1536.3</v>
      </c>
      <c r="H1981" s="252">
        <f t="shared" si="61"/>
        <v>5.8268953777660393E-3</v>
      </c>
    </row>
    <row r="1982" spans="2:8" x14ac:dyDescent="0.3">
      <c r="B1982" s="440">
        <v>45428</v>
      </c>
      <c r="C1982" s="363">
        <v>22403.85</v>
      </c>
      <c r="D1982" s="252">
        <f t="shared" si="60"/>
        <v>9.1574307843724778E-3</v>
      </c>
      <c r="F1982" s="440">
        <v>45429</v>
      </c>
      <c r="G1982" s="363">
        <v>1531.4</v>
      </c>
      <c r="H1982" s="252">
        <f t="shared" si="61"/>
        <v>-3.1894812211156198E-3</v>
      </c>
    </row>
    <row r="1983" spans="2:8" x14ac:dyDescent="0.3">
      <c r="B1983" s="440">
        <v>45429</v>
      </c>
      <c r="C1983" s="363">
        <v>22466.1</v>
      </c>
      <c r="D1983" s="252">
        <f t="shared" si="60"/>
        <v>2.7785402955295968E-3</v>
      </c>
      <c r="F1983" s="440">
        <v>45430</v>
      </c>
      <c r="G1983" s="363">
        <v>1531.9</v>
      </c>
      <c r="H1983" s="252">
        <f t="shared" si="61"/>
        <v>3.2649862870570701E-4</v>
      </c>
    </row>
    <row r="1984" spans="2:8" x14ac:dyDescent="0.3">
      <c r="B1984" s="440">
        <v>45430</v>
      </c>
      <c r="C1984" s="363">
        <v>22502</v>
      </c>
      <c r="D1984" s="252">
        <f t="shared" si="60"/>
        <v>1.5979631533733496E-3</v>
      </c>
      <c r="F1984" s="440">
        <v>45433</v>
      </c>
      <c r="G1984" s="363">
        <v>1540.95</v>
      </c>
      <c r="H1984" s="252">
        <f t="shared" si="61"/>
        <v>5.9076963248252401E-3</v>
      </c>
    </row>
    <row r="1985" spans="2:8" x14ac:dyDescent="0.3">
      <c r="B1985" s="440">
        <v>45433</v>
      </c>
      <c r="C1985" s="363">
        <v>22529.05</v>
      </c>
      <c r="D1985" s="252">
        <f t="shared" si="60"/>
        <v>1.2021153675227936E-3</v>
      </c>
      <c r="F1985" s="440">
        <v>45434</v>
      </c>
      <c r="G1985" s="363">
        <v>1539.3</v>
      </c>
      <c r="H1985" s="252">
        <f t="shared" si="61"/>
        <v>-1.0707680327071145E-3</v>
      </c>
    </row>
    <row r="1986" spans="2:8" x14ac:dyDescent="0.3">
      <c r="B1986" s="440">
        <v>45434</v>
      </c>
      <c r="C1986" s="363">
        <v>22597.8</v>
      </c>
      <c r="D1986" s="252">
        <f t="shared" si="60"/>
        <v>3.0516155807722711E-3</v>
      </c>
      <c r="F1986" s="440">
        <v>45435</v>
      </c>
      <c r="G1986" s="363">
        <v>1495.1</v>
      </c>
      <c r="H1986" s="252">
        <f t="shared" si="61"/>
        <v>-2.8714350678880063E-2</v>
      </c>
    </row>
    <row r="1987" spans="2:8" x14ac:dyDescent="0.3">
      <c r="B1987" s="440">
        <v>45435</v>
      </c>
      <c r="C1987" s="363">
        <v>22967.65</v>
      </c>
      <c r="D1987" s="252">
        <f t="shared" si="60"/>
        <v>1.6366637460283773E-2</v>
      </c>
      <c r="F1987" s="440">
        <v>45436</v>
      </c>
      <c r="G1987" s="363">
        <v>1486.7</v>
      </c>
      <c r="H1987" s="252">
        <f t="shared" si="61"/>
        <v>-5.6183532874054531E-3</v>
      </c>
    </row>
    <row r="1988" spans="2:8" x14ac:dyDescent="0.3">
      <c r="B1988" s="440">
        <v>45436</v>
      </c>
      <c r="C1988" s="363">
        <v>22957.1</v>
      </c>
      <c r="D1988" s="252">
        <f t="shared" si="60"/>
        <v>-4.5934172629780168E-4</v>
      </c>
      <c r="F1988" s="440">
        <v>45439</v>
      </c>
      <c r="G1988" s="363">
        <v>1466.05</v>
      </c>
      <c r="H1988" s="252">
        <f t="shared" si="61"/>
        <v>-1.3889823098136911E-2</v>
      </c>
    </row>
    <row r="1989" spans="2:8" x14ac:dyDescent="0.3">
      <c r="B1989" s="440">
        <v>45439</v>
      </c>
      <c r="C1989" s="363">
        <v>22932.45</v>
      </c>
      <c r="D1989" s="252">
        <f t="shared" si="60"/>
        <v>-1.073741892486324E-3</v>
      </c>
      <c r="F1989" s="440">
        <v>45440</v>
      </c>
      <c r="G1989" s="363">
        <v>1464.9</v>
      </c>
      <c r="H1989" s="252">
        <f t="shared" si="61"/>
        <v>-7.8442072234907734E-4</v>
      </c>
    </row>
    <row r="1990" spans="2:8" x14ac:dyDescent="0.3">
      <c r="B1990" s="440">
        <v>45440</v>
      </c>
      <c r="C1990" s="363">
        <v>22888.15</v>
      </c>
      <c r="D1990" s="252">
        <f t="shared" si="60"/>
        <v>-1.9317604529824894E-3</v>
      </c>
      <c r="F1990" s="440">
        <v>45441</v>
      </c>
      <c r="G1990" s="363">
        <v>1478.95</v>
      </c>
      <c r="H1990" s="252">
        <f t="shared" si="61"/>
        <v>9.5910983684892592E-3</v>
      </c>
    </row>
    <row r="1991" spans="2:8" x14ac:dyDescent="0.3">
      <c r="B1991" s="440">
        <v>45441</v>
      </c>
      <c r="C1991" s="363">
        <v>22704.7</v>
      </c>
      <c r="D1991" s="252">
        <f t="shared" si="60"/>
        <v>-8.015064563977492E-3</v>
      </c>
      <c r="F1991" s="440">
        <v>45442</v>
      </c>
      <c r="G1991" s="363">
        <v>1459.1</v>
      </c>
      <c r="H1991" s="252">
        <f t="shared" si="61"/>
        <v>-1.3421684303052905E-2</v>
      </c>
    </row>
    <row r="1992" spans="2:8" x14ac:dyDescent="0.3">
      <c r="B1992" s="440">
        <v>45442</v>
      </c>
      <c r="C1992" s="363">
        <v>22488.65</v>
      </c>
      <c r="D1992" s="252">
        <f t="shared" si="60"/>
        <v>-9.515650944518117E-3</v>
      </c>
      <c r="F1992" s="440">
        <v>45443</v>
      </c>
      <c r="G1992" s="363">
        <v>1459.8</v>
      </c>
      <c r="H1992" s="252">
        <f t="shared" si="61"/>
        <v>4.7974778973336463E-4</v>
      </c>
    </row>
    <row r="1993" spans="2:8" x14ac:dyDescent="0.3">
      <c r="B1993" s="440">
        <v>45443</v>
      </c>
      <c r="C1993" s="363">
        <v>22530.7</v>
      </c>
      <c r="D1993" s="252">
        <f t="shared" si="60"/>
        <v>1.8698321153114428E-3</v>
      </c>
      <c r="F1993" s="440">
        <v>45446</v>
      </c>
      <c r="G1993" s="363">
        <v>1453.05</v>
      </c>
      <c r="H1993" s="252">
        <f t="shared" si="61"/>
        <v>-4.6239210850801404E-3</v>
      </c>
    </row>
    <row r="1994" spans="2:8" x14ac:dyDescent="0.3">
      <c r="B1994" s="440">
        <v>45446</v>
      </c>
      <c r="C1994" s="363">
        <v>23263.9</v>
      </c>
      <c r="D1994" s="252">
        <f t="shared" si="60"/>
        <v>3.2542264554585643E-2</v>
      </c>
      <c r="F1994" s="440">
        <v>45447</v>
      </c>
      <c r="G1994" s="363">
        <v>1429.85</v>
      </c>
      <c r="H1994" s="252">
        <f t="shared" si="61"/>
        <v>-1.5966415470906048E-2</v>
      </c>
    </row>
    <row r="1995" spans="2:8" x14ac:dyDescent="0.3">
      <c r="B1995" s="440">
        <v>45447</v>
      </c>
      <c r="C1995" s="363">
        <v>21884.5</v>
      </c>
      <c r="D1995" s="252">
        <f t="shared" ref="D1995:D2058" si="62">C1995/C1994-1</f>
        <v>-5.9293583620975032E-2</v>
      </c>
      <c r="F1995" s="440">
        <v>45448</v>
      </c>
      <c r="G1995" s="363">
        <v>1487.3</v>
      </c>
      <c r="H1995" s="252">
        <f t="shared" ref="H1995:H2058" si="63">G1995/G1994-1</f>
        <v>4.017903975941528E-2</v>
      </c>
    </row>
    <row r="1996" spans="2:8" x14ac:dyDescent="0.3">
      <c r="B1996" s="440">
        <v>45448</v>
      </c>
      <c r="C1996" s="363">
        <v>22620.35</v>
      </c>
      <c r="D1996" s="252">
        <f t="shared" si="62"/>
        <v>3.3624254609426751E-2</v>
      </c>
      <c r="F1996" s="440">
        <v>45449</v>
      </c>
      <c r="G1996" s="363">
        <v>1472.7</v>
      </c>
      <c r="H1996" s="252">
        <f t="shared" si="63"/>
        <v>-9.8164459086935718E-3</v>
      </c>
    </row>
    <row r="1997" spans="2:8" x14ac:dyDescent="0.3">
      <c r="B1997" s="440">
        <v>45449</v>
      </c>
      <c r="C1997" s="363">
        <v>22821.4</v>
      </c>
      <c r="D1997" s="252">
        <f t="shared" si="62"/>
        <v>8.888014553267487E-3</v>
      </c>
      <c r="F1997" s="440">
        <v>45450</v>
      </c>
      <c r="G1997" s="363">
        <v>1506.85</v>
      </c>
      <c r="H1997" s="252">
        <f t="shared" si="63"/>
        <v>2.3188701025327552E-2</v>
      </c>
    </row>
    <row r="1998" spans="2:8" x14ac:dyDescent="0.3">
      <c r="B1998" s="440">
        <v>45450</v>
      </c>
      <c r="C1998" s="363">
        <v>23290.15</v>
      </c>
      <c r="D1998" s="252">
        <f t="shared" si="62"/>
        <v>2.0539931818380985E-2</v>
      </c>
      <c r="F1998" s="440">
        <v>45453</v>
      </c>
      <c r="G1998" s="363">
        <v>1513.1</v>
      </c>
      <c r="H1998" s="252">
        <f t="shared" si="63"/>
        <v>4.147725387397605E-3</v>
      </c>
    </row>
    <row r="1999" spans="2:8" x14ac:dyDescent="0.3">
      <c r="B1999" s="440">
        <v>45453</v>
      </c>
      <c r="C1999" s="363">
        <v>23259.200000000001</v>
      </c>
      <c r="D1999" s="252">
        <f t="shared" si="62"/>
        <v>-1.3288879633664985E-3</v>
      </c>
      <c r="F1999" s="440">
        <v>45454</v>
      </c>
      <c r="G1999" s="363">
        <v>1499.75</v>
      </c>
      <c r="H1999" s="252">
        <f t="shared" si="63"/>
        <v>-8.8229462692485106E-3</v>
      </c>
    </row>
    <row r="2000" spans="2:8" x14ac:dyDescent="0.3">
      <c r="B2000" s="440">
        <v>45454</v>
      </c>
      <c r="C2000" s="363">
        <v>23264.85</v>
      </c>
      <c r="D2000" s="252">
        <f t="shared" si="62"/>
        <v>2.4291463162962046E-4</v>
      </c>
      <c r="F2000" s="440">
        <v>45455</v>
      </c>
      <c r="G2000" s="363">
        <v>1506.85</v>
      </c>
      <c r="H2000" s="252">
        <f t="shared" si="63"/>
        <v>4.7341223537256116E-3</v>
      </c>
    </row>
    <row r="2001" spans="2:8" x14ac:dyDescent="0.3">
      <c r="B2001" s="440">
        <v>45455</v>
      </c>
      <c r="C2001" s="363">
        <v>23322.95</v>
      </c>
      <c r="D2001" s="252">
        <f t="shared" si="62"/>
        <v>2.4973296625596664E-3</v>
      </c>
      <c r="F2001" s="440">
        <v>45456</v>
      </c>
      <c r="G2001" s="363">
        <v>1510.8</v>
      </c>
      <c r="H2001" s="252">
        <f t="shared" si="63"/>
        <v>2.6213624448352402E-3</v>
      </c>
    </row>
    <row r="2002" spans="2:8" x14ac:dyDescent="0.3">
      <c r="B2002" s="440">
        <v>45456</v>
      </c>
      <c r="C2002" s="363">
        <v>23398.9</v>
      </c>
      <c r="D2002" s="252">
        <f t="shared" si="62"/>
        <v>3.2564491198583401E-3</v>
      </c>
      <c r="F2002" s="440">
        <v>45457</v>
      </c>
      <c r="G2002" s="363">
        <v>1516</v>
      </c>
      <c r="H2002" s="252">
        <f t="shared" si="63"/>
        <v>3.4418850939899048E-3</v>
      </c>
    </row>
    <row r="2003" spans="2:8" x14ac:dyDescent="0.3">
      <c r="B2003" s="440">
        <v>45457</v>
      </c>
      <c r="C2003" s="363">
        <v>23465.599999999999</v>
      </c>
      <c r="D2003" s="252">
        <f t="shared" si="62"/>
        <v>2.8505613511744521E-3</v>
      </c>
      <c r="F2003" s="440">
        <v>45461</v>
      </c>
      <c r="G2003" s="363">
        <v>1520.95</v>
      </c>
      <c r="H2003" s="252">
        <f t="shared" si="63"/>
        <v>3.2651715039577756E-3</v>
      </c>
    </row>
    <row r="2004" spans="2:8" x14ac:dyDescent="0.3">
      <c r="B2004" s="440">
        <v>45461</v>
      </c>
      <c r="C2004" s="363">
        <v>23557.9</v>
      </c>
      <c r="D2004" s="252">
        <f t="shared" si="62"/>
        <v>3.933417428064967E-3</v>
      </c>
      <c r="F2004" s="440">
        <v>45462</v>
      </c>
      <c r="G2004" s="363">
        <v>1504</v>
      </c>
      <c r="H2004" s="252">
        <f t="shared" si="63"/>
        <v>-1.1144350570367223E-2</v>
      </c>
    </row>
    <row r="2005" spans="2:8" x14ac:dyDescent="0.3">
      <c r="B2005" s="440">
        <v>45462</v>
      </c>
      <c r="C2005" s="363">
        <v>23516</v>
      </c>
      <c r="D2005" s="252">
        <f t="shared" si="62"/>
        <v>-1.7785965642099777E-3</v>
      </c>
      <c r="F2005" s="440">
        <v>45463</v>
      </c>
      <c r="G2005" s="363">
        <v>1471</v>
      </c>
      <c r="H2005" s="252">
        <f t="shared" si="63"/>
        <v>-2.1941489361702149E-2</v>
      </c>
    </row>
    <row r="2006" spans="2:8" x14ac:dyDescent="0.3">
      <c r="B2006" s="440">
        <v>45463</v>
      </c>
      <c r="C2006" s="363">
        <v>23567</v>
      </c>
      <c r="D2006" s="252">
        <f t="shared" si="62"/>
        <v>2.1687361796223215E-3</v>
      </c>
      <c r="F2006" s="440">
        <v>45464</v>
      </c>
      <c r="G2006" s="363">
        <v>1467.25</v>
      </c>
      <c r="H2006" s="252">
        <f t="shared" si="63"/>
        <v>-2.5492861998640537E-3</v>
      </c>
    </row>
    <row r="2007" spans="2:8" x14ac:dyDescent="0.3">
      <c r="B2007" s="440">
        <v>45464</v>
      </c>
      <c r="C2007" s="363">
        <v>23501.1</v>
      </c>
      <c r="D2007" s="252">
        <f t="shared" si="62"/>
        <v>-2.7962829380066001E-3</v>
      </c>
      <c r="F2007" s="440">
        <v>45467</v>
      </c>
      <c r="G2007" s="363">
        <v>1494.5</v>
      </c>
      <c r="H2007" s="252">
        <f t="shared" si="63"/>
        <v>1.8572158800477023E-2</v>
      </c>
    </row>
    <row r="2008" spans="2:8" x14ac:dyDescent="0.3">
      <c r="B2008" s="440">
        <v>45467</v>
      </c>
      <c r="C2008" s="363">
        <v>23537.85</v>
      </c>
      <c r="D2008" s="252">
        <f t="shared" si="62"/>
        <v>1.5637565901169825E-3</v>
      </c>
      <c r="F2008" s="440">
        <v>45468</v>
      </c>
      <c r="G2008" s="363">
        <v>1505.2</v>
      </c>
      <c r="H2008" s="252">
        <f t="shared" si="63"/>
        <v>7.1595851455337201E-3</v>
      </c>
    </row>
    <row r="2009" spans="2:8" x14ac:dyDescent="0.3">
      <c r="B2009" s="440">
        <v>45468</v>
      </c>
      <c r="C2009" s="363">
        <v>23721.3</v>
      </c>
      <c r="D2009" s="252">
        <f t="shared" si="62"/>
        <v>7.7938299377386944E-3</v>
      </c>
      <c r="F2009" s="440">
        <v>45469</v>
      </c>
      <c r="G2009" s="363">
        <v>1521.15</v>
      </c>
      <c r="H2009" s="252">
        <f t="shared" si="63"/>
        <v>1.0596598458676665E-2</v>
      </c>
    </row>
    <row r="2010" spans="2:8" x14ac:dyDescent="0.3">
      <c r="B2010" s="440">
        <v>45469</v>
      </c>
      <c r="C2010" s="363">
        <v>23868.799999999999</v>
      </c>
      <c r="D2010" s="252">
        <f t="shared" si="62"/>
        <v>6.2180403266263173E-3</v>
      </c>
      <c r="F2010" s="440">
        <v>45470</v>
      </c>
      <c r="G2010" s="363">
        <v>1516.25</v>
      </c>
      <c r="H2010" s="252">
        <f t="shared" si="63"/>
        <v>-3.2212470827992501E-3</v>
      </c>
    </row>
    <row r="2011" spans="2:8" x14ac:dyDescent="0.3">
      <c r="B2011" s="440">
        <v>45470</v>
      </c>
      <c r="C2011" s="363">
        <v>24044.5</v>
      </c>
      <c r="D2011" s="252">
        <f t="shared" si="62"/>
        <v>7.3610738704921186E-3</v>
      </c>
      <c r="F2011" s="440">
        <v>45471</v>
      </c>
      <c r="G2011" s="363">
        <v>1520.85</v>
      </c>
      <c r="H2011" s="252">
        <f t="shared" si="63"/>
        <v>3.0338004946413033E-3</v>
      </c>
    </row>
    <row r="2012" spans="2:8" x14ac:dyDescent="0.3">
      <c r="B2012" s="440">
        <v>45471</v>
      </c>
      <c r="C2012" s="363">
        <v>24010.6</v>
      </c>
      <c r="D2012" s="252">
        <f t="shared" si="62"/>
        <v>-1.4098858366778932E-3</v>
      </c>
      <c r="F2012" s="440">
        <v>45474</v>
      </c>
      <c r="G2012" s="363">
        <v>1520.1</v>
      </c>
      <c r="H2012" s="252">
        <f t="shared" si="63"/>
        <v>-4.9314528059962726E-4</v>
      </c>
    </row>
    <row r="2013" spans="2:8" x14ac:dyDescent="0.3">
      <c r="B2013" s="440">
        <v>45474</v>
      </c>
      <c r="C2013" s="363">
        <v>24141.95</v>
      </c>
      <c r="D2013" s="252">
        <f t="shared" si="62"/>
        <v>5.4705005289330533E-3</v>
      </c>
      <c r="F2013" s="440">
        <v>45475</v>
      </c>
      <c r="G2013" s="363">
        <v>1524.05</v>
      </c>
      <c r="H2013" s="252">
        <f t="shared" si="63"/>
        <v>2.5985132557069246E-3</v>
      </c>
    </row>
    <row r="2014" spans="2:8" x14ac:dyDescent="0.3">
      <c r="B2014" s="440">
        <v>45475</v>
      </c>
      <c r="C2014" s="363">
        <v>24123.85</v>
      </c>
      <c r="D2014" s="252">
        <f t="shared" si="62"/>
        <v>-7.4973231242725369E-4</v>
      </c>
      <c r="F2014" s="440">
        <v>45476</v>
      </c>
      <c r="G2014" s="363">
        <v>1533.95</v>
      </c>
      <c r="H2014" s="252">
        <f t="shared" si="63"/>
        <v>6.4958498736917836E-3</v>
      </c>
    </row>
    <row r="2015" spans="2:8" x14ac:dyDescent="0.3">
      <c r="B2015" s="440">
        <v>45476</v>
      </c>
      <c r="C2015" s="363">
        <v>24286.5</v>
      </c>
      <c r="D2015" s="252">
        <f t="shared" si="62"/>
        <v>6.7422903060665451E-3</v>
      </c>
      <c r="F2015" s="440">
        <v>45477</v>
      </c>
      <c r="G2015" s="363">
        <v>1557.9</v>
      </c>
      <c r="H2015" s="252">
        <f t="shared" si="63"/>
        <v>1.5613285961080914E-2</v>
      </c>
    </row>
    <row r="2016" spans="2:8" x14ac:dyDescent="0.3">
      <c r="B2016" s="440">
        <v>45477</v>
      </c>
      <c r="C2016" s="363">
        <v>24302.15</v>
      </c>
      <c r="D2016" s="252">
        <f t="shared" si="62"/>
        <v>6.4439091676460336E-4</v>
      </c>
      <c r="F2016" s="440">
        <v>45478</v>
      </c>
      <c r="G2016" s="363">
        <v>1568.4</v>
      </c>
      <c r="H2016" s="252">
        <f t="shared" si="63"/>
        <v>6.7398420951281235E-3</v>
      </c>
    </row>
    <row r="2017" spans="2:8" x14ac:dyDescent="0.3">
      <c r="B2017" s="440">
        <v>45478</v>
      </c>
      <c r="C2017" s="363">
        <v>24323.85</v>
      </c>
      <c r="D2017" s="252">
        <f t="shared" si="62"/>
        <v>8.9292511156413568E-4</v>
      </c>
      <c r="F2017" s="440">
        <v>45481</v>
      </c>
      <c r="G2017" s="363">
        <v>1556.4</v>
      </c>
      <c r="H2017" s="252">
        <f t="shared" si="63"/>
        <v>-7.6511094108645539E-3</v>
      </c>
    </row>
    <row r="2018" spans="2:8" x14ac:dyDescent="0.3">
      <c r="B2018" s="440">
        <v>45481</v>
      </c>
      <c r="C2018" s="363">
        <v>24320.55</v>
      </c>
      <c r="D2018" s="252">
        <f t="shared" si="62"/>
        <v>-1.3566931221820067E-4</v>
      </c>
      <c r="F2018" s="440">
        <v>45482</v>
      </c>
      <c r="G2018" s="363">
        <v>1585.4</v>
      </c>
      <c r="H2018" s="252">
        <f t="shared" si="63"/>
        <v>1.8632742225648924E-2</v>
      </c>
    </row>
    <row r="2019" spans="2:8" x14ac:dyDescent="0.3">
      <c r="B2019" s="440">
        <v>45482</v>
      </c>
      <c r="C2019" s="363">
        <v>24433.200000000001</v>
      </c>
      <c r="D2019" s="252">
        <f t="shared" si="62"/>
        <v>4.6318853808815508E-3</v>
      </c>
      <c r="F2019" s="440">
        <v>45483</v>
      </c>
      <c r="G2019" s="363">
        <v>1598.55</v>
      </c>
      <c r="H2019" s="252">
        <f t="shared" si="63"/>
        <v>8.2944367352086878E-3</v>
      </c>
    </row>
    <row r="2020" spans="2:8" x14ac:dyDescent="0.3">
      <c r="B2020" s="440">
        <v>45483</v>
      </c>
      <c r="C2020" s="363">
        <v>24324.45</v>
      </c>
      <c r="D2020" s="252">
        <f t="shared" si="62"/>
        <v>-4.4509110554491471E-3</v>
      </c>
      <c r="F2020" s="440">
        <v>45484</v>
      </c>
      <c r="G2020" s="363">
        <v>1581.75</v>
      </c>
      <c r="H2020" s="252">
        <f t="shared" si="63"/>
        <v>-1.0509524256357317E-2</v>
      </c>
    </row>
    <row r="2021" spans="2:8" x14ac:dyDescent="0.3">
      <c r="B2021" s="440">
        <v>45484</v>
      </c>
      <c r="C2021" s="363">
        <v>24315.95</v>
      </c>
      <c r="D2021" s="252">
        <f t="shared" si="62"/>
        <v>-3.4944263899083783E-4</v>
      </c>
      <c r="F2021" s="440">
        <v>45485</v>
      </c>
      <c r="G2021" s="363">
        <v>1577.3</v>
      </c>
      <c r="H2021" s="252">
        <f t="shared" si="63"/>
        <v>-2.8133396554449464E-3</v>
      </c>
    </row>
    <row r="2022" spans="2:8" x14ac:dyDescent="0.3">
      <c r="B2022" s="440">
        <v>45485</v>
      </c>
      <c r="C2022" s="363">
        <v>24502.15</v>
      </c>
      <c r="D2022" s="252">
        <f t="shared" si="62"/>
        <v>7.6575252046495734E-3</v>
      </c>
      <c r="F2022" s="440">
        <v>45488</v>
      </c>
      <c r="G2022" s="363">
        <v>1586.2</v>
      </c>
      <c r="H2022" s="252">
        <f t="shared" si="63"/>
        <v>5.6425537310593743E-3</v>
      </c>
    </row>
    <row r="2023" spans="2:8" x14ac:dyDescent="0.3">
      <c r="B2023" s="440">
        <v>45488</v>
      </c>
      <c r="C2023" s="363">
        <v>24586.7</v>
      </c>
      <c r="D2023" s="252">
        <f t="shared" si="62"/>
        <v>3.4507175900890807E-3</v>
      </c>
      <c r="F2023" s="440">
        <v>45489</v>
      </c>
      <c r="G2023" s="363">
        <v>1579.3</v>
      </c>
      <c r="H2023" s="252">
        <f t="shared" si="63"/>
        <v>-4.3500189131258082E-3</v>
      </c>
    </row>
    <row r="2024" spans="2:8" x14ac:dyDescent="0.3">
      <c r="B2024" s="440">
        <v>45489</v>
      </c>
      <c r="C2024" s="363">
        <v>24613</v>
      </c>
      <c r="D2024" s="252">
        <f t="shared" si="62"/>
        <v>1.0696840161550369E-3</v>
      </c>
      <c r="F2024" s="440">
        <v>45491</v>
      </c>
      <c r="G2024" s="363">
        <v>1594.25</v>
      </c>
      <c r="H2024" s="252">
        <f t="shared" si="63"/>
        <v>9.4662192110428478E-3</v>
      </c>
    </row>
    <row r="2025" spans="2:8" x14ac:dyDescent="0.3">
      <c r="B2025" s="440">
        <v>45491</v>
      </c>
      <c r="C2025" s="363">
        <v>24800.85</v>
      </c>
      <c r="D2025" s="252">
        <f t="shared" si="62"/>
        <v>7.6321456141064115E-3</v>
      </c>
      <c r="F2025" s="440">
        <v>45492</v>
      </c>
      <c r="G2025" s="363">
        <v>1568.65</v>
      </c>
      <c r="H2025" s="252">
        <f t="shared" si="63"/>
        <v>-1.6057707385918052E-2</v>
      </c>
    </row>
    <row r="2026" spans="2:8" x14ac:dyDescent="0.3">
      <c r="B2026" s="440">
        <v>45492</v>
      </c>
      <c r="C2026" s="363">
        <v>24530.9</v>
      </c>
      <c r="D2026" s="252">
        <f t="shared" si="62"/>
        <v>-1.0884707580586794E-2</v>
      </c>
      <c r="F2026" s="440">
        <v>45495</v>
      </c>
      <c r="G2026" s="363">
        <v>1587.35</v>
      </c>
      <c r="H2026" s="252">
        <f t="shared" si="63"/>
        <v>1.1921078634494542E-2</v>
      </c>
    </row>
    <row r="2027" spans="2:8" x14ac:dyDescent="0.3">
      <c r="B2027" s="440">
        <v>45495</v>
      </c>
      <c r="C2027" s="363">
        <v>24509.25</v>
      </c>
      <c r="D2027" s="252">
        <f t="shared" si="62"/>
        <v>-8.8256036264466875E-4</v>
      </c>
      <c r="F2027" s="440">
        <v>45496</v>
      </c>
      <c r="G2027" s="363">
        <v>1601.6</v>
      </c>
      <c r="H2027" s="252">
        <f t="shared" si="63"/>
        <v>8.9772261946010623E-3</v>
      </c>
    </row>
    <row r="2028" spans="2:8" x14ac:dyDescent="0.3">
      <c r="B2028" s="440">
        <v>45496</v>
      </c>
      <c r="C2028" s="363">
        <v>24479.05</v>
      </c>
      <c r="D2028" s="252">
        <f t="shared" si="62"/>
        <v>-1.2321878474453873E-3</v>
      </c>
      <c r="F2028" s="440">
        <v>45497</v>
      </c>
      <c r="G2028" s="363">
        <v>1619.45</v>
      </c>
      <c r="H2028" s="252">
        <f t="shared" si="63"/>
        <v>1.1145104895105007E-2</v>
      </c>
    </row>
    <row r="2029" spans="2:8" x14ac:dyDescent="0.3">
      <c r="B2029" s="440">
        <v>45497</v>
      </c>
      <c r="C2029" s="363">
        <v>24413.5</v>
      </c>
      <c r="D2029" s="252">
        <f t="shared" si="62"/>
        <v>-2.6777999963233379E-3</v>
      </c>
      <c r="F2029" s="440">
        <v>45498</v>
      </c>
      <c r="G2029" s="363">
        <v>1665.8</v>
      </c>
      <c r="H2029" s="252">
        <f t="shared" si="63"/>
        <v>2.8620828058908865E-2</v>
      </c>
    </row>
    <row r="2030" spans="2:8" x14ac:dyDescent="0.3">
      <c r="B2030" s="440">
        <v>45498</v>
      </c>
      <c r="C2030" s="363">
        <v>24406.1</v>
      </c>
      <c r="D2030" s="252">
        <f t="shared" si="62"/>
        <v>-3.0311098367707956E-4</v>
      </c>
      <c r="F2030" s="440">
        <v>45499</v>
      </c>
      <c r="G2030" s="363">
        <v>1714.25</v>
      </c>
      <c r="H2030" s="252">
        <f t="shared" si="63"/>
        <v>2.9085124264617734E-2</v>
      </c>
    </row>
    <row r="2031" spans="2:8" x14ac:dyDescent="0.3">
      <c r="B2031" s="440">
        <v>45499</v>
      </c>
      <c r="C2031" s="363">
        <v>24834.85</v>
      </c>
      <c r="D2031" s="252">
        <f t="shared" si="62"/>
        <v>1.7567329479105664E-2</v>
      </c>
      <c r="F2031" s="440">
        <v>45502</v>
      </c>
      <c r="G2031" s="363">
        <v>1723.25</v>
      </c>
      <c r="H2031" s="252">
        <f t="shared" si="63"/>
        <v>5.2501093772787666E-3</v>
      </c>
    </row>
    <row r="2032" spans="2:8" x14ac:dyDescent="0.3">
      <c r="B2032" s="440">
        <v>45502</v>
      </c>
      <c r="C2032" s="363">
        <v>24836.1</v>
      </c>
      <c r="D2032" s="252">
        <f t="shared" si="62"/>
        <v>5.0332496471794386E-5</v>
      </c>
      <c r="F2032" s="440">
        <v>45503</v>
      </c>
      <c r="G2032" s="363">
        <v>1701.6</v>
      </c>
      <c r="H2032" s="252">
        <f t="shared" si="63"/>
        <v>-1.256347018714643E-2</v>
      </c>
    </row>
    <row r="2033" spans="2:8" x14ac:dyDescent="0.3">
      <c r="B2033" s="440">
        <v>45503</v>
      </c>
      <c r="C2033" s="363">
        <v>24857.3</v>
      </c>
      <c r="D2033" s="252">
        <f t="shared" si="62"/>
        <v>8.5359617653346653E-4</v>
      </c>
      <c r="F2033" s="440">
        <v>45504</v>
      </c>
      <c r="G2033" s="363">
        <v>1719.35</v>
      </c>
      <c r="H2033" s="252">
        <f t="shared" si="63"/>
        <v>1.0431358721203488E-2</v>
      </c>
    </row>
    <row r="2034" spans="2:8" x14ac:dyDescent="0.3">
      <c r="B2034" s="440">
        <v>45504</v>
      </c>
      <c r="C2034" s="363">
        <v>24951.15</v>
      </c>
      <c r="D2034" s="252">
        <f t="shared" si="62"/>
        <v>3.7755508442189889E-3</v>
      </c>
      <c r="F2034" s="440">
        <v>45505</v>
      </c>
      <c r="G2034" s="363">
        <v>1715.2</v>
      </c>
      <c r="H2034" s="252">
        <f t="shared" si="63"/>
        <v>-2.4137028528221638E-3</v>
      </c>
    </row>
    <row r="2035" spans="2:8" x14ac:dyDescent="0.3">
      <c r="B2035" s="440">
        <v>45505</v>
      </c>
      <c r="C2035" s="363">
        <v>25010.9</v>
      </c>
      <c r="D2035" s="252">
        <f t="shared" si="62"/>
        <v>2.3946792031630526E-3</v>
      </c>
      <c r="F2035" s="440">
        <v>45506</v>
      </c>
      <c r="G2035" s="363">
        <v>1731.65</v>
      </c>
      <c r="H2035" s="252">
        <f t="shared" si="63"/>
        <v>9.5907182835821558E-3</v>
      </c>
    </row>
    <row r="2036" spans="2:8" x14ac:dyDescent="0.3">
      <c r="B2036" s="440">
        <v>45506</v>
      </c>
      <c r="C2036" s="363">
        <v>24717.7</v>
      </c>
      <c r="D2036" s="252">
        <f t="shared" si="62"/>
        <v>-1.1722888820474342E-2</v>
      </c>
      <c r="F2036" s="440">
        <v>45509</v>
      </c>
      <c r="G2036" s="363">
        <v>1720.35</v>
      </c>
      <c r="H2036" s="252">
        <f t="shared" si="63"/>
        <v>-6.5255680997893251E-3</v>
      </c>
    </row>
    <row r="2037" spans="2:8" x14ac:dyDescent="0.3">
      <c r="B2037" s="440">
        <v>45509</v>
      </c>
      <c r="C2037" s="363">
        <v>24055.599999999999</v>
      </c>
      <c r="D2037" s="252">
        <f t="shared" si="62"/>
        <v>-2.6786472851438536E-2</v>
      </c>
      <c r="F2037" s="440">
        <v>45510</v>
      </c>
      <c r="G2037" s="363">
        <v>1707.55</v>
      </c>
      <c r="H2037" s="252">
        <f t="shared" si="63"/>
        <v>-7.4403464411311182E-3</v>
      </c>
    </row>
    <row r="2038" spans="2:8" x14ac:dyDescent="0.3">
      <c r="B2038" s="440">
        <v>45510</v>
      </c>
      <c r="C2038" s="363">
        <v>23992.55</v>
      </c>
      <c r="D2038" s="252">
        <f t="shared" si="62"/>
        <v>-2.6210113237665755E-3</v>
      </c>
      <c r="F2038" s="440">
        <v>45511</v>
      </c>
      <c r="G2038" s="363">
        <v>1734.45</v>
      </c>
      <c r="H2038" s="252">
        <f t="shared" si="63"/>
        <v>1.5753565049339668E-2</v>
      </c>
    </row>
    <row r="2039" spans="2:8" x14ac:dyDescent="0.3">
      <c r="B2039" s="440">
        <v>45511</v>
      </c>
      <c r="C2039" s="363">
        <v>24297.5</v>
      </c>
      <c r="D2039" s="252">
        <f t="shared" si="62"/>
        <v>1.2710195456506312E-2</v>
      </c>
      <c r="F2039" s="440">
        <v>45512</v>
      </c>
      <c r="G2039" s="363">
        <v>1737.05</v>
      </c>
      <c r="H2039" s="252">
        <f t="shared" si="63"/>
        <v>1.4990342759952924E-3</v>
      </c>
    </row>
    <row r="2040" spans="2:8" x14ac:dyDescent="0.3">
      <c r="B2040" s="440">
        <v>45512</v>
      </c>
      <c r="C2040" s="363">
        <v>24117</v>
      </c>
      <c r="D2040" s="252">
        <f t="shared" si="62"/>
        <v>-7.4287478135610652E-3</v>
      </c>
      <c r="F2040" s="440">
        <v>45513</v>
      </c>
      <c r="G2040" s="363">
        <v>1735.3</v>
      </c>
      <c r="H2040" s="252">
        <f t="shared" si="63"/>
        <v>-1.007455168244964E-3</v>
      </c>
    </row>
    <row r="2041" spans="2:8" x14ac:dyDescent="0.3">
      <c r="B2041" s="440">
        <v>45513</v>
      </c>
      <c r="C2041" s="363">
        <v>24367.5</v>
      </c>
      <c r="D2041" s="252">
        <f t="shared" si="62"/>
        <v>1.0386864037815746E-2</v>
      </c>
      <c r="F2041" s="440">
        <v>45516</v>
      </c>
      <c r="G2041" s="363">
        <v>1733.85</v>
      </c>
      <c r="H2041" s="252">
        <f t="shared" si="63"/>
        <v>-8.3559038782921036E-4</v>
      </c>
    </row>
    <row r="2042" spans="2:8" x14ac:dyDescent="0.3">
      <c r="B2042" s="440">
        <v>45516</v>
      </c>
      <c r="C2042" s="363">
        <v>24347</v>
      </c>
      <c r="D2042" s="252">
        <f t="shared" si="62"/>
        <v>-8.4128449779419245E-4</v>
      </c>
      <c r="F2042" s="440">
        <v>45517</v>
      </c>
      <c r="G2042" s="363">
        <v>1740.1</v>
      </c>
      <c r="H2042" s="252">
        <f t="shared" si="63"/>
        <v>3.6046947544481345E-3</v>
      </c>
    </row>
    <row r="2043" spans="2:8" x14ac:dyDescent="0.3">
      <c r="B2043" s="440">
        <v>45517</v>
      </c>
      <c r="C2043" s="363">
        <v>24139</v>
      </c>
      <c r="D2043" s="252">
        <f t="shared" si="62"/>
        <v>-8.5431469996303244E-3</v>
      </c>
      <c r="F2043" s="440">
        <v>45518</v>
      </c>
      <c r="G2043" s="363">
        <v>1741.65</v>
      </c>
      <c r="H2043" s="252">
        <f t="shared" si="63"/>
        <v>8.9075340497690725E-4</v>
      </c>
    </row>
    <row r="2044" spans="2:8" x14ac:dyDescent="0.3">
      <c r="B2044" s="440">
        <v>45518</v>
      </c>
      <c r="C2044" s="363">
        <v>24143.75</v>
      </c>
      <c r="D2044" s="252">
        <f t="shared" si="62"/>
        <v>1.9677699987563635E-4</v>
      </c>
      <c r="F2044" s="440">
        <v>45520</v>
      </c>
      <c r="G2044" s="363">
        <v>1742.75</v>
      </c>
      <c r="H2044" s="252">
        <f t="shared" si="63"/>
        <v>6.3158499124393863E-4</v>
      </c>
    </row>
    <row r="2045" spans="2:8" x14ac:dyDescent="0.3">
      <c r="B2045" s="440">
        <v>45520</v>
      </c>
      <c r="C2045" s="363">
        <v>24541.15</v>
      </c>
      <c r="D2045" s="252">
        <f t="shared" si="62"/>
        <v>1.6459746311157097E-2</v>
      </c>
      <c r="F2045" s="440">
        <v>45523</v>
      </c>
      <c r="G2045" s="363">
        <v>1747.8</v>
      </c>
      <c r="H2045" s="252">
        <f t="shared" si="63"/>
        <v>2.897719122077147E-3</v>
      </c>
    </row>
    <row r="2046" spans="2:8" x14ac:dyDescent="0.3">
      <c r="B2046" s="440">
        <v>45523</v>
      </c>
      <c r="C2046" s="363">
        <v>24572.65</v>
      </c>
      <c r="D2046" s="252">
        <f t="shared" si="62"/>
        <v>1.283558431450782E-3</v>
      </c>
      <c r="F2046" s="440">
        <v>45524</v>
      </c>
      <c r="G2046" s="363">
        <v>1766.35</v>
      </c>
      <c r="H2046" s="252">
        <f t="shared" si="63"/>
        <v>1.0613342487698851E-2</v>
      </c>
    </row>
    <row r="2047" spans="2:8" x14ac:dyDescent="0.3">
      <c r="B2047" s="440">
        <v>45524</v>
      </c>
      <c r="C2047" s="363">
        <v>24698.85</v>
      </c>
      <c r="D2047" s="252">
        <f t="shared" si="62"/>
        <v>5.1357912150296059E-3</v>
      </c>
      <c r="F2047" s="440">
        <v>45525</v>
      </c>
      <c r="G2047" s="363">
        <v>1764.65</v>
      </c>
      <c r="H2047" s="252">
        <f t="shared" si="63"/>
        <v>-9.6243666317541443E-4</v>
      </c>
    </row>
    <row r="2048" spans="2:8" x14ac:dyDescent="0.3">
      <c r="B2048" s="440">
        <v>45525</v>
      </c>
      <c r="C2048" s="363">
        <v>24770.2</v>
      </c>
      <c r="D2048" s="252">
        <f t="shared" si="62"/>
        <v>2.888798466325504E-3</v>
      </c>
      <c r="F2048" s="440">
        <v>45526</v>
      </c>
      <c r="G2048" s="363">
        <v>1750.65</v>
      </c>
      <c r="H2048" s="252">
        <f t="shared" si="63"/>
        <v>-7.9335845635112312E-3</v>
      </c>
    </row>
    <row r="2049" spans="2:8" x14ac:dyDescent="0.3">
      <c r="B2049" s="440">
        <v>45526</v>
      </c>
      <c r="C2049" s="363">
        <v>24811.5</v>
      </c>
      <c r="D2049" s="252">
        <f t="shared" si="62"/>
        <v>1.6673260611541618E-3</v>
      </c>
      <c r="F2049" s="440">
        <v>45527</v>
      </c>
      <c r="G2049" s="363">
        <v>1775.75</v>
      </c>
      <c r="H2049" s="252">
        <f t="shared" si="63"/>
        <v>1.4337531773912504E-2</v>
      </c>
    </row>
    <row r="2050" spans="2:8" x14ac:dyDescent="0.3">
      <c r="B2050" s="440">
        <v>45527</v>
      </c>
      <c r="C2050" s="363">
        <v>24823.15</v>
      </c>
      <c r="D2050" s="252">
        <f t="shared" si="62"/>
        <v>4.6954033411927831E-4</v>
      </c>
      <c r="F2050" s="440">
        <v>45530</v>
      </c>
      <c r="G2050" s="363">
        <v>1772.45</v>
      </c>
      <c r="H2050" s="252">
        <f t="shared" si="63"/>
        <v>-1.8583697029423973E-3</v>
      </c>
    </row>
    <row r="2051" spans="2:8" x14ac:dyDescent="0.3">
      <c r="B2051" s="440">
        <v>45530</v>
      </c>
      <c r="C2051" s="363">
        <v>25010.6</v>
      </c>
      <c r="D2051" s="252">
        <f t="shared" si="62"/>
        <v>7.5514187361394036E-3</v>
      </c>
      <c r="F2051" s="440">
        <v>45531</v>
      </c>
      <c r="G2051" s="363">
        <v>1789.4</v>
      </c>
      <c r="H2051" s="252">
        <f t="shared" si="63"/>
        <v>9.5630342181725059E-3</v>
      </c>
    </row>
    <row r="2052" spans="2:8" x14ac:dyDescent="0.3">
      <c r="B2052" s="440">
        <v>45531</v>
      </c>
      <c r="C2052" s="363">
        <v>25017.75</v>
      </c>
      <c r="D2052" s="252">
        <f t="shared" si="62"/>
        <v>2.8587878739427808E-4</v>
      </c>
      <c r="F2052" s="440">
        <v>45532</v>
      </c>
      <c r="G2052" s="363">
        <v>1811.85</v>
      </c>
      <c r="H2052" s="252">
        <f t="shared" si="63"/>
        <v>1.2546104839610939E-2</v>
      </c>
    </row>
    <row r="2053" spans="2:8" x14ac:dyDescent="0.3">
      <c r="B2053" s="440">
        <v>45532</v>
      </c>
      <c r="C2053" s="363">
        <v>25052.35</v>
      </c>
      <c r="D2053" s="252">
        <f t="shared" si="62"/>
        <v>1.3830180571794415E-3</v>
      </c>
      <c r="F2053" s="440">
        <v>45533</v>
      </c>
      <c r="G2053" s="363">
        <v>1799.2</v>
      </c>
      <c r="H2053" s="252">
        <f t="shared" si="63"/>
        <v>-6.9818141678393841E-3</v>
      </c>
    </row>
    <row r="2054" spans="2:8" x14ac:dyDescent="0.3">
      <c r="B2054" s="440">
        <v>45533</v>
      </c>
      <c r="C2054" s="363">
        <v>25151.95</v>
      </c>
      <c r="D2054" s="252">
        <f t="shared" si="62"/>
        <v>3.975674936682605E-3</v>
      </c>
      <c r="F2054" s="440">
        <v>45534</v>
      </c>
      <c r="G2054" s="363">
        <v>1821.65</v>
      </c>
      <c r="H2054" s="252">
        <f t="shared" si="63"/>
        <v>1.2477767896843073E-2</v>
      </c>
    </row>
    <row r="2055" spans="2:8" x14ac:dyDescent="0.3">
      <c r="B2055" s="440">
        <v>45534</v>
      </c>
      <c r="C2055" s="363">
        <v>25235.9</v>
      </c>
      <c r="D2055" s="252">
        <f t="shared" si="62"/>
        <v>3.3377133780880808E-3</v>
      </c>
      <c r="F2055" s="440">
        <v>45537</v>
      </c>
      <c r="G2055" s="363">
        <v>1815.95</v>
      </c>
      <c r="H2055" s="252">
        <f t="shared" si="63"/>
        <v>-3.1290313726566321E-3</v>
      </c>
    </row>
    <row r="2056" spans="2:8" x14ac:dyDescent="0.3">
      <c r="B2056" s="440">
        <v>45537</v>
      </c>
      <c r="C2056" s="363">
        <v>25278.7</v>
      </c>
      <c r="D2056" s="252">
        <f t="shared" si="62"/>
        <v>1.6959965763059248E-3</v>
      </c>
      <c r="F2056" s="440">
        <v>45538</v>
      </c>
      <c r="G2056" s="363">
        <v>1811.5</v>
      </c>
      <c r="H2056" s="252">
        <f t="shared" si="63"/>
        <v>-2.4505079985682743E-3</v>
      </c>
    </row>
    <row r="2057" spans="2:8" x14ac:dyDescent="0.3">
      <c r="B2057" s="440">
        <v>45538</v>
      </c>
      <c r="C2057" s="363">
        <v>25279.85</v>
      </c>
      <c r="D2057" s="252">
        <f t="shared" si="62"/>
        <v>4.5492845755390476E-5</v>
      </c>
      <c r="F2057" s="440">
        <v>45539</v>
      </c>
      <c r="G2057" s="363">
        <v>1832.85</v>
      </c>
      <c r="H2057" s="252">
        <f t="shared" si="63"/>
        <v>1.1785812862268763E-2</v>
      </c>
    </row>
    <row r="2058" spans="2:8" x14ac:dyDescent="0.3">
      <c r="B2058" s="440">
        <v>45539</v>
      </c>
      <c r="C2058" s="363">
        <v>25198.7</v>
      </c>
      <c r="D2058" s="252">
        <f t="shared" si="62"/>
        <v>-3.2100665154262131E-3</v>
      </c>
      <c r="F2058" s="440">
        <v>45540</v>
      </c>
      <c r="G2058" s="363">
        <v>1826.5</v>
      </c>
      <c r="H2058" s="252">
        <f t="shared" si="63"/>
        <v>-3.4645497449327101E-3</v>
      </c>
    </row>
    <row r="2059" spans="2:8" x14ac:dyDescent="0.3">
      <c r="B2059" s="440">
        <v>45540</v>
      </c>
      <c r="C2059" s="363">
        <v>25145.1</v>
      </c>
      <c r="D2059" s="252">
        <f t="shared" ref="D2059:D2122" si="64">C2059/C2058-1</f>
        <v>-2.127093858016571E-3</v>
      </c>
      <c r="F2059" s="440">
        <v>45541</v>
      </c>
      <c r="G2059" s="363">
        <v>1824.55</v>
      </c>
      <c r="H2059" s="252">
        <f t="shared" ref="H2059:H2122" si="65">G2059/G2058-1</f>
        <v>-1.067615658362997E-3</v>
      </c>
    </row>
    <row r="2060" spans="2:8" x14ac:dyDescent="0.3">
      <c r="B2060" s="440">
        <v>45541</v>
      </c>
      <c r="C2060" s="363">
        <v>24852.15</v>
      </c>
      <c r="D2060" s="252">
        <f t="shared" si="64"/>
        <v>-1.16503811875871E-2</v>
      </c>
      <c r="F2060" s="440">
        <v>45544</v>
      </c>
      <c r="G2060" s="363">
        <v>1821.85</v>
      </c>
      <c r="H2060" s="252">
        <f t="shared" si="65"/>
        <v>-1.4798169411636142E-3</v>
      </c>
    </row>
    <row r="2061" spans="2:8" x14ac:dyDescent="0.3">
      <c r="B2061" s="440">
        <v>45544</v>
      </c>
      <c r="C2061" s="363">
        <v>24936.400000000001</v>
      </c>
      <c r="D2061" s="252">
        <f t="shared" si="64"/>
        <v>3.3900487482974029E-3</v>
      </c>
      <c r="F2061" s="440">
        <v>45545</v>
      </c>
      <c r="G2061" s="363">
        <v>1836.35</v>
      </c>
      <c r="H2061" s="252">
        <f t="shared" si="65"/>
        <v>7.9589428328348255E-3</v>
      </c>
    </row>
    <row r="2062" spans="2:8" x14ac:dyDescent="0.3">
      <c r="B2062" s="440">
        <v>45545</v>
      </c>
      <c r="C2062" s="363">
        <v>25041.1</v>
      </c>
      <c r="D2062" s="252">
        <f t="shared" si="64"/>
        <v>4.1986814455974297E-3</v>
      </c>
      <c r="F2062" s="440">
        <v>45546</v>
      </c>
      <c r="G2062" s="363">
        <v>1845.7</v>
      </c>
      <c r="H2062" s="252">
        <f t="shared" si="65"/>
        <v>5.0916219674899121E-3</v>
      </c>
    </row>
    <row r="2063" spans="2:8" x14ac:dyDescent="0.3">
      <c r="B2063" s="440">
        <v>45546</v>
      </c>
      <c r="C2063" s="363">
        <v>24918.45</v>
      </c>
      <c r="D2063" s="252">
        <f t="shared" si="64"/>
        <v>-4.8979477738596566E-3</v>
      </c>
      <c r="F2063" s="440">
        <v>45547</v>
      </c>
      <c r="G2063" s="363">
        <v>1865.4</v>
      </c>
      <c r="H2063" s="252">
        <f t="shared" si="65"/>
        <v>1.0673457224901206E-2</v>
      </c>
    </row>
    <row r="2064" spans="2:8" x14ac:dyDescent="0.3">
      <c r="B2064" s="440">
        <v>45547</v>
      </c>
      <c r="C2064" s="363">
        <v>25388.9</v>
      </c>
      <c r="D2064" s="252">
        <f t="shared" si="64"/>
        <v>1.8879585206944993E-2</v>
      </c>
      <c r="F2064" s="440">
        <v>45548</v>
      </c>
      <c r="G2064" s="363">
        <v>1853.75</v>
      </c>
      <c r="H2064" s="252">
        <f t="shared" si="65"/>
        <v>-6.2453093170365959E-3</v>
      </c>
    </row>
    <row r="2065" spans="2:8" x14ac:dyDescent="0.3">
      <c r="B2065" s="440">
        <v>45548</v>
      </c>
      <c r="C2065" s="363">
        <v>25356.5</v>
      </c>
      <c r="D2065" s="252">
        <f t="shared" si="64"/>
        <v>-1.276148238009589E-3</v>
      </c>
      <c r="F2065" s="440">
        <v>45551</v>
      </c>
      <c r="G2065" s="363">
        <v>1862.95</v>
      </c>
      <c r="H2065" s="252">
        <f t="shared" si="65"/>
        <v>4.9629130141604083E-3</v>
      </c>
    </row>
    <row r="2066" spans="2:8" x14ac:dyDescent="0.3">
      <c r="B2066" s="440">
        <v>45551</v>
      </c>
      <c r="C2066" s="363">
        <v>25383.75</v>
      </c>
      <c r="D2066" s="252">
        <f t="shared" si="64"/>
        <v>1.0746751326089488E-3</v>
      </c>
      <c r="F2066" s="440">
        <v>45552</v>
      </c>
      <c r="G2066" s="363">
        <v>1866.1</v>
      </c>
      <c r="H2066" s="252">
        <f t="shared" si="65"/>
        <v>1.6908666362489555E-3</v>
      </c>
    </row>
    <row r="2067" spans="2:8" x14ac:dyDescent="0.3">
      <c r="B2067" s="440">
        <v>45552</v>
      </c>
      <c r="C2067" s="363">
        <v>25418.55</v>
      </c>
      <c r="D2067" s="252">
        <f t="shared" si="64"/>
        <v>1.3709558280394774E-3</v>
      </c>
      <c r="F2067" s="440">
        <v>45553</v>
      </c>
      <c r="G2067" s="363">
        <v>1836</v>
      </c>
      <c r="H2067" s="252">
        <f t="shared" si="65"/>
        <v>-1.612989657574615E-2</v>
      </c>
    </row>
    <row r="2068" spans="2:8" x14ac:dyDescent="0.3">
      <c r="B2068" s="440">
        <v>45553</v>
      </c>
      <c r="C2068" s="363">
        <v>25377.55</v>
      </c>
      <c r="D2068" s="252">
        <f t="shared" si="64"/>
        <v>-1.6129952337957665E-3</v>
      </c>
      <c r="F2068" s="440">
        <v>45554</v>
      </c>
      <c r="G2068" s="363">
        <v>1846.05</v>
      </c>
      <c r="H2068" s="252">
        <f t="shared" si="65"/>
        <v>5.4738562091503074E-3</v>
      </c>
    </row>
    <row r="2069" spans="2:8" x14ac:dyDescent="0.3">
      <c r="B2069" s="440">
        <v>45554</v>
      </c>
      <c r="C2069" s="363">
        <v>25415.8</v>
      </c>
      <c r="D2069" s="252">
        <f t="shared" si="64"/>
        <v>1.5072376963103373E-3</v>
      </c>
      <c r="F2069" s="440">
        <v>45555</v>
      </c>
      <c r="G2069" s="363">
        <v>1865.75</v>
      </c>
      <c r="H2069" s="252">
        <f t="shared" si="65"/>
        <v>1.067143360147349E-2</v>
      </c>
    </row>
    <row r="2070" spans="2:8" x14ac:dyDescent="0.3">
      <c r="B2070" s="440">
        <v>45555</v>
      </c>
      <c r="C2070" s="363">
        <v>25790.95</v>
      </c>
      <c r="D2070" s="252">
        <f t="shared" si="64"/>
        <v>1.4760503308965278E-2</v>
      </c>
      <c r="F2070" s="440">
        <v>45558</v>
      </c>
      <c r="G2070" s="363">
        <v>1862.7</v>
      </c>
      <c r="H2070" s="252">
        <f t="shared" si="65"/>
        <v>-1.6347313412836684E-3</v>
      </c>
    </row>
    <row r="2071" spans="2:8" x14ac:dyDescent="0.3">
      <c r="B2071" s="440">
        <v>45558</v>
      </c>
      <c r="C2071" s="363">
        <v>25939.05</v>
      </c>
      <c r="D2071" s="252">
        <f t="shared" si="64"/>
        <v>5.7423243424534753E-3</v>
      </c>
      <c r="F2071" s="440">
        <v>45559</v>
      </c>
      <c r="G2071" s="363">
        <v>1868.1</v>
      </c>
      <c r="H2071" s="252">
        <f t="shared" si="65"/>
        <v>2.8990175551617536E-3</v>
      </c>
    </row>
    <row r="2072" spans="2:8" x14ac:dyDescent="0.3">
      <c r="B2072" s="440">
        <v>45559</v>
      </c>
      <c r="C2072" s="363">
        <v>25940.400000000001</v>
      </c>
      <c r="D2072" s="252">
        <f t="shared" si="64"/>
        <v>5.2045082607143911E-5</v>
      </c>
      <c r="F2072" s="440">
        <v>45560</v>
      </c>
      <c r="G2072" s="363">
        <v>1870.55</v>
      </c>
      <c r="H2072" s="252">
        <f t="shared" si="65"/>
        <v>1.3114929607622727E-3</v>
      </c>
    </row>
    <row r="2073" spans="2:8" x14ac:dyDescent="0.3">
      <c r="B2073" s="440">
        <v>45560</v>
      </c>
      <c r="C2073" s="363">
        <v>26004.15</v>
      </c>
      <c r="D2073" s="252">
        <f t="shared" si="64"/>
        <v>2.4575565527131804E-3</v>
      </c>
      <c r="F2073" s="440">
        <v>45561</v>
      </c>
      <c r="G2073" s="363">
        <v>1898.4</v>
      </c>
      <c r="H2073" s="252">
        <f t="shared" si="65"/>
        <v>1.4888669108016339E-2</v>
      </c>
    </row>
    <row r="2074" spans="2:8" x14ac:dyDescent="0.3">
      <c r="B2074" s="440">
        <v>45561</v>
      </c>
      <c r="C2074" s="363">
        <v>26216.05</v>
      </c>
      <c r="D2074" s="252">
        <f t="shared" si="64"/>
        <v>8.1486993422204002E-3</v>
      </c>
      <c r="F2074" s="440">
        <v>45562</v>
      </c>
      <c r="G2074" s="363">
        <v>1948.7</v>
      </c>
      <c r="H2074" s="252">
        <f t="shared" si="65"/>
        <v>2.6495996628739915E-2</v>
      </c>
    </row>
    <row r="2075" spans="2:8" x14ac:dyDescent="0.3">
      <c r="B2075" s="440">
        <v>45562</v>
      </c>
      <c r="C2075" s="363">
        <v>26178.95</v>
      </c>
      <c r="D2075" s="252">
        <f t="shared" si="64"/>
        <v>-1.4151636116043198E-3</v>
      </c>
      <c r="F2075" s="440">
        <v>45565</v>
      </c>
      <c r="G2075" s="363">
        <v>1926.7</v>
      </c>
      <c r="H2075" s="252">
        <f t="shared" si="65"/>
        <v>-1.1289577667162765E-2</v>
      </c>
    </row>
    <row r="2076" spans="2:8" x14ac:dyDescent="0.3">
      <c r="B2076" s="440">
        <v>45565</v>
      </c>
      <c r="C2076" s="363">
        <v>25810.85</v>
      </c>
      <c r="D2076" s="252">
        <f t="shared" si="64"/>
        <v>-1.4060915353747983E-2</v>
      </c>
      <c r="F2076" s="440">
        <v>45566</v>
      </c>
      <c r="G2076" s="363">
        <v>1919.95</v>
      </c>
      <c r="H2076" s="252">
        <f t="shared" si="65"/>
        <v>-3.5033995951626595E-3</v>
      </c>
    </row>
    <row r="2077" spans="2:8" x14ac:dyDescent="0.3">
      <c r="B2077" s="440">
        <v>45566</v>
      </c>
      <c r="C2077" s="363">
        <v>25796.9</v>
      </c>
      <c r="D2077" s="252">
        <f t="shared" si="64"/>
        <v>-5.4047038357885047E-4</v>
      </c>
      <c r="F2077" s="440">
        <v>45568</v>
      </c>
      <c r="G2077" s="363">
        <v>1910.85</v>
      </c>
      <c r="H2077" s="252">
        <f t="shared" si="65"/>
        <v>-4.7397067631970158E-3</v>
      </c>
    </row>
    <row r="2078" spans="2:8" x14ac:dyDescent="0.3">
      <c r="B2078" s="440">
        <v>45568</v>
      </c>
      <c r="C2078" s="363">
        <v>25250.1</v>
      </c>
      <c r="D2078" s="252">
        <f t="shared" si="64"/>
        <v>-2.1196345297303298E-2</v>
      </c>
      <c r="F2078" s="440">
        <v>45569</v>
      </c>
      <c r="G2078" s="363">
        <v>1910.05</v>
      </c>
      <c r="H2078" s="252">
        <f t="shared" si="65"/>
        <v>-4.1866185205530204E-4</v>
      </c>
    </row>
    <row r="2079" spans="2:8" x14ac:dyDescent="0.3">
      <c r="B2079" s="440">
        <v>45569</v>
      </c>
      <c r="C2079" s="363">
        <v>25014.6</v>
      </c>
      <c r="D2079" s="252">
        <f t="shared" si="64"/>
        <v>-9.3266957358584257E-3</v>
      </c>
      <c r="F2079" s="440">
        <v>45572</v>
      </c>
      <c r="G2079" s="363">
        <v>1905.25</v>
      </c>
      <c r="H2079" s="252">
        <f t="shared" si="65"/>
        <v>-2.5130232192874802E-3</v>
      </c>
    </row>
    <row r="2080" spans="2:8" x14ac:dyDescent="0.3">
      <c r="B2080" s="440">
        <v>45572</v>
      </c>
      <c r="C2080" s="363">
        <v>24795.75</v>
      </c>
      <c r="D2080" s="252">
        <f t="shared" si="64"/>
        <v>-8.7488906478615514E-3</v>
      </c>
      <c r="F2080" s="440">
        <v>45573</v>
      </c>
      <c r="G2080" s="363">
        <v>1917.15</v>
      </c>
      <c r="H2080" s="252">
        <f t="shared" si="65"/>
        <v>6.2458994882561569E-3</v>
      </c>
    </row>
    <row r="2081" spans="2:8" x14ac:dyDescent="0.3">
      <c r="B2081" s="440">
        <v>45573</v>
      </c>
      <c r="C2081" s="363">
        <v>25013.15</v>
      </c>
      <c r="D2081" s="252">
        <f t="shared" si="64"/>
        <v>8.7676315497615676E-3</v>
      </c>
      <c r="F2081" s="440">
        <v>45574</v>
      </c>
      <c r="G2081" s="363">
        <v>1930.85</v>
      </c>
      <c r="H2081" s="252">
        <f t="shared" si="65"/>
        <v>7.1460240461100888E-3</v>
      </c>
    </row>
    <row r="2082" spans="2:8" x14ac:dyDescent="0.3">
      <c r="B2082" s="440">
        <v>45574</v>
      </c>
      <c r="C2082" s="363">
        <v>24981.95</v>
      </c>
      <c r="D2082" s="252">
        <f t="shared" si="64"/>
        <v>-1.2473438971101203E-3</v>
      </c>
      <c r="F2082" s="440">
        <v>45575</v>
      </c>
      <c r="G2082" s="363">
        <v>1887.75</v>
      </c>
      <c r="H2082" s="252">
        <f t="shared" si="65"/>
        <v>-2.2321775383898235E-2</v>
      </c>
    </row>
    <row r="2083" spans="2:8" x14ac:dyDescent="0.3">
      <c r="B2083" s="440">
        <v>45575</v>
      </c>
      <c r="C2083" s="363">
        <v>24998.45</v>
      </c>
      <c r="D2083" s="252">
        <f t="shared" si="64"/>
        <v>6.6047686429593355E-4</v>
      </c>
      <c r="F2083" s="440">
        <v>45576</v>
      </c>
      <c r="G2083" s="363">
        <v>1901.95</v>
      </c>
      <c r="H2083" s="252">
        <f t="shared" si="65"/>
        <v>7.5221824923852321E-3</v>
      </c>
    </row>
    <row r="2084" spans="2:8" x14ac:dyDescent="0.3">
      <c r="B2084" s="440">
        <v>45576</v>
      </c>
      <c r="C2084" s="363">
        <v>24964.25</v>
      </c>
      <c r="D2084" s="252">
        <f t="shared" si="64"/>
        <v>-1.3680848212589414E-3</v>
      </c>
      <c r="F2084" s="440">
        <v>45579</v>
      </c>
      <c r="G2084" s="363">
        <v>1909.75</v>
      </c>
      <c r="H2084" s="252">
        <f t="shared" si="65"/>
        <v>4.1010541812349643E-3</v>
      </c>
    </row>
    <row r="2085" spans="2:8" x14ac:dyDescent="0.3">
      <c r="B2085" s="440">
        <v>45579</v>
      </c>
      <c r="C2085" s="363">
        <v>25127.95</v>
      </c>
      <c r="D2085" s="252">
        <f t="shared" si="64"/>
        <v>6.5573770491802463E-3</v>
      </c>
      <c r="F2085" s="440">
        <v>45580</v>
      </c>
      <c r="G2085" s="363">
        <v>1898.45</v>
      </c>
      <c r="H2085" s="252">
        <f t="shared" si="65"/>
        <v>-5.9170048435659428E-3</v>
      </c>
    </row>
    <row r="2086" spans="2:8" x14ac:dyDescent="0.3">
      <c r="B2086" s="440">
        <v>45580</v>
      </c>
      <c r="C2086" s="363">
        <v>25057.35</v>
      </c>
      <c r="D2086" s="252">
        <f t="shared" si="64"/>
        <v>-2.809620362982379E-3</v>
      </c>
      <c r="F2086" s="440">
        <v>45581</v>
      </c>
      <c r="G2086" s="363">
        <v>1898.5</v>
      </c>
      <c r="H2086" s="252">
        <f t="shared" si="65"/>
        <v>2.6337275145449368E-5</v>
      </c>
    </row>
    <row r="2087" spans="2:8" x14ac:dyDescent="0.3">
      <c r="B2087" s="440">
        <v>45581</v>
      </c>
      <c r="C2087" s="363">
        <v>24971.3</v>
      </c>
      <c r="D2087" s="252">
        <f t="shared" si="64"/>
        <v>-3.4341221238478603E-3</v>
      </c>
      <c r="F2087" s="440">
        <v>45582</v>
      </c>
      <c r="G2087" s="363">
        <v>1889.55</v>
      </c>
      <c r="H2087" s="252">
        <f t="shared" si="65"/>
        <v>-4.714248090597839E-3</v>
      </c>
    </row>
    <row r="2088" spans="2:8" x14ac:dyDescent="0.3">
      <c r="B2088" s="440">
        <v>45582</v>
      </c>
      <c r="C2088" s="363">
        <v>24749.85</v>
      </c>
      <c r="D2088" s="252">
        <f t="shared" si="64"/>
        <v>-8.8681806714108191E-3</v>
      </c>
      <c r="F2088" s="440">
        <v>45583</v>
      </c>
      <c r="G2088" s="363">
        <v>1910.35</v>
      </c>
      <c r="H2088" s="252">
        <f t="shared" si="65"/>
        <v>1.1007911936704584E-2</v>
      </c>
    </row>
    <row r="2089" spans="2:8" x14ac:dyDescent="0.3">
      <c r="B2089" s="440">
        <v>45583</v>
      </c>
      <c r="C2089" s="363">
        <v>24854.05</v>
      </c>
      <c r="D2089" s="252">
        <f t="shared" si="64"/>
        <v>4.2101265260194864E-3</v>
      </c>
      <c r="F2089" s="440">
        <v>45586</v>
      </c>
      <c r="G2089" s="363">
        <v>1897</v>
      </c>
      <c r="H2089" s="252">
        <f t="shared" si="65"/>
        <v>-6.9882482267646928E-3</v>
      </c>
    </row>
    <row r="2090" spans="2:8" x14ac:dyDescent="0.3">
      <c r="B2090" s="440">
        <v>45586</v>
      </c>
      <c r="C2090" s="363">
        <v>24781.1</v>
      </c>
      <c r="D2090" s="252">
        <f t="shared" si="64"/>
        <v>-2.9351353199982277E-3</v>
      </c>
      <c r="F2090" s="440">
        <v>45587</v>
      </c>
      <c r="G2090" s="363">
        <v>1887.55</v>
      </c>
      <c r="H2090" s="252">
        <f t="shared" si="65"/>
        <v>-4.981549815498143E-3</v>
      </c>
    </row>
    <row r="2091" spans="2:8" x14ac:dyDescent="0.3">
      <c r="B2091" s="440">
        <v>45587</v>
      </c>
      <c r="C2091" s="363">
        <v>24472.1</v>
      </c>
      <c r="D2091" s="252">
        <f t="shared" si="64"/>
        <v>-1.2469180141317371E-2</v>
      </c>
      <c r="F2091" s="440">
        <v>45588</v>
      </c>
      <c r="G2091" s="363">
        <v>1839.35</v>
      </c>
      <c r="H2091" s="252">
        <f t="shared" si="65"/>
        <v>-2.5535747397419928E-2</v>
      </c>
    </row>
    <row r="2092" spans="2:8" x14ac:dyDescent="0.3">
      <c r="B2092" s="440">
        <v>45588</v>
      </c>
      <c r="C2092" s="363">
        <v>24435.5</v>
      </c>
      <c r="D2092" s="252">
        <f t="shared" si="64"/>
        <v>-1.4955806816742134E-3</v>
      </c>
      <c r="F2092" s="440">
        <v>45589</v>
      </c>
      <c r="G2092" s="363">
        <v>1848.9</v>
      </c>
      <c r="H2092" s="252">
        <f t="shared" si="65"/>
        <v>5.1920515399461742E-3</v>
      </c>
    </row>
    <row r="2093" spans="2:8" x14ac:dyDescent="0.3">
      <c r="B2093" s="440">
        <v>45589</v>
      </c>
      <c r="C2093" s="363">
        <v>24399.4</v>
      </c>
      <c r="D2093" s="252">
        <f t="shared" si="64"/>
        <v>-1.4773587608192251E-3</v>
      </c>
      <c r="F2093" s="440">
        <v>45590</v>
      </c>
      <c r="G2093" s="363">
        <v>1860.4</v>
      </c>
      <c r="H2093" s="252">
        <f t="shared" si="65"/>
        <v>6.2199145437826786E-3</v>
      </c>
    </row>
    <row r="2094" spans="2:8" x14ac:dyDescent="0.3">
      <c r="B2094" s="440">
        <v>45590</v>
      </c>
      <c r="C2094" s="363">
        <v>24180.799999999999</v>
      </c>
      <c r="D2094" s="252">
        <f t="shared" si="64"/>
        <v>-8.9592367025419506E-3</v>
      </c>
      <c r="F2094" s="440">
        <v>45593</v>
      </c>
      <c r="G2094" s="363">
        <v>1902.9</v>
      </c>
      <c r="H2094" s="252">
        <f t="shared" si="65"/>
        <v>2.284454955923465E-2</v>
      </c>
    </row>
    <row r="2095" spans="2:8" x14ac:dyDescent="0.3">
      <c r="B2095" s="440">
        <v>45593</v>
      </c>
      <c r="C2095" s="363">
        <v>24339.15</v>
      </c>
      <c r="D2095" s="252">
        <f t="shared" si="64"/>
        <v>6.5485840005294893E-3</v>
      </c>
      <c r="F2095" s="440">
        <v>45594</v>
      </c>
      <c r="G2095" s="363">
        <v>1871.6</v>
      </c>
      <c r="H2095" s="252">
        <f t="shared" si="65"/>
        <v>-1.6448578485469656E-2</v>
      </c>
    </row>
    <row r="2096" spans="2:8" x14ac:dyDescent="0.3">
      <c r="B2096" s="440">
        <v>45594</v>
      </c>
      <c r="C2096" s="363">
        <v>24466.85</v>
      </c>
      <c r="D2096" s="252">
        <f t="shared" si="64"/>
        <v>5.2466910307056303E-3</v>
      </c>
      <c r="F2096" s="440">
        <v>45595</v>
      </c>
      <c r="G2096" s="363">
        <v>1852.1</v>
      </c>
      <c r="H2096" s="252">
        <f t="shared" si="65"/>
        <v>-1.0418892925838863E-2</v>
      </c>
    </row>
    <row r="2097" spans="2:8" x14ac:dyDescent="0.3">
      <c r="B2097" s="440">
        <v>45595</v>
      </c>
      <c r="C2097" s="363">
        <v>24340.85</v>
      </c>
      <c r="D2097" s="252">
        <f t="shared" si="64"/>
        <v>-5.1498251716097787E-3</v>
      </c>
      <c r="F2097" s="440">
        <v>45596</v>
      </c>
      <c r="G2097" s="363">
        <v>1848.9</v>
      </c>
      <c r="H2097" s="252">
        <f t="shared" si="65"/>
        <v>-1.7277684790236725E-3</v>
      </c>
    </row>
    <row r="2098" spans="2:8" x14ac:dyDescent="0.3">
      <c r="B2098" s="440">
        <v>45596</v>
      </c>
      <c r="C2098" s="363">
        <v>24205.35</v>
      </c>
      <c r="D2098" s="252">
        <f t="shared" si="64"/>
        <v>-5.5667735514577377E-3</v>
      </c>
      <c r="F2098" s="440">
        <v>45597</v>
      </c>
      <c r="G2098" s="363">
        <v>1858.4</v>
      </c>
      <c r="H2098" s="252">
        <f t="shared" si="65"/>
        <v>5.1381902752987152E-3</v>
      </c>
    </row>
    <row r="2099" spans="2:8" x14ac:dyDescent="0.3">
      <c r="B2099" s="440">
        <v>45597</v>
      </c>
      <c r="C2099" s="363">
        <v>24304.35</v>
      </c>
      <c r="D2099" s="252">
        <f t="shared" si="64"/>
        <v>4.0900048956118429E-3</v>
      </c>
      <c r="F2099" s="440">
        <v>45600</v>
      </c>
      <c r="G2099" s="363">
        <v>1808.9</v>
      </c>
      <c r="H2099" s="252">
        <f t="shared" si="65"/>
        <v>-2.6635815755488568E-2</v>
      </c>
    </row>
    <row r="2100" spans="2:8" x14ac:dyDescent="0.3">
      <c r="B2100" s="440">
        <v>45600</v>
      </c>
      <c r="C2100" s="363">
        <v>23995.35</v>
      </c>
      <c r="D2100" s="252">
        <f t="shared" si="64"/>
        <v>-1.2713773460306443E-2</v>
      </c>
      <c r="F2100" s="440">
        <v>45601</v>
      </c>
      <c r="G2100" s="363">
        <v>1803.6</v>
      </c>
      <c r="H2100" s="252">
        <f t="shared" si="65"/>
        <v>-2.9299574326939748E-3</v>
      </c>
    </row>
    <row r="2101" spans="2:8" x14ac:dyDescent="0.3">
      <c r="B2101" s="440">
        <v>45601</v>
      </c>
      <c r="C2101" s="363">
        <v>24213.3</v>
      </c>
      <c r="D2101" s="252">
        <f t="shared" si="64"/>
        <v>9.0830098331551312E-3</v>
      </c>
      <c r="F2101" s="440">
        <v>45602</v>
      </c>
      <c r="G2101" s="363">
        <v>1827.45</v>
      </c>
      <c r="H2101" s="252">
        <f t="shared" si="65"/>
        <v>1.3223552894211732E-2</v>
      </c>
    </row>
    <row r="2102" spans="2:8" x14ac:dyDescent="0.3">
      <c r="B2102" s="440">
        <v>45602</v>
      </c>
      <c r="C2102" s="363">
        <v>24484.05</v>
      </c>
      <c r="D2102" s="252">
        <f t="shared" si="64"/>
        <v>1.1181871120417242E-2</v>
      </c>
      <c r="F2102" s="440">
        <v>45603</v>
      </c>
      <c r="G2102" s="363">
        <v>1790.95</v>
      </c>
      <c r="H2102" s="252">
        <f t="shared" si="65"/>
        <v>-1.9973186680894095E-2</v>
      </c>
    </row>
    <row r="2103" spans="2:8" x14ac:dyDescent="0.3">
      <c r="B2103" s="440">
        <v>45603</v>
      </c>
      <c r="C2103" s="363">
        <v>24199.35</v>
      </c>
      <c r="D2103" s="252">
        <f t="shared" si="64"/>
        <v>-1.1627978214388546E-2</v>
      </c>
      <c r="F2103" s="440">
        <v>45604</v>
      </c>
      <c r="G2103" s="363">
        <v>1809.6</v>
      </c>
      <c r="H2103" s="252">
        <f t="shared" si="65"/>
        <v>1.041346771266638E-2</v>
      </c>
    </row>
    <row r="2104" spans="2:8" x14ac:dyDescent="0.3">
      <c r="B2104" s="440">
        <v>45604</v>
      </c>
      <c r="C2104" s="363">
        <v>24148.2</v>
      </c>
      <c r="D2104" s="252">
        <f t="shared" si="64"/>
        <v>-2.1136931363857636E-3</v>
      </c>
      <c r="F2104" s="440">
        <v>45607</v>
      </c>
      <c r="G2104" s="363">
        <v>1794.6</v>
      </c>
      <c r="H2104" s="252">
        <f t="shared" si="65"/>
        <v>-8.2891246684350106E-3</v>
      </c>
    </row>
    <row r="2105" spans="2:8" x14ac:dyDescent="0.3">
      <c r="B2105" s="440">
        <v>45607</v>
      </c>
      <c r="C2105" s="363">
        <v>24141.3</v>
      </c>
      <c r="D2105" s="252">
        <f t="shared" si="64"/>
        <v>-2.8573558277644739E-4</v>
      </c>
      <c r="F2105" s="440">
        <v>45608</v>
      </c>
      <c r="G2105" s="363">
        <v>1800.85</v>
      </c>
      <c r="H2105" s="252">
        <f t="shared" si="65"/>
        <v>3.4826702329209258E-3</v>
      </c>
    </row>
    <row r="2106" spans="2:8" x14ac:dyDescent="0.3">
      <c r="B2106" s="440">
        <v>45608</v>
      </c>
      <c r="C2106" s="363">
        <v>23883.45</v>
      </c>
      <c r="D2106" s="252">
        <f t="shared" si="64"/>
        <v>-1.0680866399075395E-2</v>
      </c>
      <c r="F2106" s="440">
        <v>45609</v>
      </c>
      <c r="G2106" s="363">
        <v>1779</v>
      </c>
      <c r="H2106" s="252">
        <f t="shared" si="65"/>
        <v>-1.2133159341422006E-2</v>
      </c>
    </row>
    <row r="2107" spans="2:8" x14ac:dyDescent="0.3">
      <c r="B2107" s="440">
        <v>45609</v>
      </c>
      <c r="C2107" s="363">
        <v>23559.05</v>
      </c>
      <c r="D2107" s="252">
        <f t="shared" si="64"/>
        <v>-1.3582627300494754E-2</v>
      </c>
      <c r="F2107" s="440">
        <v>45610</v>
      </c>
      <c r="G2107" s="363">
        <v>1768.2</v>
      </c>
      <c r="H2107" s="252">
        <f t="shared" si="65"/>
        <v>-6.0708263069140234E-3</v>
      </c>
    </row>
    <row r="2108" spans="2:8" x14ac:dyDescent="0.3">
      <c r="B2108" s="440">
        <v>45610</v>
      </c>
      <c r="C2108" s="363">
        <v>23532.7</v>
      </c>
      <c r="D2108" s="252">
        <f t="shared" si="64"/>
        <v>-1.1184661520731165E-3</v>
      </c>
      <c r="F2108" s="440">
        <v>45614</v>
      </c>
      <c r="G2108" s="363">
        <v>1747.75</v>
      </c>
      <c r="H2108" s="252">
        <f t="shared" si="65"/>
        <v>-1.1565433774459954E-2</v>
      </c>
    </row>
    <row r="2109" spans="2:8" x14ac:dyDescent="0.3">
      <c r="B2109" s="440">
        <v>45614</v>
      </c>
      <c r="C2109" s="363">
        <v>23453.8</v>
      </c>
      <c r="D2109" s="252">
        <f t="shared" si="64"/>
        <v>-3.3527814487925856E-3</v>
      </c>
      <c r="F2109" s="440">
        <v>45615</v>
      </c>
      <c r="G2109" s="363">
        <v>1777.25</v>
      </c>
      <c r="H2109" s="252">
        <f t="shared" si="65"/>
        <v>1.6878844228293444E-2</v>
      </c>
    </row>
    <row r="2110" spans="2:8" x14ac:dyDescent="0.3">
      <c r="B2110" s="440">
        <v>45615</v>
      </c>
      <c r="C2110" s="363">
        <v>23518.5</v>
      </c>
      <c r="D2110" s="252">
        <f t="shared" si="64"/>
        <v>2.758614808687776E-3</v>
      </c>
      <c r="F2110" s="440">
        <v>45617</v>
      </c>
      <c r="G2110" s="363">
        <v>1780</v>
      </c>
      <c r="H2110" s="252">
        <f t="shared" si="65"/>
        <v>1.5473343648895188E-3</v>
      </c>
    </row>
    <row r="2111" spans="2:8" x14ac:dyDescent="0.3">
      <c r="B2111" s="440">
        <v>45617</v>
      </c>
      <c r="C2111" s="363">
        <v>23349.9</v>
      </c>
      <c r="D2111" s="252">
        <f t="shared" si="64"/>
        <v>-7.1688245423814356E-3</v>
      </c>
      <c r="F2111" s="440">
        <v>45618</v>
      </c>
      <c r="G2111" s="363">
        <v>1795.3</v>
      </c>
      <c r="H2111" s="252">
        <f t="shared" si="65"/>
        <v>8.5955056179773948E-3</v>
      </c>
    </row>
    <row r="2112" spans="2:8" x14ac:dyDescent="0.3">
      <c r="B2112" s="440">
        <v>45618</v>
      </c>
      <c r="C2112" s="363">
        <v>23907.25</v>
      </c>
      <c r="D2112" s="252">
        <f t="shared" si="64"/>
        <v>2.3869481239748191E-2</v>
      </c>
      <c r="F2112" s="440">
        <v>45621</v>
      </c>
      <c r="G2112" s="363">
        <v>1798.9</v>
      </c>
      <c r="H2112" s="252">
        <f t="shared" si="65"/>
        <v>2.00523589372259E-3</v>
      </c>
    </row>
    <row r="2113" spans="2:8" x14ac:dyDescent="0.3">
      <c r="B2113" s="440">
        <v>45621</v>
      </c>
      <c r="C2113" s="363">
        <v>24221.9</v>
      </c>
      <c r="D2113" s="252">
        <f t="shared" si="64"/>
        <v>1.3161279528176584E-2</v>
      </c>
      <c r="F2113" s="440">
        <v>45622</v>
      </c>
      <c r="G2113" s="363">
        <v>1761.6</v>
      </c>
      <c r="H2113" s="252">
        <f t="shared" si="65"/>
        <v>-2.0734893546056066E-2</v>
      </c>
    </row>
    <row r="2114" spans="2:8" x14ac:dyDescent="0.3">
      <c r="B2114" s="440">
        <v>45622</v>
      </c>
      <c r="C2114" s="363">
        <v>24194.5</v>
      </c>
      <c r="D2114" s="252">
        <f t="shared" si="64"/>
        <v>-1.1312077087264338E-3</v>
      </c>
      <c r="F2114" s="440">
        <v>45623</v>
      </c>
      <c r="G2114" s="363">
        <v>1749.45</v>
      </c>
      <c r="H2114" s="252">
        <f t="shared" si="65"/>
        <v>-6.8971389645775538E-3</v>
      </c>
    </row>
    <row r="2115" spans="2:8" x14ac:dyDescent="0.3">
      <c r="B2115" s="440">
        <v>45623</v>
      </c>
      <c r="C2115" s="363">
        <v>24274.9</v>
      </c>
      <c r="D2115" s="252">
        <f t="shared" si="64"/>
        <v>3.3230692926078387E-3</v>
      </c>
      <c r="F2115" s="440">
        <v>45624</v>
      </c>
      <c r="G2115" s="363">
        <v>1734.25</v>
      </c>
      <c r="H2115" s="252">
        <f t="shared" si="65"/>
        <v>-8.6884449398382246E-3</v>
      </c>
    </row>
    <row r="2116" spans="2:8" x14ac:dyDescent="0.3">
      <c r="B2116" s="440">
        <v>45624</v>
      </c>
      <c r="C2116" s="363">
        <v>23914.15</v>
      </c>
      <c r="D2116" s="252">
        <f t="shared" si="64"/>
        <v>-1.4861029293632533E-2</v>
      </c>
      <c r="F2116" s="440">
        <v>45625</v>
      </c>
      <c r="G2116" s="363">
        <v>1780.9</v>
      </c>
      <c r="H2116" s="252">
        <f t="shared" si="65"/>
        <v>2.6899235980971659E-2</v>
      </c>
    </row>
    <row r="2117" spans="2:8" x14ac:dyDescent="0.3">
      <c r="B2117" s="440">
        <v>45625</v>
      </c>
      <c r="C2117" s="363">
        <v>24131.1</v>
      </c>
      <c r="D2117" s="252">
        <f t="shared" si="64"/>
        <v>9.0720347576642713E-3</v>
      </c>
      <c r="F2117" s="440">
        <v>45628</v>
      </c>
      <c r="G2117" s="363">
        <v>1808.55</v>
      </c>
      <c r="H2117" s="252">
        <f t="shared" si="65"/>
        <v>1.5525857712392455E-2</v>
      </c>
    </row>
    <row r="2118" spans="2:8" x14ac:dyDescent="0.3">
      <c r="B2118" s="440">
        <v>45628</v>
      </c>
      <c r="C2118" s="363">
        <v>24276.05</v>
      </c>
      <c r="D2118" s="252">
        <f t="shared" si="64"/>
        <v>6.0067713448621607E-3</v>
      </c>
      <c r="F2118" s="440">
        <v>45629</v>
      </c>
      <c r="G2118" s="363">
        <v>1800.05</v>
      </c>
      <c r="H2118" s="252">
        <f t="shared" si="65"/>
        <v>-4.6998977081087467E-3</v>
      </c>
    </row>
    <row r="2119" spans="2:8" x14ac:dyDescent="0.3">
      <c r="B2119" s="440">
        <v>45629</v>
      </c>
      <c r="C2119" s="363">
        <v>24457.15</v>
      </c>
      <c r="D2119" s="252">
        <f t="shared" si="64"/>
        <v>7.4600274756395635E-3</v>
      </c>
      <c r="F2119" s="440">
        <v>45630</v>
      </c>
      <c r="G2119" s="363">
        <v>1800.2</v>
      </c>
      <c r="H2119" s="252">
        <f t="shared" si="65"/>
        <v>8.333101858282177E-5</v>
      </c>
    </row>
    <row r="2120" spans="2:8" x14ac:dyDescent="0.3">
      <c r="B2120" s="440">
        <v>45630</v>
      </c>
      <c r="C2120" s="363">
        <v>24467.45</v>
      </c>
      <c r="D2120" s="252">
        <f t="shared" si="64"/>
        <v>4.2114473681520437E-4</v>
      </c>
      <c r="F2120" s="440">
        <v>45631</v>
      </c>
      <c r="G2120" s="363">
        <v>1813.45</v>
      </c>
      <c r="H2120" s="252">
        <f t="shared" si="65"/>
        <v>7.3602933007443916E-3</v>
      </c>
    </row>
    <row r="2121" spans="2:8" x14ac:dyDescent="0.3">
      <c r="B2121" s="440">
        <v>45631</v>
      </c>
      <c r="C2121" s="363">
        <v>24708.400000000001</v>
      </c>
      <c r="D2121" s="252">
        <f t="shared" si="64"/>
        <v>9.8477773531773227E-3</v>
      </c>
      <c r="F2121" s="440">
        <v>45632</v>
      </c>
      <c r="G2121" s="363">
        <v>1804.85</v>
      </c>
      <c r="H2121" s="252">
        <f t="shared" si="65"/>
        <v>-4.7423419449117432E-3</v>
      </c>
    </row>
    <row r="2122" spans="2:8" x14ac:dyDescent="0.3">
      <c r="B2122" s="440">
        <v>45632</v>
      </c>
      <c r="C2122" s="363">
        <v>24677.8</v>
      </c>
      <c r="D2122" s="252">
        <f t="shared" si="64"/>
        <v>-1.2384452251057443E-3</v>
      </c>
      <c r="F2122" s="440">
        <v>45635</v>
      </c>
      <c r="G2122" s="363">
        <v>1806.65</v>
      </c>
      <c r="H2122" s="252">
        <f t="shared" si="65"/>
        <v>9.9731279607739864E-4</v>
      </c>
    </row>
    <row r="2123" spans="2:8" x14ac:dyDescent="0.3">
      <c r="B2123" s="440">
        <v>45635</v>
      </c>
      <c r="C2123" s="363">
        <v>24619</v>
      </c>
      <c r="D2123" s="252">
        <f t="shared" ref="D2123:D2186" si="66">C2123/C2122-1</f>
        <v>-2.3827083451523068E-3</v>
      </c>
      <c r="F2123" s="440">
        <v>45636</v>
      </c>
      <c r="G2123" s="363">
        <v>1809.95</v>
      </c>
      <c r="H2123" s="252">
        <f t="shared" ref="H2123:H2186" si="67">G2123/G2122-1</f>
        <v>1.8265851160987889E-3</v>
      </c>
    </row>
    <row r="2124" spans="2:8" x14ac:dyDescent="0.3">
      <c r="B2124" s="440">
        <v>45636</v>
      </c>
      <c r="C2124" s="363">
        <v>24610.05</v>
      </c>
      <c r="D2124" s="252">
        <f t="shared" si="66"/>
        <v>-3.6354035501040549E-4</v>
      </c>
      <c r="F2124" s="440">
        <v>45637</v>
      </c>
      <c r="G2124" s="363">
        <v>1814</v>
      </c>
      <c r="H2124" s="252">
        <f t="shared" si="67"/>
        <v>2.237630873781038E-3</v>
      </c>
    </row>
    <row r="2125" spans="2:8" x14ac:dyDescent="0.3">
      <c r="B2125" s="440">
        <v>45637</v>
      </c>
      <c r="C2125" s="363">
        <v>24641.8</v>
      </c>
      <c r="D2125" s="252">
        <f t="shared" si="66"/>
        <v>1.2901233439184256E-3</v>
      </c>
      <c r="F2125" s="440">
        <v>45638</v>
      </c>
      <c r="G2125" s="363">
        <v>1805.45</v>
      </c>
      <c r="H2125" s="252">
        <f t="shared" si="67"/>
        <v>-4.7133406835722091E-3</v>
      </c>
    </row>
    <row r="2126" spans="2:8" x14ac:dyDescent="0.3">
      <c r="B2126" s="440">
        <v>45638</v>
      </c>
      <c r="C2126" s="363">
        <v>24548.7</v>
      </c>
      <c r="D2126" s="252">
        <f t="shared" si="66"/>
        <v>-3.778133090926783E-3</v>
      </c>
      <c r="F2126" s="440">
        <v>45639</v>
      </c>
      <c r="G2126" s="363">
        <v>1813.45</v>
      </c>
      <c r="H2126" s="252">
        <f t="shared" si="67"/>
        <v>4.431028275499127E-3</v>
      </c>
    </row>
    <row r="2127" spans="2:8" x14ac:dyDescent="0.3">
      <c r="B2127" s="440">
        <v>45639</v>
      </c>
      <c r="C2127" s="363">
        <v>24768.3</v>
      </c>
      <c r="D2127" s="252">
        <f t="shared" si="66"/>
        <v>8.9454838749098986E-3</v>
      </c>
      <c r="F2127" s="440">
        <v>45642</v>
      </c>
      <c r="G2127" s="363">
        <v>1809.8</v>
      </c>
      <c r="H2127" s="252">
        <f t="shared" si="67"/>
        <v>-2.0127381510380848E-3</v>
      </c>
    </row>
    <row r="2128" spans="2:8" x14ac:dyDescent="0.3">
      <c r="B2128" s="440">
        <v>45642</v>
      </c>
      <c r="C2128" s="363">
        <v>24668.25</v>
      </c>
      <c r="D2128" s="252">
        <f t="shared" si="66"/>
        <v>-4.0394375068131261E-3</v>
      </c>
      <c r="F2128" s="440">
        <v>45643</v>
      </c>
      <c r="G2128" s="363">
        <v>1789.05</v>
      </c>
      <c r="H2128" s="252">
        <f t="shared" si="67"/>
        <v>-1.1465355287877066E-2</v>
      </c>
    </row>
    <row r="2129" spans="2:8" x14ac:dyDescent="0.3">
      <c r="B2129" s="440">
        <v>45643</v>
      </c>
      <c r="C2129" s="363">
        <v>24336</v>
      </c>
      <c r="D2129" s="252">
        <f t="shared" si="66"/>
        <v>-1.3468730047733413E-2</v>
      </c>
      <c r="F2129" s="440">
        <v>45644</v>
      </c>
      <c r="G2129" s="363">
        <v>1801.05</v>
      </c>
      <c r="H2129" s="252">
        <f t="shared" si="67"/>
        <v>6.7074704452083633E-3</v>
      </c>
    </row>
    <row r="2130" spans="2:8" x14ac:dyDescent="0.3">
      <c r="B2130" s="440">
        <v>45644</v>
      </c>
      <c r="C2130" s="363">
        <v>24198.85</v>
      </c>
      <c r="D2130" s="252">
        <f t="shared" si="66"/>
        <v>-5.6356837606837962E-3</v>
      </c>
      <c r="F2130" s="440">
        <v>45645</v>
      </c>
      <c r="G2130" s="363">
        <v>1823.3</v>
      </c>
      <c r="H2130" s="252">
        <f t="shared" si="67"/>
        <v>1.235390466672226E-2</v>
      </c>
    </row>
    <row r="2131" spans="2:8" x14ac:dyDescent="0.3">
      <c r="B2131" s="440">
        <v>45645</v>
      </c>
      <c r="C2131" s="363">
        <v>23951.7</v>
      </c>
      <c r="D2131" s="252">
        <f t="shared" si="66"/>
        <v>-1.0213295259898669E-2</v>
      </c>
      <c r="F2131" s="440">
        <v>45646</v>
      </c>
      <c r="G2131" s="363">
        <v>1808.85</v>
      </c>
      <c r="H2131" s="252">
        <f t="shared" si="67"/>
        <v>-7.9251905884933915E-3</v>
      </c>
    </row>
    <row r="2132" spans="2:8" x14ac:dyDescent="0.3">
      <c r="B2132" s="440">
        <v>45646</v>
      </c>
      <c r="C2132" s="363">
        <v>23587.5</v>
      </c>
      <c r="D2132" s="252">
        <f t="shared" si="66"/>
        <v>-1.5205601272561098E-2</v>
      </c>
      <c r="F2132" s="440">
        <v>45649</v>
      </c>
      <c r="G2132" s="363">
        <v>1814.6</v>
      </c>
      <c r="H2132" s="252">
        <f t="shared" si="67"/>
        <v>3.1788152693701388E-3</v>
      </c>
    </row>
    <row r="2133" spans="2:8" x14ac:dyDescent="0.3">
      <c r="B2133" s="440">
        <v>45649</v>
      </c>
      <c r="C2133" s="363">
        <v>23753.45</v>
      </c>
      <c r="D2133" s="252">
        <f t="shared" si="66"/>
        <v>7.0355060943296799E-3</v>
      </c>
      <c r="F2133" s="440">
        <v>45650</v>
      </c>
      <c r="G2133" s="363">
        <v>1819</v>
      </c>
      <c r="H2133" s="252">
        <f t="shared" si="67"/>
        <v>2.4247768103162759E-3</v>
      </c>
    </row>
    <row r="2134" spans="2:8" x14ac:dyDescent="0.3">
      <c r="B2134" s="440">
        <v>45650</v>
      </c>
      <c r="C2134" s="363">
        <v>23727.65</v>
      </c>
      <c r="D2134" s="252">
        <f t="shared" si="66"/>
        <v>-1.0861580107310864E-3</v>
      </c>
      <c r="F2134" s="440">
        <v>45652</v>
      </c>
      <c r="G2134" s="363">
        <v>1841.35</v>
      </c>
      <c r="H2134" s="252">
        <f t="shared" si="67"/>
        <v>1.2286970863111479E-2</v>
      </c>
    </row>
    <row r="2135" spans="2:8" x14ac:dyDescent="0.3">
      <c r="B2135" s="440">
        <v>45652</v>
      </c>
      <c r="C2135" s="363">
        <v>23750.2</v>
      </c>
      <c r="D2135" s="252">
        <f t="shared" si="66"/>
        <v>9.5036803054671104E-4</v>
      </c>
      <c r="F2135" s="440">
        <v>45653</v>
      </c>
      <c r="G2135" s="363">
        <v>1861.25</v>
      </c>
      <c r="H2135" s="252">
        <f t="shared" si="67"/>
        <v>1.0807288130990855E-2</v>
      </c>
    </row>
    <row r="2136" spans="2:8" x14ac:dyDescent="0.3">
      <c r="B2136" s="440">
        <v>45653</v>
      </c>
      <c r="C2136" s="363">
        <v>23813.4</v>
      </c>
      <c r="D2136" s="252">
        <f t="shared" si="66"/>
        <v>2.6610302229033156E-3</v>
      </c>
      <c r="F2136" s="440">
        <v>45656</v>
      </c>
      <c r="G2136" s="363">
        <v>1883.9</v>
      </c>
      <c r="H2136" s="252">
        <f t="shared" si="67"/>
        <v>1.2169241101410488E-2</v>
      </c>
    </row>
    <row r="2137" spans="2:8" x14ac:dyDescent="0.3">
      <c r="B2137" s="440">
        <v>45656</v>
      </c>
      <c r="C2137" s="363">
        <v>23644.9</v>
      </c>
      <c r="D2137" s="252">
        <f t="shared" si="66"/>
        <v>-7.0758480519371725E-3</v>
      </c>
      <c r="F2137" s="440">
        <v>45657</v>
      </c>
      <c r="G2137" s="363">
        <v>1886.35</v>
      </c>
      <c r="H2137" s="252">
        <f t="shared" si="67"/>
        <v>1.3004936567757586E-3</v>
      </c>
    </row>
    <row r="2138" spans="2:8" x14ac:dyDescent="0.3">
      <c r="B2138" s="440">
        <v>45657</v>
      </c>
      <c r="C2138" s="363">
        <v>23644.799999999999</v>
      </c>
      <c r="D2138" s="252">
        <f t="shared" si="66"/>
        <v>-4.2292418238609741E-6</v>
      </c>
      <c r="F2138" s="440">
        <v>45658</v>
      </c>
      <c r="G2138" s="363">
        <v>1889.95</v>
      </c>
      <c r="H2138" s="252">
        <f t="shared" si="67"/>
        <v>1.9084475309461002E-3</v>
      </c>
    </row>
    <row r="2139" spans="2:8" x14ac:dyDescent="0.3">
      <c r="B2139" s="440">
        <v>45658</v>
      </c>
      <c r="C2139" s="363">
        <v>23742.9</v>
      </c>
      <c r="D2139" s="252">
        <f t="shared" si="66"/>
        <v>4.1489037758830616E-3</v>
      </c>
      <c r="F2139" s="440">
        <v>45659</v>
      </c>
      <c r="G2139" s="363">
        <v>1878</v>
      </c>
      <c r="H2139" s="252">
        <f t="shared" si="67"/>
        <v>-6.3229185957300871E-3</v>
      </c>
    </row>
    <row r="2140" spans="2:8" x14ac:dyDescent="0.3">
      <c r="B2140" s="440">
        <v>45659</v>
      </c>
      <c r="C2140" s="363">
        <v>24188.65</v>
      </c>
      <c r="D2140" s="252">
        <f t="shared" si="66"/>
        <v>1.8774033500541298E-2</v>
      </c>
      <c r="F2140" s="440">
        <v>45660</v>
      </c>
      <c r="G2140" s="363">
        <v>1849.65</v>
      </c>
      <c r="H2140" s="252">
        <f t="shared" si="67"/>
        <v>-1.5095846645367339E-2</v>
      </c>
    </row>
    <row r="2141" spans="2:8" x14ac:dyDescent="0.3">
      <c r="B2141" s="440">
        <v>45660</v>
      </c>
      <c r="C2141" s="363">
        <v>24004.75</v>
      </c>
      <c r="D2141" s="252">
        <f t="shared" si="66"/>
        <v>-7.6027393012839672E-3</v>
      </c>
      <c r="F2141" s="440">
        <v>45663</v>
      </c>
      <c r="G2141" s="363">
        <v>1847.4</v>
      </c>
      <c r="H2141" s="252">
        <f t="shared" si="67"/>
        <v>-1.2164463547157389E-3</v>
      </c>
    </row>
    <row r="2142" spans="2:8" x14ac:dyDescent="0.3">
      <c r="B2142" s="440">
        <v>45663</v>
      </c>
      <c r="C2142" s="363">
        <v>23616.05</v>
      </c>
      <c r="D2142" s="252">
        <f t="shared" si="66"/>
        <v>-1.6192628542267662E-2</v>
      </c>
      <c r="F2142" s="440">
        <v>45664</v>
      </c>
      <c r="G2142" s="363">
        <v>1853.4</v>
      </c>
      <c r="H2142" s="252">
        <f t="shared" si="67"/>
        <v>3.2478077297823926E-3</v>
      </c>
    </row>
    <row r="2143" spans="2:8" x14ac:dyDescent="0.3">
      <c r="B2143" s="440">
        <v>45664</v>
      </c>
      <c r="C2143" s="363">
        <v>23707.9</v>
      </c>
      <c r="D2143" s="252">
        <f t="shared" si="66"/>
        <v>3.8893040961549552E-3</v>
      </c>
      <c r="F2143" s="440">
        <v>45665</v>
      </c>
      <c r="G2143" s="363">
        <v>1837.75</v>
      </c>
      <c r="H2143" s="252">
        <f t="shared" si="67"/>
        <v>-8.4439408654365389E-3</v>
      </c>
    </row>
    <row r="2144" spans="2:8" x14ac:dyDescent="0.3">
      <c r="B2144" s="440">
        <v>45665</v>
      </c>
      <c r="C2144" s="363">
        <v>23688.95</v>
      </c>
      <c r="D2144" s="252">
        <f t="shared" si="66"/>
        <v>-7.9931162186441806E-4</v>
      </c>
      <c r="F2144" s="440">
        <v>45666</v>
      </c>
      <c r="G2144" s="363">
        <v>1826.35</v>
      </c>
      <c r="H2144" s="252">
        <f t="shared" si="67"/>
        <v>-6.2032376547409562E-3</v>
      </c>
    </row>
    <row r="2145" spans="2:8" x14ac:dyDescent="0.3">
      <c r="B2145" s="440">
        <v>45666</v>
      </c>
      <c r="C2145" s="363">
        <v>23526.5</v>
      </c>
      <c r="D2145" s="252">
        <f t="shared" si="66"/>
        <v>-6.8576277124988705E-3</v>
      </c>
      <c r="F2145" s="440">
        <v>45667</v>
      </c>
      <c r="G2145" s="363">
        <v>1784.8</v>
      </c>
      <c r="H2145" s="252">
        <f t="shared" si="67"/>
        <v>-2.2750294302844476E-2</v>
      </c>
    </row>
    <row r="2146" spans="2:8" x14ac:dyDescent="0.3">
      <c r="B2146" s="440">
        <v>45667</v>
      </c>
      <c r="C2146" s="363">
        <v>23431.5</v>
      </c>
      <c r="D2146" s="252">
        <f t="shared" si="66"/>
        <v>-4.037999702463213E-3</v>
      </c>
      <c r="F2146" s="440">
        <v>45670</v>
      </c>
      <c r="G2146" s="363">
        <v>1746.9</v>
      </c>
      <c r="H2146" s="252">
        <f t="shared" si="67"/>
        <v>-2.1234872254594306E-2</v>
      </c>
    </row>
    <row r="2147" spans="2:8" x14ac:dyDescent="0.3">
      <c r="B2147" s="440">
        <v>45670</v>
      </c>
      <c r="C2147" s="363">
        <v>23085.95</v>
      </c>
      <c r="D2147" s="252">
        <f t="shared" si="66"/>
        <v>-1.4747241960608504E-2</v>
      </c>
      <c r="F2147" s="440">
        <v>45671</v>
      </c>
      <c r="G2147" s="363">
        <v>1770.85</v>
      </c>
      <c r="H2147" s="252">
        <f t="shared" si="67"/>
        <v>1.3710000572442427E-2</v>
      </c>
    </row>
    <row r="2148" spans="2:8" x14ac:dyDescent="0.3">
      <c r="B2148" s="440">
        <v>45671</v>
      </c>
      <c r="C2148" s="363">
        <v>23176.05</v>
      </c>
      <c r="D2148" s="252">
        <f t="shared" si="66"/>
        <v>3.9028066854513987E-3</v>
      </c>
      <c r="F2148" s="440">
        <v>45672</v>
      </c>
      <c r="G2148" s="363">
        <v>1756.85</v>
      </c>
      <c r="H2148" s="252">
        <f t="shared" si="67"/>
        <v>-7.9058079453370178E-3</v>
      </c>
    </row>
    <row r="2149" spans="2:8" x14ac:dyDescent="0.3">
      <c r="B2149" s="440">
        <v>45672</v>
      </c>
      <c r="C2149" s="363">
        <v>23213.200000000001</v>
      </c>
      <c r="D2149" s="252">
        <f t="shared" si="66"/>
        <v>1.6029478707546563E-3</v>
      </c>
      <c r="F2149" s="440">
        <v>45673</v>
      </c>
      <c r="G2149" s="363">
        <v>1763.3</v>
      </c>
      <c r="H2149" s="252">
        <f t="shared" si="67"/>
        <v>3.6713435979167652E-3</v>
      </c>
    </row>
    <row r="2150" spans="2:8" x14ac:dyDescent="0.3">
      <c r="B2150" s="440">
        <v>45673</v>
      </c>
      <c r="C2150" s="363">
        <v>23311.8</v>
      </c>
      <c r="D2150" s="252">
        <f t="shared" si="66"/>
        <v>4.2475832715866968E-3</v>
      </c>
      <c r="F2150" s="440">
        <v>45674</v>
      </c>
      <c r="G2150" s="363">
        <v>1786.55</v>
      </c>
      <c r="H2150" s="252">
        <f t="shared" si="67"/>
        <v>1.3185504451880048E-2</v>
      </c>
    </row>
    <row r="2151" spans="2:8" x14ac:dyDescent="0.3">
      <c r="B2151" s="440">
        <v>45674</v>
      </c>
      <c r="C2151" s="363">
        <v>23203.200000000001</v>
      </c>
      <c r="D2151" s="252">
        <f t="shared" si="66"/>
        <v>-4.6585849226571385E-3</v>
      </c>
      <c r="F2151" s="440">
        <v>45677</v>
      </c>
      <c r="G2151" s="363">
        <v>1778.25</v>
      </c>
      <c r="H2151" s="252">
        <f t="shared" si="67"/>
        <v>-4.645825753547328E-3</v>
      </c>
    </row>
    <row r="2152" spans="2:8" x14ac:dyDescent="0.3">
      <c r="B2152" s="440">
        <v>45677</v>
      </c>
      <c r="C2152" s="363">
        <v>23344.75</v>
      </c>
      <c r="D2152" s="252">
        <f t="shared" si="66"/>
        <v>6.1004516618397009E-3</v>
      </c>
      <c r="F2152" s="440">
        <v>45678</v>
      </c>
      <c r="G2152" s="363">
        <v>1762.7</v>
      </c>
      <c r="H2152" s="252">
        <f t="shared" si="67"/>
        <v>-8.7445522283142729E-3</v>
      </c>
    </row>
    <row r="2153" spans="2:8" x14ac:dyDescent="0.3">
      <c r="B2153" s="440">
        <v>45678</v>
      </c>
      <c r="C2153" s="363">
        <v>23024.65</v>
      </c>
      <c r="D2153" s="252">
        <f t="shared" si="66"/>
        <v>-1.3711862410177855E-2</v>
      </c>
      <c r="F2153" s="440">
        <v>45679</v>
      </c>
      <c r="G2153" s="363">
        <v>1798.95</v>
      </c>
      <c r="H2153" s="252">
        <f t="shared" si="67"/>
        <v>2.0565042264707456E-2</v>
      </c>
    </row>
    <row r="2154" spans="2:8" x14ac:dyDescent="0.3">
      <c r="B2154" s="440">
        <v>45679</v>
      </c>
      <c r="C2154" s="363">
        <v>23155.35</v>
      </c>
      <c r="D2154" s="252">
        <f t="shared" si="66"/>
        <v>5.6765249417471964E-3</v>
      </c>
      <c r="F2154" s="440">
        <v>45680</v>
      </c>
      <c r="G2154" s="363">
        <v>1833.6</v>
      </c>
      <c r="H2154" s="252">
        <f t="shared" si="67"/>
        <v>1.9261235720837044E-2</v>
      </c>
    </row>
    <row r="2155" spans="2:8" x14ac:dyDescent="0.3">
      <c r="B2155" s="440">
        <v>45680</v>
      </c>
      <c r="C2155" s="363">
        <v>23205.35</v>
      </c>
      <c r="D2155" s="252">
        <f t="shared" si="66"/>
        <v>2.1593281898135697E-3</v>
      </c>
      <c r="F2155" s="440">
        <v>45681</v>
      </c>
      <c r="G2155" s="363">
        <v>1822.2</v>
      </c>
      <c r="H2155" s="252">
        <f t="shared" si="67"/>
        <v>-6.2172774869109215E-3</v>
      </c>
    </row>
    <row r="2156" spans="2:8" x14ac:dyDescent="0.3">
      <c r="B2156" s="440">
        <v>45681</v>
      </c>
      <c r="C2156" s="363">
        <v>23092.2</v>
      </c>
      <c r="D2156" s="252">
        <f t="shared" si="66"/>
        <v>-4.876030742910431E-3</v>
      </c>
      <c r="F2156" s="440">
        <v>45684</v>
      </c>
      <c r="G2156" s="363">
        <v>1786.85</v>
      </c>
      <c r="H2156" s="252">
        <f t="shared" si="67"/>
        <v>-1.9399626824717409E-2</v>
      </c>
    </row>
    <row r="2157" spans="2:8" x14ac:dyDescent="0.3">
      <c r="B2157" s="440">
        <v>45684</v>
      </c>
      <c r="C2157" s="363">
        <v>22829.15</v>
      </c>
      <c r="D2157" s="252">
        <f t="shared" si="66"/>
        <v>-1.139129229783209E-2</v>
      </c>
      <c r="F2157" s="440">
        <v>45685</v>
      </c>
      <c r="G2157" s="363">
        <v>1705.5</v>
      </c>
      <c r="H2157" s="252">
        <f t="shared" si="67"/>
        <v>-4.5527044799507421E-2</v>
      </c>
    </row>
    <row r="2158" spans="2:8" x14ac:dyDescent="0.3">
      <c r="B2158" s="440">
        <v>45685</v>
      </c>
      <c r="C2158" s="363">
        <v>22957.25</v>
      </c>
      <c r="D2158" s="252">
        <f t="shared" si="66"/>
        <v>5.6112470240896606E-3</v>
      </c>
      <c r="F2158" s="440">
        <v>45686</v>
      </c>
      <c r="G2158" s="363">
        <v>1735.35</v>
      </c>
      <c r="H2158" s="252">
        <f t="shared" si="67"/>
        <v>1.7502198768689414E-2</v>
      </c>
    </row>
    <row r="2159" spans="2:8" x14ac:dyDescent="0.3">
      <c r="B2159" s="440">
        <v>45686</v>
      </c>
      <c r="C2159" s="363">
        <v>23163.1</v>
      </c>
      <c r="D2159" s="252">
        <f t="shared" si="66"/>
        <v>8.9666663036731542E-3</v>
      </c>
      <c r="F2159" s="440">
        <v>45687</v>
      </c>
      <c r="G2159" s="363">
        <v>1739.1</v>
      </c>
      <c r="H2159" s="252">
        <f t="shared" si="67"/>
        <v>2.1609473593222628E-3</v>
      </c>
    </row>
    <row r="2160" spans="2:8" x14ac:dyDescent="0.3">
      <c r="B2160" s="440">
        <v>45687</v>
      </c>
      <c r="C2160" s="363">
        <v>23249.5</v>
      </c>
      <c r="D2160" s="252">
        <f t="shared" si="66"/>
        <v>3.7300706727512178E-3</v>
      </c>
      <c r="F2160" s="440">
        <v>45688</v>
      </c>
      <c r="G2160" s="363">
        <v>1743.95</v>
      </c>
      <c r="H2160" s="252">
        <f t="shared" si="67"/>
        <v>2.7887988039791978E-3</v>
      </c>
    </row>
    <row r="2161" spans="2:8" x14ac:dyDescent="0.3">
      <c r="B2161" s="440">
        <v>45688</v>
      </c>
      <c r="C2161" s="363">
        <v>23508.400000000001</v>
      </c>
      <c r="D2161" s="252">
        <f t="shared" si="66"/>
        <v>1.1135723348889348E-2</v>
      </c>
      <c r="F2161" s="440">
        <v>45689</v>
      </c>
      <c r="G2161" s="363">
        <v>1742.2</v>
      </c>
      <c r="H2161" s="252">
        <f t="shared" si="67"/>
        <v>-1.0034691361564541E-3</v>
      </c>
    </row>
    <row r="2162" spans="2:8" x14ac:dyDescent="0.3">
      <c r="B2162" s="440">
        <v>45689</v>
      </c>
      <c r="C2162" s="363">
        <v>23482.15</v>
      </c>
      <c r="D2162" s="252">
        <f t="shared" si="66"/>
        <v>-1.1166221435742196E-3</v>
      </c>
      <c r="F2162" s="440">
        <v>45691</v>
      </c>
      <c r="G2162" s="363">
        <v>1740.6</v>
      </c>
      <c r="H2162" s="252">
        <f t="shared" si="67"/>
        <v>-9.18379060957486E-4</v>
      </c>
    </row>
    <row r="2163" spans="2:8" x14ac:dyDescent="0.3">
      <c r="B2163" s="440">
        <v>45691</v>
      </c>
      <c r="C2163" s="363">
        <v>23361.05</v>
      </c>
      <c r="D2163" s="252">
        <f t="shared" si="66"/>
        <v>-5.1571086974575575E-3</v>
      </c>
      <c r="F2163" s="440">
        <v>45692</v>
      </c>
      <c r="G2163" s="363">
        <v>1765.25</v>
      </c>
      <c r="H2163" s="252">
        <f t="shared" si="67"/>
        <v>1.4161783293117347E-2</v>
      </c>
    </row>
    <row r="2164" spans="2:8" x14ac:dyDescent="0.3">
      <c r="B2164" s="440">
        <v>45692</v>
      </c>
      <c r="C2164" s="363">
        <v>23739.25</v>
      </c>
      <c r="D2164" s="252">
        <f t="shared" si="66"/>
        <v>1.6189340804458663E-2</v>
      </c>
      <c r="F2164" s="440">
        <v>45693</v>
      </c>
      <c r="G2164" s="363">
        <v>1752.75</v>
      </c>
      <c r="H2164" s="252">
        <f t="shared" si="67"/>
        <v>-7.0811499787565291E-3</v>
      </c>
    </row>
    <row r="2165" spans="2:8" x14ac:dyDescent="0.3">
      <c r="B2165" s="440">
        <v>45693</v>
      </c>
      <c r="C2165" s="363">
        <v>23696.3</v>
      </c>
      <c r="D2165" s="252">
        <f t="shared" si="66"/>
        <v>-1.8092399717767327E-3</v>
      </c>
      <c r="F2165" s="440">
        <v>45694</v>
      </c>
      <c r="G2165" s="363">
        <v>1742</v>
      </c>
      <c r="H2165" s="252">
        <f t="shared" si="67"/>
        <v>-6.1332192269291097E-3</v>
      </c>
    </row>
    <row r="2166" spans="2:8" x14ac:dyDescent="0.3">
      <c r="B2166" s="440">
        <v>45694</v>
      </c>
      <c r="C2166" s="363">
        <v>23603.35</v>
      </c>
      <c r="D2166" s="252">
        <f t="shared" si="66"/>
        <v>-3.922553310010457E-3</v>
      </c>
      <c r="F2166" s="440">
        <v>45695</v>
      </c>
      <c r="G2166" s="363">
        <v>1749.8</v>
      </c>
      <c r="H2166" s="252">
        <f t="shared" si="67"/>
        <v>4.4776119402984982E-3</v>
      </c>
    </row>
    <row r="2167" spans="2:8" x14ac:dyDescent="0.3">
      <c r="B2167" s="440">
        <v>45695</v>
      </c>
      <c r="C2167" s="363">
        <v>23559.95</v>
      </c>
      <c r="D2167" s="252">
        <f t="shared" si="66"/>
        <v>-1.8387220458111475E-3</v>
      </c>
      <c r="F2167" s="440">
        <v>45698</v>
      </c>
      <c r="G2167" s="363">
        <v>1732.1</v>
      </c>
      <c r="H2167" s="252">
        <f t="shared" si="67"/>
        <v>-1.0115441764773192E-2</v>
      </c>
    </row>
    <row r="2168" spans="2:8" x14ac:dyDescent="0.3">
      <c r="B2168" s="440">
        <v>45698</v>
      </c>
      <c r="C2168" s="363">
        <v>23381.599999999999</v>
      </c>
      <c r="D2168" s="252">
        <f t="shared" si="66"/>
        <v>-7.5700500213287114E-3</v>
      </c>
      <c r="F2168" s="440">
        <v>45699</v>
      </c>
      <c r="G2168" s="363">
        <v>1699.75</v>
      </c>
      <c r="H2168" s="252">
        <f t="shared" si="67"/>
        <v>-1.8676750764967331E-2</v>
      </c>
    </row>
    <row r="2169" spans="2:8" x14ac:dyDescent="0.3">
      <c r="B2169" s="440">
        <v>45699</v>
      </c>
      <c r="C2169" s="363">
        <v>23071.8</v>
      </c>
      <c r="D2169" s="252">
        <f t="shared" si="66"/>
        <v>-1.3249734834228644E-2</v>
      </c>
      <c r="F2169" s="440">
        <v>45700</v>
      </c>
      <c r="G2169" s="363">
        <v>1693.85</v>
      </c>
      <c r="H2169" s="252">
        <f t="shared" si="67"/>
        <v>-3.4710986909840535E-3</v>
      </c>
    </row>
    <row r="2170" spans="2:8" x14ac:dyDescent="0.3">
      <c r="B2170" s="440">
        <v>45700</v>
      </c>
      <c r="C2170" s="363">
        <v>23045.25</v>
      </c>
      <c r="D2170" s="252">
        <f t="shared" si="66"/>
        <v>-1.1507554677138154E-3</v>
      </c>
      <c r="F2170" s="440">
        <v>45701</v>
      </c>
      <c r="G2170" s="363">
        <v>1746.35</v>
      </c>
      <c r="H2170" s="252">
        <f t="shared" si="67"/>
        <v>3.0994480030699378E-2</v>
      </c>
    </row>
    <row r="2171" spans="2:8" x14ac:dyDescent="0.3">
      <c r="B2171" s="440">
        <v>45701</v>
      </c>
      <c r="C2171" s="363">
        <v>23031.4</v>
      </c>
      <c r="D2171" s="252">
        <f t="shared" si="66"/>
        <v>-6.0099152753811946E-4</v>
      </c>
      <c r="F2171" s="440">
        <v>45702</v>
      </c>
      <c r="G2171" s="363">
        <v>1700.5</v>
      </c>
      <c r="H2171" s="252">
        <f t="shared" si="67"/>
        <v>-2.6254759927849425E-2</v>
      </c>
    </row>
    <row r="2172" spans="2:8" x14ac:dyDescent="0.3">
      <c r="B2172" s="440">
        <v>45702</v>
      </c>
      <c r="C2172" s="363">
        <v>22929.25</v>
      </c>
      <c r="D2172" s="252">
        <f t="shared" si="66"/>
        <v>-4.4352492683902289E-3</v>
      </c>
      <c r="F2172" s="440">
        <v>45705</v>
      </c>
      <c r="G2172" s="363">
        <v>1714.2</v>
      </c>
      <c r="H2172" s="252">
        <f t="shared" si="67"/>
        <v>8.0564539841223581E-3</v>
      </c>
    </row>
    <row r="2173" spans="2:8" x14ac:dyDescent="0.3">
      <c r="B2173" s="440">
        <v>45705</v>
      </c>
      <c r="C2173" s="363">
        <v>22959.5</v>
      </c>
      <c r="D2173" s="252">
        <f t="shared" si="66"/>
        <v>1.3192755977626813E-3</v>
      </c>
      <c r="F2173" s="440">
        <v>45706</v>
      </c>
      <c r="G2173" s="363">
        <v>1701.6</v>
      </c>
      <c r="H2173" s="252">
        <f t="shared" si="67"/>
        <v>-7.3503675183760331E-3</v>
      </c>
    </row>
    <row r="2174" spans="2:8" x14ac:dyDescent="0.3">
      <c r="B2174" s="440">
        <v>45706</v>
      </c>
      <c r="C2174" s="363">
        <v>22945.3</v>
      </c>
      <c r="D2174" s="252">
        <f t="shared" si="66"/>
        <v>-6.1848036760381309E-4</v>
      </c>
      <c r="F2174" s="440">
        <v>45707</v>
      </c>
      <c r="G2174" s="363">
        <v>1676.6</v>
      </c>
      <c r="H2174" s="252">
        <f t="shared" si="67"/>
        <v>-1.4692054536906474E-2</v>
      </c>
    </row>
    <row r="2175" spans="2:8" x14ac:dyDescent="0.3">
      <c r="B2175" s="440">
        <v>45707</v>
      </c>
      <c r="C2175" s="363">
        <v>22932.9</v>
      </c>
      <c r="D2175" s="252">
        <f t="shared" si="66"/>
        <v>-5.4041568425766684E-4</v>
      </c>
      <c r="F2175" s="440">
        <v>45708</v>
      </c>
      <c r="G2175" s="363">
        <v>1669.3</v>
      </c>
      <c r="H2175" s="252">
        <f t="shared" si="67"/>
        <v>-4.3540498628176216E-3</v>
      </c>
    </row>
    <row r="2176" spans="2:8" x14ac:dyDescent="0.3">
      <c r="B2176" s="440">
        <v>45708</v>
      </c>
      <c r="C2176" s="363">
        <v>22913.15</v>
      </c>
      <c r="D2176" s="252">
        <f t="shared" si="66"/>
        <v>-8.6120813329326751E-4</v>
      </c>
      <c r="F2176" s="440">
        <v>45709</v>
      </c>
      <c r="G2176" s="363">
        <v>1643.75</v>
      </c>
      <c r="H2176" s="252">
        <f t="shared" si="67"/>
        <v>-1.5305816809441097E-2</v>
      </c>
    </row>
    <row r="2177" spans="2:8" x14ac:dyDescent="0.3">
      <c r="B2177" s="440">
        <v>45709</v>
      </c>
      <c r="C2177" s="363">
        <v>22795.9</v>
      </c>
      <c r="D2177" s="252">
        <f t="shared" si="66"/>
        <v>-5.1171488861200265E-3</v>
      </c>
      <c r="F2177" s="440">
        <v>45712</v>
      </c>
      <c r="G2177" s="363">
        <v>1639.5</v>
      </c>
      <c r="H2177" s="252">
        <f t="shared" si="67"/>
        <v>-2.585551330798519E-3</v>
      </c>
    </row>
    <row r="2178" spans="2:8" x14ac:dyDescent="0.3">
      <c r="B2178" s="440">
        <v>45712</v>
      </c>
      <c r="C2178" s="363">
        <v>22553.35</v>
      </c>
      <c r="D2178" s="252">
        <f t="shared" si="66"/>
        <v>-1.0640071240881177E-2</v>
      </c>
      <c r="F2178" s="440">
        <v>45713</v>
      </c>
      <c r="G2178" s="363">
        <v>1613.6</v>
      </c>
      <c r="H2178" s="252">
        <f t="shared" si="67"/>
        <v>-1.5797499237572454E-2</v>
      </c>
    </row>
    <row r="2179" spans="2:8" x14ac:dyDescent="0.3">
      <c r="B2179" s="440">
        <v>45713</v>
      </c>
      <c r="C2179" s="363">
        <v>22547.55</v>
      </c>
      <c r="D2179" s="252">
        <f t="shared" si="66"/>
        <v>-2.5716800386632599E-4</v>
      </c>
      <c r="F2179" s="440">
        <v>45715</v>
      </c>
      <c r="G2179" s="363">
        <v>1647.5</v>
      </c>
      <c r="H2179" s="252">
        <f t="shared" si="67"/>
        <v>2.1008924144769514E-2</v>
      </c>
    </row>
    <row r="2180" spans="2:8" x14ac:dyDescent="0.3">
      <c r="B2180" s="440">
        <v>45715</v>
      </c>
      <c r="C2180" s="363">
        <v>22545.05</v>
      </c>
      <c r="D2180" s="252">
        <f t="shared" si="66"/>
        <v>-1.1087679149179852E-4</v>
      </c>
      <c r="F2180" s="440">
        <v>45716</v>
      </c>
      <c r="G2180" s="363">
        <v>1593.25</v>
      </c>
      <c r="H2180" s="252">
        <f t="shared" si="67"/>
        <v>-3.2928679817905926E-2</v>
      </c>
    </row>
    <row r="2181" spans="2:8" x14ac:dyDescent="0.3">
      <c r="B2181" s="440">
        <v>45716</v>
      </c>
      <c r="C2181" s="363">
        <v>22124.7</v>
      </c>
      <c r="D2181" s="252">
        <f t="shared" si="66"/>
        <v>-1.8644891007116748E-2</v>
      </c>
      <c r="F2181" s="440">
        <v>45719</v>
      </c>
      <c r="G2181" s="363">
        <v>1585.1</v>
      </c>
      <c r="H2181" s="252">
        <f t="shared" si="67"/>
        <v>-5.1153302997019034E-3</v>
      </c>
    </row>
    <row r="2182" spans="2:8" x14ac:dyDescent="0.3">
      <c r="B2182" s="440">
        <v>45719</v>
      </c>
      <c r="C2182" s="363">
        <v>22119.3</v>
      </c>
      <c r="D2182" s="252">
        <f t="shared" si="66"/>
        <v>-2.4407110604895976E-4</v>
      </c>
      <c r="F2182" s="440">
        <v>45720</v>
      </c>
      <c r="G2182" s="363">
        <v>1566.5</v>
      </c>
      <c r="H2182" s="252">
        <f t="shared" si="67"/>
        <v>-1.1734275440035247E-2</v>
      </c>
    </row>
    <row r="2183" spans="2:8" x14ac:dyDescent="0.3">
      <c r="B2183" s="440">
        <v>45720</v>
      </c>
      <c r="C2183" s="363">
        <v>22082.65</v>
      </c>
      <c r="D2183" s="252">
        <f t="shared" si="66"/>
        <v>-1.6569240437083188E-3</v>
      </c>
      <c r="F2183" s="440">
        <v>45721</v>
      </c>
      <c r="G2183" s="363">
        <v>1582.45</v>
      </c>
      <c r="H2183" s="252">
        <f t="shared" si="67"/>
        <v>1.0181934248324254E-2</v>
      </c>
    </row>
    <row r="2184" spans="2:8" x14ac:dyDescent="0.3">
      <c r="B2184" s="440">
        <v>45721</v>
      </c>
      <c r="C2184" s="363">
        <v>22337.3</v>
      </c>
      <c r="D2184" s="252">
        <f t="shared" si="66"/>
        <v>1.1531677583985545E-2</v>
      </c>
      <c r="F2184" s="440">
        <v>45722</v>
      </c>
      <c r="G2184" s="363">
        <v>1614</v>
      </c>
      <c r="H2184" s="252">
        <f t="shared" si="67"/>
        <v>1.9937438781636008E-2</v>
      </c>
    </row>
    <row r="2185" spans="2:8" x14ac:dyDescent="0.3">
      <c r="B2185" s="440">
        <v>45722</v>
      </c>
      <c r="C2185" s="363">
        <v>22544.7</v>
      </c>
      <c r="D2185" s="252">
        <f t="shared" si="66"/>
        <v>9.2849180518683738E-3</v>
      </c>
      <c r="F2185" s="440">
        <v>45723</v>
      </c>
      <c r="G2185" s="363">
        <v>1609.3</v>
      </c>
      <c r="H2185" s="252">
        <f t="shared" si="67"/>
        <v>-2.9120198265180086E-3</v>
      </c>
    </row>
    <row r="2186" spans="2:8" x14ac:dyDescent="0.3">
      <c r="B2186" s="440">
        <v>45723</v>
      </c>
      <c r="C2186" s="363">
        <v>22552.5</v>
      </c>
      <c r="D2186" s="252">
        <f t="shared" si="66"/>
        <v>3.459793210820461E-4</v>
      </c>
      <c r="F2186" s="440">
        <v>45726</v>
      </c>
      <c r="G2186" s="363">
        <v>1611.5</v>
      </c>
      <c r="H2186" s="252">
        <f t="shared" si="67"/>
        <v>1.3670539986330166E-3</v>
      </c>
    </row>
    <row r="2187" spans="2:8" x14ac:dyDescent="0.3">
      <c r="B2187" s="440">
        <v>45726</v>
      </c>
      <c r="C2187" s="363">
        <v>22460.3</v>
      </c>
      <c r="D2187" s="252">
        <f t="shared" ref="D2187:D2250" si="68">C2187/C2186-1</f>
        <v>-4.0882385544840361E-3</v>
      </c>
      <c r="F2187" s="440">
        <v>45727</v>
      </c>
      <c r="G2187" s="363">
        <v>1655.3</v>
      </c>
      <c r="H2187" s="252">
        <f t="shared" ref="H2187:H2250" si="69">G2187/G2186-1</f>
        <v>2.7179646292274207E-2</v>
      </c>
    </row>
    <row r="2188" spans="2:8" x14ac:dyDescent="0.3">
      <c r="B2188" s="440">
        <v>45727</v>
      </c>
      <c r="C2188" s="363">
        <v>22497.9</v>
      </c>
      <c r="D2188" s="252">
        <f t="shared" si="68"/>
        <v>1.6740649056334878E-3</v>
      </c>
      <c r="F2188" s="440">
        <v>45728</v>
      </c>
      <c r="G2188" s="363">
        <v>1676.85</v>
      </c>
      <c r="H2188" s="252">
        <f t="shared" si="69"/>
        <v>1.3018788135081172E-2</v>
      </c>
    </row>
    <row r="2189" spans="2:8" x14ac:dyDescent="0.3">
      <c r="B2189" s="440">
        <v>45728</v>
      </c>
      <c r="C2189" s="363">
        <v>22470.5</v>
      </c>
      <c r="D2189" s="252">
        <f t="shared" si="68"/>
        <v>-1.2178914476462799E-3</v>
      </c>
      <c r="F2189" s="440">
        <v>45729</v>
      </c>
      <c r="G2189" s="363">
        <v>1683.45</v>
      </c>
      <c r="H2189" s="252">
        <f t="shared" si="69"/>
        <v>3.9359513373289357E-3</v>
      </c>
    </row>
    <row r="2190" spans="2:8" x14ac:dyDescent="0.3">
      <c r="B2190" s="440">
        <v>45729</v>
      </c>
      <c r="C2190" s="363">
        <v>22397.200000000001</v>
      </c>
      <c r="D2190" s="252">
        <f t="shared" si="68"/>
        <v>-3.2620546939320372E-3</v>
      </c>
      <c r="F2190" s="440">
        <v>45733</v>
      </c>
      <c r="G2190" s="363">
        <v>1704.3</v>
      </c>
      <c r="H2190" s="252">
        <f t="shared" si="69"/>
        <v>1.2385280228103035E-2</v>
      </c>
    </row>
    <row r="2191" spans="2:8" x14ac:dyDescent="0.3">
      <c r="B2191" s="440">
        <v>45733</v>
      </c>
      <c r="C2191" s="363">
        <v>22508.75</v>
      </c>
      <c r="D2191" s="252">
        <f t="shared" si="68"/>
        <v>4.9805332809458314E-3</v>
      </c>
      <c r="F2191" s="440">
        <v>45734</v>
      </c>
      <c r="G2191" s="363">
        <v>1747.8</v>
      </c>
      <c r="H2191" s="252">
        <f t="shared" si="69"/>
        <v>2.5523675409258928E-2</v>
      </c>
    </row>
    <row r="2192" spans="2:8" x14ac:dyDescent="0.3">
      <c r="B2192" s="440">
        <v>45734</v>
      </c>
      <c r="C2192" s="363">
        <v>22834.3</v>
      </c>
      <c r="D2192" s="252">
        <f t="shared" si="68"/>
        <v>1.4463264286110888E-2</v>
      </c>
      <c r="F2192" s="440">
        <v>45735</v>
      </c>
      <c r="G2192" s="363">
        <v>1732.35</v>
      </c>
      <c r="H2192" s="252">
        <f t="shared" si="69"/>
        <v>-8.8396841743907384E-3</v>
      </c>
    </row>
    <row r="2193" spans="2:8" x14ac:dyDescent="0.3">
      <c r="B2193" s="440">
        <v>45735</v>
      </c>
      <c r="C2193" s="363">
        <v>22907.599999999999</v>
      </c>
      <c r="D2193" s="252">
        <f t="shared" si="68"/>
        <v>3.2100830767747279E-3</v>
      </c>
      <c r="F2193" s="440">
        <v>45736</v>
      </c>
      <c r="G2193" s="363">
        <v>1750.25</v>
      </c>
      <c r="H2193" s="252">
        <f t="shared" si="69"/>
        <v>1.0332784945305651E-2</v>
      </c>
    </row>
    <row r="2194" spans="2:8" x14ac:dyDescent="0.3">
      <c r="B2194" s="440">
        <v>45736</v>
      </c>
      <c r="C2194" s="363">
        <v>23190.65</v>
      </c>
      <c r="D2194" s="252">
        <f t="shared" si="68"/>
        <v>1.2356161273987754E-2</v>
      </c>
      <c r="F2194" s="440">
        <v>45737</v>
      </c>
      <c r="G2194" s="363">
        <v>1784.5</v>
      </c>
      <c r="H2194" s="252">
        <f t="shared" si="69"/>
        <v>1.956863305242118E-2</v>
      </c>
    </row>
    <row r="2195" spans="2:8" x14ac:dyDescent="0.3">
      <c r="B2195" s="440">
        <v>45737</v>
      </c>
      <c r="C2195" s="363">
        <v>23350.400000000001</v>
      </c>
      <c r="D2195" s="252">
        <f t="shared" si="68"/>
        <v>6.8885520673203082E-3</v>
      </c>
      <c r="F2195" s="440">
        <v>45740</v>
      </c>
      <c r="G2195" s="363">
        <v>1784.8</v>
      </c>
      <c r="H2195" s="252">
        <f t="shared" si="69"/>
        <v>1.6811431773611218E-4</v>
      </c>
    </row>
    <row r="2196" spans="2:8" x14ac:dyDescent="0.3">
      <c r="B2196" s="440">
        <v>45740</v>
      </c>
      <c r="C2196" s="363">
        <v>23658.35</v>
      </c>
      <c r="D2196" s="252">
        <f t="shared" si="68"/>
        <v>1.3188210908592346E-2</v>
      </c>
      <c r="F2196" s="440">
        <v>45741</v>
      </c>
      <c r="G2196" s="363">
        <v>1764.75</v>
      </c>
      <c r="H2196" s="252">
        <f t="shared" si="69"/>
        <v>-1.1233751680860604E-2</v>
      </c>
    </row>
    <row r="2197" spans="2:8" x14ac:dyDescent="0.3">
      <c r="B2197" s="440">
        <v>45741</v>
      </c>
      <c r="C2197" s="363">
        <v>23668.65</v>
      </c>
      <c r="D2197" s="252">
        <f t="shared" si="68"/>
        <v>4.353642582852757E-4</v>
      </c>
      <c r="F2197" s="440">
        <v>45742</v>
      </c>
      <c r="G2197" s="363">
        <v>1758.95</v>
      </c>
      <c r="H2197" s="252">
        <f t="shared" si="69"/>
        <v>-3.2865845020541018E-3</v>
      </c>
    </row>
    <row r="2198" spans="2:8" x14ac:dyDescent="0.3">
      <c r="B2198" s="440">
        <v>45742</v>
      </c>
      <c r="C2198" s="363">
        <v>23486.85</v>
      </c>
      <c r="D2198" s="252">
        <f t="shared" si="68"/>
        <v>-7.6810464475161044E-3</v>
      </c>
      <c r="F2198" s="440">
        <v>45743</v>
      </c>
      <c r="G2198" s="363">
        <v>1731.45</v>
      </c>
      <c r="H2198" s="252">
        <f t="shared" si="69"/>
        <v>-1.5634327297535444E-2</v>
      </c>
    </row>
    <row r="2199" spans="2:8" x14ac:dyDescent="0.3">
      <c r="B2199" s="440">
        <v>45743</v>
      </c>
      <c r="C2199" s="363">
        <v>23591.95</v>
      </c>
      <c r="D2199" s="252">
        <f t="shared" si="68"/>
        <v>4.4748444342259663E-3</v>
      </c>
      <c r="F2199" s="440">
        <v>45744</v>
      </c>
      <c r="G2199" s="363">
        <v>1734.7</v>
      </c>
      <c r="H2199" s="252">
        <f t="shared" si="69"/>
        <v>1.8770394755840414E-3</v>
      </c>
    </row>
    <row r="2200" spans="2:8" x14ac:dyDescent="0.3">
      <c r="B2200" s="440">
        <v>45744</v>
      </c>
      <c r="C2200" s="363">
        <v>23519.35</v>
      </c>
      <c r="D2200" s="252">
        <f t="shared" si="68"/>
        <v>-3.0773208658039231E-3</v>
      </c>
      <c r="F2200" s="440">
        <v>45748</v>
      </c>
      <c r="G2200" s="363">
        <v>1698.35</v>
      </c>
      <c r="H2200" s="252">
        <f t="shared" si="69"/>
        <v>-2.0954631924828604E-2</v>
      </c>
    </row>
    <row r="2201" spans="2:8" x14ac:dyDescent="0.3">
      <c r="B2201" s="440">
        <v>45748</v>
      </c>
      <c r="C2201" s="363">
        <v>23165.7</v>
      </c>
      <c r="D2201" s="252">
        <f t="shared" si="68"/>
        <v>-1.5036555006834651E-2</v>
      </c>
      <c r="F2201" s="440">
        <v>45749</v>
      </c>
      <c r="G2201" s="363">
        <v>1713.65</v>
      </c>
      <c r="H2201" s="252">
        <f t="shared" si="69"/>
        <v>9.0087437807284676E-3</v>
      </c>
    </row>
    <row r="2202" spans="2:8" x14ac:dyDescent="0.3">
      <c r="B2202" s="440">
        <v>45749</v>
      </c>
      <c r="C2202" s="363">
        <v>23332.35</v>
      </c>
      <c r="D2202" s="252">
        <f t="shared" si="68"/>
        <v>7.1938253538634811E-3</v>
      </c>
      <c r="F2202" s="440">
        <v>45750</v>
      </c>
      <c r="G2202" s="363">
        <v>1770</v>
      </c>
      <c r="H2202" s="252">
        <f t="shared" si="69"/>
        <v>3.2883027456014791E-2</v>
      </c>
    </row>
    <row r="2203" spans="2:8" x14ac:dyDescent="0.3">
      <c r="B2203" s="440">
        <v>45750</v>
      </c>
      <c r="C2203" s="363">
        <v>23250.1</v>
      </c>
      <c r="D2203" s="252">
        <f t="shared" si="68"/>
        <v>-3.5251485598322141E-3</v>
      </c>
      <c r="F2203" s="440">
        <v>45751</v>
      </c>
      <c r="G2203" s="363">
        <v>1709.35</v>
      </c>
      <c r="H2203" s="252">
        <f t="shared" si="69"/>
        <v>-3.4265536723163903E-2</v>
      </c>
    </row>
    <row r="2204" spans="2:8" x14ac:dyDescent="0.3">
      <c r="B2204" s="440">
        <v>45751</v>
      </c>
      <c r="C2204" s="363">
        <v>22904.45</v>
      </c>
      <c r="D2204" s="252">
        <f t="shared" si="68"/>
        <v>-1.4866602724289302E-2</v>
      </c>
      <c r="F2204" s="440">
        <v>45754</v>
      </c>
      <c r="G2204" s="363">
        <v>1666.35</v>
      </c>
      <c r="H2204" s="252">
        <f t="shared" si="69"/>
        <v>-2.515576096176908E-2</v>
      </c>
    </row>
    <row r="2205" spans="2:8" x14ac:dyDescent="0.3">
      <c r="B2205" s="440">
        <v>45754</v>
      </c>
      <c r="C2205" s="363">
        <v>22161.599999999999</v>
      </c>
      <c r="D2205" s="252">
        <f t="shared" si="68"/>
        <v>-3.2432562231356932E-2</v>
      </c>
      <c r="F2205" s="440">
        <v>45755</v>
      </c>
      <c r="G2205" s="363">
        <v>1688.35</v>
      </c>
      <c r="H2205" s="252">
        <f t="shared" si="69"/>
        <v>1.3202508476610531E-2</v>
      </c>
    </row>
    <row r="2206" spans="2:8" x14ac:dyDescent="0.3">
      <c r="B2206" s="440">
        <v>45755</v>
      </c>
      <c r="C2206" s="363">
        <v>22535.85</v>
      </c>
      <c r="D2206" s="252">
        <f t="shared" si="68"/>
        <v>1.68873186051548E-2</v>
      </c>
      <c r="F2206" s="440">
        <v>45756</v>
      </c>
      <c r="G2206" s="363">
        <v>1652.2</v>
      </c>
      <c r="H2206" s="252">
        <f t="shared" si="69"/>
        <v>-2.1411437202001893E-2</v>
      </c>
    </row>
    <row r="2207" spans="2:8" x14ac:dyDescent="0.3">
      <c r="B2207" s="440">
        <v>45756</v>
      </c>
      <c r="C2207" s="363">
        <v>22399.15</v>
      </c>
      <c r="D2207" s="252">
        <f t="shared" si="68"/>
        <v>-6.0658905699140231E-3</v>
      </c>
      <c r="F2207" s="440">
        <v>45758</v>
      </c>
      <c r="G2207" s="363">
        <v>1687.55</v>
      </c>
      <c r="H2207" s="252">
        <f t="shared" si="69"/>
        <v>2.1395714804502974E-2</v>
      </c>
    </row>
    <row r="2208" spans="2:8" x14ac:dyDescent="0.3">
      <c r="B2208" s="440">
        <v>45758</v>
      </c>
      <c r="C2208" s="363">
        <v>22828.55</v>
      </c>
      <c r="D2208" s="252">
        <f t="shared" si="68"/>
        <v>1.91703703042303E-2</v>
      </c>
      <c r="F2208" s="440">
        <v>45762</v>
      </c>
      <c r="G2208" s="363">
        <v>1705</v>
      </c>
      <c r="H2208" s="252">
        <f t="shared" si="69"/>
        <v>1.034043435750065E-2</v>
      </c>
    </row>
    <row r="2209" spans="2:8" x14ac:dyDescent="0.3">
      <c r="B2209" s="440">
        <v>45762</v>
      </c>
      <c r="C2209" s="363">
        <v>23328.55</v>
      </c>
      <c r="D2209" s="252">
        <f t="shared" si="68"/>
        <v>2.1902398531663314E-2</v>
      </c>
      <c r="F2209" s="440">
        <v>45763</v>
      </c>
      <c r="G2209" s="363">
        <v>1693.1</v>
      </c>
      <c r="H2209" s="252">
        <f t="shared" si="69"/>
        <v>-6.9794721407625548E-3</v>
      </c>
    </row>
    <row r="2210" spans="2:8" x14ac:dyDescent="0.3">
      <c r="B2210" s="440">
        <v>45763</v>
      </c>
      <c r="C2210" s="363">
        <v>23437.200000000001</v>
      </c>
      <c r="D2210" s="252">
        <f t="shared" si="68"/>
        <v>4.6573833350123106E-3</v>
      </c>
      <c r="F2210" s="440">
        <v>45764</v>
      </c>
      <c r="G2210" s="363">
        <v>1751.5</v>
      </c>
      <c r="H2210" s="252">
        <f t="shared" si="69"/>
        <v>3.4492941940818644E-2</v>
      </c>
    </row>
    <row r="2211" spans="2:8" x14ac:dyDescent="0.3">
      <c r="B2211" s="440">
        <v>45764</v>
      </c>
      <c r="C2211" s="363">
        <v>23851.65</v>
      </c>
      <c r="D2211" s="252">
        <f t="shared" si="68"/>
        <v>1.7683426347857356E-2</v>
      </c>
      <c r="F2211" s="440">
        <v>45768</v>
      </c>
      <c r="G2211" s="363">
        <v>1744.9</v>
      </c>
      <c r="H2211" s="252">
        <f t="shared" si="69"/>
        <v>-3.7681986868397521E-3</v>
      </c>
    </row>
    <row r="2212" spans="2:8" x14ac:dyDescent="0.3">
      <c r="B2212" s="440">
        <v>45768</v>
      </c>
      <c r="C2212" s="363">
        <v>24125.55</v>
      </c>
      <c r="D2212" s="252">
        <f t="shared" si="68"/>
        <v>1.1483482274811108E-2</v>
      </c>
      <c r="F2212" s="440">
        <v>45769</v>
      </c>
      <c r="G2212" s="363">
        <v>1747.4</v>
      </c>
      <c r="H2212" s="252">
        <f t="shared" si="69"/>
        <v>1.4327468622843398E-3</v>
      </c>
    </row>
    <row r="2213" spans="2:8" x14ac:dyDescent="0.3">
      <c r="B2213" s="440">
        <v>45769</v>
      </c>
      <c r="C2213" s="363">
        <v>24167.25</v>
      </c>
      <c r="D2213" s="252">
        <f t="shared" si="68"/>
        <v>1.7284580040661801E-3</v>
      </c>
      <c r="F2213" s="440">
        <v>45770</v>
      </c>
      <c r="G2213" s="363">
        <v>1788.8</v>
      </c>
      <c r="H2213" s="252">
        <f t="shared" si="69"/>
        <v>2.3692342909465314E-2</v>
      </c>
    </row>
    <row r="2214" spans="2:8" x14ac:dyDescent="0.3">
      <c r="B2214" s="440">
        <v>45770</v>
      </c>
      <c r="C2214" s="363">
        <v>24328.95</v>
      </c>
      <c r="D2214" s="252">
        <f t="shared" si="68"/>
        <v>6.6908729789281196E-3</v>
      </c>
      <c r="F2214" s="440">
        <v>45771</v>
      </c>
      <c r="G2214" s="363">
        <v>1803.9</v>
      </c>
      <c r="H2214" s="252">
        <f t="shared" si="69"/>
        <v>8.4414132379249107E-3</v>
      </c>
    </row>
    <row r="2215" spans="2:8" x14ac:dyDescent="0.3">
      <c r="B2215" s="440">
        <v>45771</v>
      </c>
      <c r="C2215" s="363">
        <v>24246.7</v>
      </c>
      <c r="D2215" s="252">
        <f t="shared" si="68"/>
        <v>-3.380745983694311E-3</v>
      </c>
      <c r="F2215" s="440">
        <v>45772</v>
      </c>
      <c r="G2215" s="363">
        <v>1787.4</v>
      </c>
      <c r="H2215" s="252">
        <f t="shared" si="69"/>
        <v>-9.1468484949276396E-3</v>
      </c>
    </row>
    <row r="2216" spans="2:8" x14ac:dyDescent="0.3">
      <c r="B2216" s="440">
        <v>45772</v>
      </c>
      <c r="C2216" s="363">
        <v>24039.35</v>
      </c>
      <c r="D2216" s="252">
        <f t="shared" si="68"/>
        <v>-8.5516791975815964E-3</v>
      </c>
      <c r="F2216" s="440">
        <v>45775</v>
      </c>
      <c r="G2216" s="363">
        <v>1841.6</v>
      </c>
      <c r="H2216" s="252">
        <f t="shared" si="69"/>
        <v>3.0323374734250841E-2</v>
      </c>
    </row>
    <row r="2217" spans="2:8" x14ac:dyDescent="0.3">
      <c r="B2217" s="440">
        <v>45775</v>
      </c>
      <c r="C2217" s="363">
        <v>24328.5</v>
      </c>
      <c r="D2217" s="252">
        <f t="shared" si="68"/>
        <v>1.2028195437896683E-2</v>
      </c>
      <c r="F2217" s="440">
        <v>45776</v>
      </c>
      <c r="G2217" s="363">
        <v>1805.5</v>
      </c>
      <c r="H2217" s="252">
        <f t="shared" si="69"/>
        <v>-1.96025195482189E-2</v>
      </c>
    </row>
    <row r="2218" spans="2:8" x14ac:dyDescent="0.3">
      <c r="B2218" s="440">
        <v>45776</v>
      </c>
      <c r="C2218" s="363">
        <v>24335.95</v>
      </c>
      <c r="D2218" s="252">
        <f t="shared" si="68"/>
        <v>3.0622520911682827E-4</v>
      </c>
      <c r="F2218" s="440">
        <v>45777</v>
      </c>
      <c r="G2218" s="363">
        <v>1832.3</v>
      </c>
      <c r="H2218" s="252">
        <f t="shared" si="69"/>
        <v>1.4843533647189044E-2</v>
      </c>
    </row>
    <row r="2219" spans="2:8" x14ac:dyDescent="0.3">
      <c r="B2219" s="440">
        <v>45777</v>
      </c>
      <c r="C2219" s="363">
        <v>24334.2</v>
      </c>
      <c r="D2219" s="252">
        <f t="shared" si="68"/>
        <v>-7.1910075423398112E-5</v>
      </c>
      <c r="F2219" s="440">
        <v>45779</v>
      </c>
      <c r="G2219" s="363">
        <v>1829.4</v>
      </c>
      <c r="H2219" s="252">
        <f t="shared" si="69"/>
        <v>-1.5827102548708893E-3</v>
      </c>
    </row>
    <row r="2220" spans="2:8" x14ac:dyDescent="0.3">
      <c r="B2220" s="440">
        <v>45779</v>
      </c>
      <c r="C2220" s="363">
        <v>24346.7</v>
      </c>
      <c r="D2220" s="252">
        <f t="shared" si="68"/>
        <v>5.1368033467302787E-4</v>
      </c>
      <c r="F2220" s="440">
        <v>45782</v>
      </c>
      <c r="G2220" s="363">
        <v>1836.6</v>
      </c>
      <c r="H2220" s="252">
        <f t="shared" si="69"/>
        <v>3.9357166284026412E-3</v>
      </c>
    </row>
    <row r="2221" spans="2:8" x14ac:dyDescent="0.3">
      <c r="B2221" s="440">
        <v>45782</v>
      </c>
      <c r="C2221" s="363">
        <v>24461.15</v>
      </c>
      <c r="D2221" s="252">
        <f t="shared" si="68"/>
        <v>4.7008424139616256E-3</v>
      </c>
      <c r="F2221" s="440">
        <v>45783</v>
      </c>
      <c r="G2221" s="363">
        <v>1819.1</v>
      </c>
      <c r="H2221" s="252">
        <f t="shared" si="69"/>
        <v>-9.5284765327234844E-3</v>
      </c>
    </row>
    <row r="2222" spans="2:8" x14ac:dyDescent="0.3">
      <c r="B2222" s="440">
        <v>45783</v>
      </c>
      <c r="C2222" s="363">
        <v>24379.599999999999</v>
      </c>
      <c r="D2222" s="252">
        <f t="shared" si="68"/>
        <v>-3.3338579747886898E-3</v>
      </c>
      <c r="F2222" s="440">
        <v>45784</v>
      </c>
      <c r="G2222" s="363">
        <v>1781.3</v>
      </c>
      <c r="H2222" s="252">
        <f t="shared" si="69"/>
        <v>-2.0779506349293597E-2</v>
      </c>
    </row>
    <row r="2223" spans="2:8" x14ac:dyDescent="0.3">
      <c r="B2223" s="440">
        <v>45784</v>
      </c>
      <c r="C2223" s="363">
        <v>24414.400000000001</v>
      </c>
      <c r="D2223" s="252">
        <f t="shared" si="68"/>
        <v>1.4274229273656402E-3</v>
      </c>
      <c r="F2223" s="440">
        <v>45785</v>
      </c>
      <c r="G2223" s="363">
        <v>1767.2</v>
      </c>
      <c r="H2223" s="252">
        <f t="shared" si="69"/>
        <v>-7.9155672823219003E-3</v>
      </c>
    </row>
    <row r="2224" spans="2:8" x14ac:dyDescent="0.3">
      <c r="B2224" s="440">
        <v>45785</v>
      </c>
      <c r="C2224" s="363">
        <v>24273.8</v>
      </c>
      <c r="D2224" s="252">
        <f t="shared" si="68"/>
        <v>-5.758896389016388E-3</v>
      </c>
      <c r="F2224" s="440">
        <v>45786</v>
      </c>
      <c r="G2224" s="363">
        <v>1744.8</v>
      </c>
      <c r="H2224" s="252">
        <f t="shared" si="69"/>
        <v>-1.2675418741512012E-2</v>
      </c>
    </row>
    <row r="2225" spans="2:8" x14ac:dyDescent="0.3">
      <c r="B2225" s="440">
        <v>45786</v>
      </c>
      <c r="C2225" s="363">
        <v>24008</v>
      </c>
      <c r="D2225" s="252">
        <f t="shared" si="68"/>
        <v>-1.0950077861727414E-2</v>
      </c>
      <c r="F2225" s="440">
        <v>45789</v>
      </c>
      <c r="G2225" s="363">
        <v>1686.2</v>
      </c>
      <c r="H2225" s="252">
        <f t="shared" si="69"/>
        <v>-3.3585511233379162E-2</v>
      </c>
    </row>
    <row r="2226" spans="2:8" x14ac:dyDescent="0.3">
      <c r="B2226" s="440">
        <v>45789</v>
      </c>
      <c r="C2226" s="363">
        <v>24924.7</v>
      </c>
      <c r="D2226" s="252">
        <f t="shared" si="68"/>
        <v>3.8183105631456105E-2</v>
      </c>
      <c r="F2226" s="440">
        <v>45790</v>
      </c>
      <c r="G2226" s="363">
        <v>1700</v>
      </c>
      <c r="H2226" s="252">
        <f t="shared" si="69"/>
        <v>8.1840825524848171E-3</v>
      </c>
    </row>
    <row r="2227" spans="2:8" x14ac:dyDescent="0.3">
      <c r="B2227" s="440">
        <v>45790</v>
      </c>
      <c r="C2227" s="363">
        <v>24578.35</v>
      </c>
      <c r="D2227" s="252">
        <f t="shared" si="68"/>
        <v>-1.3895854313191403E-2</v>
      </c>
      <c r="F2227" s="440">
        <v>45791</v>
      </c>
      <c r="G2227" s="363">
        <v>1708.2</v>
      </c>
      <c r="H2227" s="252">
        <f t="shared" si="69"/>
        <v>4.823529411764671E-3</v>
      </c>
    </row>
    <row r="2228" spans="2:8" x14ac:dyDescent="0.3">
      <c r="B2228" s="440">
        <v>45791</v>
      </c>
      <c r="C2228" s="363">
        <v>24666.9</v>
      </c>
      <c r="D2228" s="252">
        <f t="shared" si="68"/>
        <v>3.602764221357635E-3</v>
      </c>
      <c r="F2228" s="440">
        <v>45792</v>
      </c>
      <c r="G2228" s="363">
        <v>1740.1</v>
      </c>
      <c r="H2228" s="252">
        <f t="shared" si="69"/>
        <v>1.8674628263669169E-2</v>
      </c>
    </row>
    <row r="2229" spans="2:8" x14ac:dyDescent="0.3">
      <c r="B2229" s="440">
        <v>45792</v>
      </c>
      <c r="C2229" s="363">
        <v>25062.1</v>
      </c>
      <c r="D2229" s="252">
        <f t="shared" si="68"/>
        <v>1.6021470067175025E-2</v>
      </c>
      <c r="F2229" s="440">
        <v>45793</v>
      </c>
      <c r="G2229" s="363">
        <v>1734.9</v>
      </c>
      <c r="H2229" s="252">
        <f t="shared" si="69"/>
        <v>-2.9883340037928363E-3</v>
      </c>
    </row>
    <row r="2230" spans="2:8" x14ac:dyDescent="0.3">
      <c r="B2230" s="440">
        <v>45793</v>
      </c>
      <c r="C2230" s="363">
        <v>25019.8</v>
      </c>
      <c r="D2230" s="252">
        <f t="shared" si="68"/>
        <v>-1.6878074862042292E-3</v>
      </c>
      <c r="F2230" s="440">
        <v>45796</v>
      </c>
      <c r="G2230" s="363">
        <v>1730.2</v>
      </c>
      <c r="H2230" s="252">
        <f t="shared" si="69"/>
        <v>-2.7090898610870884E-3</v>
      </c>
    </row>
    <row r="2231" spans="2:8" x14ac:dyDescent="0.3">
      <c r="B2231" s="440">
        <v>45796</v>
      </c>
      <c r="C2231" s="363">
        <v>24945.45</v>
      </c>
      <c r="D2231" s="252">
        <f t="shared" si="68"/>
        <v>-2.9716464560067823E-3</v>
      </c>
      <c r="F2231" s="440">
        <v>45797</v>
      </c>
      <c r="G2231" s="363">
        <v>1707.8</v>
      </c>
      <c r="H2231" s="252">
        <f t="shared" si="69"/>
        <v>-1.2946480175702324E-2</v>
      </c>
    </row>
    <row r="2232" spans="2:8" x14ac:dyDescent="0.3">
      <c r="B2232" s="440">
        <v>45797</v>
      </c>
      <c r="C2232" s="363">
        <v>24683.9</v>
      </c>
      <c r="D2232" s="252">
        <f t="shared" si="68"/>
        <v>-1.0484878003804265E-2</v>
      </c>
      <c r="F2232" s="440">
        <v>45798</v>
      </c>
      <c r="G2232" s="363">
        <v>1731.8</v>
      </c>
      <c r="H2232" s="252">
        <f t="shared" si="69"/>
        <v>1.4053167818245615E-2</v>
      </c>
    </row>
    <row r="2233" spans="2:8" x14ac:dyDescent="0.3">
      <c r="B2233" s="440">
        <v>45798</v>
      </c>
      <c r="C2233" s="363">
        <v>24813.45</v>
      </c>
      <c r="D2233" s="252">
        <f t="shared" si="68"/>
        <v>5.2483602672186436E-3</v>
      </c>
      <c r="F2233" s="440">
        <v>45799</v>
      </c>
      <c r="G2233" s="363">
        <v>1718.7</v>
      </c>
      <c r="H2233" s="252">
        <f t="shared" si="69"/>
        <v>-7.5643838780459216E-3</v>
      </c>
    </row>
    <row r="2234" spans="2:8" x14ac:dyDescent="0.3">
      <c r="B2234" s="440">
        <v>45799</v>
      </c>
      <c r="C2234" s="363">
        <v>24609.7</v>
      </c>
      <c r="D2234" s="252">
        <f t="shared" si="68"/>
        <v>-8.2112725155107924E-3</v>
      </c>
      <c r="F2234" s="440">
        <v>45800</v>
      </c>
      <c r="G2234" s="363">
        <v>1683.6</v>
      </c>
      <c r="H2234" s="252">
        <f t="shared" si="69"/>
        <v>-2.0422412288357505E-2</v>
      </c>
    </row>
    <row r="2235" spans="2:8" x14ac:dyDescent="0.3">
      <c r="B2235" s="440">
        <v>45800</v>
      </c>
      <c r="C2235" s="363">
        <v>24853.15</v>
      </c>
      <c r="D2235" s="252">
        <f t="shared" si="68"/>
        <v>9.8924407855438545E-3</v>
      </c>
      <c r="F2235" s="440">
        <v>45803</v>
      </c>
      <c r="G2235" s="363">
        <v>1676.1</v>
      </c>
      <c r="H2235" s="252">
        <f t="shared" si="69"/>
        <v>-4.4547398431931118E-3</v>
      </c>
    </row>
    <row r="2236" spans="2:8" x14ac:dyDescent="0.3">
      <c r="B2236" s="440">
        <v>45803</v>
      </c>
      <c r="C2236" s="363">
        <v>25001.15</v>
      </c>
      <c r="D2236" s="252">
        <f t="shared" si="68"/>
        <v>5.954979549875894E-3</v>
      </c>
      <c r="F2236" s="440">
        <v>45804</v>
      </c>
      <c r="G2236" s="363">
        <v>1683.4</v>
      </c>
      <c r="H2236" s="252">
        <f t="shared" si="69"/>
        <v>4.3553487262097956E-3</v>
      </c>
    </row>
    <row r="2237" spans="2:8" x14ac:dyDescent="0.3">
      <c r="B2237" s="440">
        <v>45804</v>
      </c>
      <c r="C2237" s="363">
        <v>24826.2</v>
      </c>
      <c r="D2237" s="252">
        <f t="shared" si="68"/>
        <v>-6.9976781068070704E-3</v>
      </c>
      <c r="F2237" s="440">
        <v>45805</v>
      </c>
      <c r="G2237" s="363">
        <v>1666.4</v>
      </c>
      <c r="H2237" s="252">
        <f t="shared" si="69"/>
        <v>-1.0098609956041393E-2</v>
      </c>
    </row>
    <row r="2238" spans="2:8" x14ac:dyDescent="0.3">
      <c r="B2238" s="440">
        <v>45805</v>
      </c>
      <c r="C2238" s="363">
        <v>24752.45</v>
      </c>
      <c r="D2238" s="252">
        <f t="shared" si="68"/>
        <v>-2.9706519725128944E-3</v>
      </c>
      <c r="F2238" s="440">
        <v>45806</v>
      </c>
      <c r="G2238" s="363">
        <v>1699.8</v>
      </c>
      <c r="H2238" s="252">
        <f t="shared" si="69"/>
        <v>2.0043206913106015E-2</v>
      </c>
    </row>
    <row r="2239" spans="2:8" x14ac:dyDescent="0.3">
      <c r="B2239" s="440">
        <v>45806</v>
      </c>
      <c r="C2239" s="363">
        <v>24833.599999999999</v>
      </c>
      <c r="D2239" s="252">
        <f t="shared" si="68"/>
        <v>3.2784633440325894E-3</v>
      </c>
      <c r="F2239" s="440">
        <v>45807</v>
      </c>
      <c r="G2239" s="363">
        <v>1677.6</v>
      </c>
      <c r="H2239" s="252">
        <f t="shared" si="69"/>
        <v>-1.3060360042357999E-2</v>
      </c>
    </row>
    <row r="2240" spans="2:8" x14ac:dyDescent="0.3">
      <c r="B2240" s="440">
        <v>45807</v>
      </c>
      <c r="C2240" s="363">
        <v>24750.7</v>
      </c>
      <c r="D2240" s="252">
        <f t="shared" si="68"/>
        <v>-3.3382191869080202E-3</v>
      </c>
      <c r="F2240" s="440">
        <v>45810</v>
      </c>
      <c r="G2240" s="363">
        <v>1674.6</v>
      </c>
      <c r="H2240" s="252">
        <f t="shared" si="69"/>
        <v>-1.7882689556509845E-3</v>
      </c>
    </row>
    <row r="2241" spans="2:8" x14ac:dyDescent="0.3">
      <c r="B2241" s="440">
        <v>45810</v>
      </c>
      <c r="C2241" s="363">
        <v>24716.6</v>
      </c>
      <c r="D2241" s="252">
        <f t="shared" si="68"/>
        <v>-1.3777388114276645E-3</v>
      </c>
      <c r="F2241" s="440">
        <v>45811</v>
      </c>
      <c r="G2241" s="363">
        <v>1667.5</v>
      </c>
      <c r="H2241" s="252">
        <f t="shared" si="69"/>
        <v>-4.2398184641108116E-3</v>
      </c>
    </row>
    <row r="2242" spans="2:8" x14ac:dyDescent="0.3">
      <c r="B2242" s="440">
        <v>45811</v>
      </c>
      <c r="C2242" s="363">
        <v>24542.5</v>
      </c>
      <c r="D2242" s="252">
        <f t="shared" si="68"/>
        <v>-7.0438490730925229E-3</v>
      </c>
      <c r="F2242" s="440">
        <v>45812</v>
      </c>
      <c r="G2242" s="363">
        <v>1664.9</v>
      </c>
      <c r="H2242" s="252">
        <f t="shared" si="69"/>
        <v>-1.5592203898050494E-3</v>
      </c>
    </row>
    <row r="2243" spans="2:8" x14ac:dyDescent="0.3">
      <c r="B2243" s="440">
        <v>45812</v>
      </c>
      <c r="C2243" s="363">
        <v>24620.2</v>
      </c>
      <c r="D2243" s="252">
        <f t="shared" si="68"/>
        <v>3.1659366405216716E-3</v>
      </c>
      <c r="F2243" s="440">
        <v>45813</v>
      </c>
      <c r="G2243" s="363">
        <v>1683.1</v>
      </c>
      <c r="H2243" s="252">
        <f t="shared" si="69"/>
        <v>1.0931587482731597E-2</v>
      </c>
    </row>
    <row r="2244" spans="2:8" x14ac:dyDescent="0.3">
      <c r="B2244" s="440">
        <v>45813</v>
      </c>
      <c r="C2244" s="363">
        <v>24750.9</v>
      </c>
      <c r="D2244" s="252">
        <f t="shared" si="68"/>
        <v>5.3086489955402882E-3</v>
      </c>
      <c r="F2244" s="440">
        <v>45814</v>
      </c>
      <c r="G2244" s="363">
        <v>1679.2</v>
      </c>
      <c r="H2244" s="252">
        <f t="shared" si="69"/>
        <v>-2.3171528726753099E-3</v>
      </c>
    </row>
    <row r="2245" spans="2:8" x14ac:dyDescent="0.3">
      <c r="B2245" s="440">
        <v>45814</v>
      </c>
      <c r="C2245" s="363">
        <v>25003.05</v>
      </c>
      <c r="D2245" s="252">
        <f t="shared" si="68"/>
        <v>1.0187508333030282E-2</v>
      </c>
      <c r="F2245" s="440">
        <v>45817</v>
      </c>
      <c r="G2245" s="363">
        <v>1694.4</v>
      </c>
      <c r="H2245" s="252">
        <f t="shared" si="69"/>
        <v>9.051929490233368E-3</v>
      </c>
    </row>
    <row r="2246" spans="2:8" x14ac:dyDescent="0.3">
      <c r="B2246" s="440">
        <v>45817</v>
      </c>
      <c r="C2246" s="363">
        <v>25103.200000000001</v>
      </c>
      <c r="D2246" s="252">
        <f t="shared" si="68"/>
        <v>4.0055113276180609E-3</v>
      </c>
      <c r="F2246" s="440">
        <v>45818</v>
      </c>
      <c r="G2246" s="363">
        <v>1688.8</v>
      </c>
      <c r="H2246" s="252">
        <f t="shared" si="69"/>
        <v>-3.3050047214353562E-3</v>
      </c>
    </row>
    <row r="2247" spans="2:8" x14ac:dyDescent="0.3">
      <c r="B2247" s="440">
        <v>45818</v>
      </c>
      <c r="C2247" s="363">
        <v>25104.25</v>
      </c>
      <c r="D2247" s="252">
        <f t="shared" si="68"/>
        <v>4.1827336753952338E-5</v>
      </c>
      <c r="F2247" s="440">
        <v>45819</v>
      </c>
      <c r="G2247" s="363">
        <v>1690.6</v>
      </c>
      <c r="H2247" s="252">
        <f t="shared" si="69"/>
        <v>1.065845570819457E-3</v>
      </c>
    </row>
    <row r="2248" spans="2:8" x14ac:dyDescent="0.3">
      <c r="B2248" s="440">
        <v>45819</v>
      </c>
      <c r="C2248" s="363">
        <v>25141.4</v>
      </c>
      <c r="D2248" s="252">
        <f t="shared" si="68"/>
        <v>1.4798291126005836E-3</v>
      </c>
      <c r="F2248" s="440">
        <v>45820</v>
      </c>
      <c r="G2248" s="363">
        <v>1687.4</v>
      </c>
      <c r="H2248" s="252">
        <f t="shared" si="69"/>
        <v>-1.8928191174729658E-3</v>
      </c>
    </row>
    <row r="2249" spans="2:8" x14ac:dyDescent="0.3">
      <c r="B2249" s="440">
        <v>45820</v>
      </c>
      <c r="C2249" s="363">
        <v>24888.2</v>
      </c>
      <c r="D2249" s="252">
        <f t="shared" si="68"/>
        <v>-1.0071038207896121E-2</v>
      </c>
      <c r="F2249" s="440">
        <v>45821</v>
      </c>
      <c r="G2249" s="363">
        <v>1687.8</v>
      </c>
      <c r="H2249" s="252">
        <f t="shared" si="69"/>
        <v>2.3705108450866597E-4</v>
      </c>
    </row>
    <row r="2250" spans="2:8" x14ac:dyDescent="0.3">
      <c r="B2250" s="440">
        <v>45821</v>
      </c>
      <c r="C2250" s="363">
        <v>24718.6</v>
      </c>
      <c r="D2250" s="252">
        <f t="shared" si="68"/>
        <v>-6.8144743292002374E-3</v>
      </c>
      <c r="F2250" s="440">
        <v>45824</v>
      </c>
      <c r="G2250" s="363">
        <v>1685.3</v>
      </c>
      <c r="H2250" s="252">
        <f t="shared" si="69"/>
        <v>-1.4812181538096381E-3</v>
      </c>
    </row>
    <row r="2251" spans="2:8" x14ac:dyDescent="0.3">
      <c r="B2251" s="440">
        <v>45824</v>
      </c>
      <c r="C2251" s="363">
        <v>24946.5</v>
      </c>
      <c r="D2251" s="252">
        <f t="shared" ref="D2251:D2314" si="70">C2251/C2250-1</f>
        <v>9.2197778191323021E-3</v>
      </c>
      <c r="F2251" s="440">
        <v>45825</v>
      </c>
      <c r="G2251" s="363">
        <v>1650.2</v>
      </c>
      <c r="H2251" s="252">
        <f t="shared" ref="H2251:H2314" si="71">G2251/G2250-1</f>
        <v>-2.0827152435768048E-2</v>
      </c>
    </row>
    <row r="2252" spans="2:8" x14ac:dyDescent="0.3">
      <c r="B2252" s="440">
        <v>45825</v>
      </c>
      <c r="C2252" s="363">
        <v>24853.4</v>
      </c>
      <c r="D2252" s="252">
        <f t="shared" si="70"/>
        <v>-3.7319864510051426E-3</v>
      </c>
      <c r="F2252" s="440">
        <v>45826</v>
      </c>
      <c r="G2252" s="363">
        <v>1648</v>
      </c>
      <c r="H2252" s="252">
        <f t="shared" si="71"/>
        <v>-1.3331717367591756E-3</v>
      </c>
    </row>
    <row r="2253" spans="2:8" x14ac:dyDescent="0.3">
      <c r="B2253" s="440">
        <v>45826</v>
      </c>
      <c r="C2253" s="363">
        <v>24812.05</v>
      </c>
      <c r="D2253" s="252">
        <f t="shared" si="70"/>
        <v>-1.6637562667483063E-3</v>
      </c>
      <c r="F2253" s="440">
        <v>45827</v>
      </c>
      <c r="G2253" s="363">
        <v>1647.6</v>
      </c>
      <c r="H2253" s="252">
        <f t="shared" si="71"/>
        <v>-2.4271844660195274E-4</v>
      </c>
    </row>
    <row r="2254" spans="2:8" x14ac:dyDescent="0.3">
      <c r="B2254" s="440">
        <v>45827</v>
      </c>
      <c r="C2254" s="363">
        <v>24793.25</v>
      </c>
      <c r="D2254" s="252">
        <f t="shared" si="70"/>
        <v>-7.5769636124378703E-4</v>
      </c>
      <c r="F2254" s="440">
        <v>45828</v>
      </c>
      <c r="G2254" s="363">
        <v>1665.1</v>
      </c>
      <c r="H2254" s="252">
        <f t="shared" si="71"/>
        <v>1.0621510075260909E-2</v>
      </c>
    </row>
    <row r="2255" spans="2:8" x14ac:dyDescent="0.3">
      <c r="B2255" s="440">
        <v>45828</v>
      </c>
      <c r="C2255" s="363">
        <v>25112.400000000001</v>
      </c>
      <c r="D2255" s="252">
        <f t="shared" si="70"/>
        <v>1.2872455204541611E-2</v>
      </c>
      <c r="F2255" s="440">
        <v>45831</v>
      </c>
      <c r="G2255" s="363">
        <v>1662.5</v>
      </c>
      <c r="H2255" s="252">
        <f t="shared" si="71"/>
        <v>-1.5614677797128884E-3</v>
      </c>
    </row>
    <row r="2256" spans="2:8" x14ac:dyDescent="0.3">
      <c r="B2256" s="440">
        <v>45831</v>
      </c>
      <c r="C2256" s="363">
        <v>24971.9</v>
      </c>
      <c r="D2256" s="252">
        <f t="shared" si="70"/>
        <v>-5.594845574297902E-3</v>
      </c>
      <c r="F2256" s="440">
        <v>45832</v>
      </c>
      <c r="G2256" s="363">
        <v>1661.7</v>
      </c>
      <c r="H2256" s="252">
        <f t="shared" si="71"/>
        <v>-4.81203007518749E-4</v>
      </c>
    </row>
    <row r="2257" spans="2:8" x14ac:dyDescent="0.3">
      <c r="B2257" s="440">
        <v>45832</v>
      </c>
      <c r="C2257" s="363">
        <v>25044.35</v>
      </c>
      <c r="D2257" s="252">
        <f t="shared" si="70"/>
        <v>2.9012610173835274E-3</v>
      </c>
      <c r="F2257" s="440">
        <v>45833</v>
      </c>
      <c r="G2257" s="363">
        <v>1669.6</v>
      </c>
      <c r="H2257" s="252">
        <f t="shared" si="71"/>
        <v>4.7541674189082173E-3</v>
      </c>
    </row>
    <row r="2258" spans="2:8" x14ac:dyDescent="0.3">
      <c r="B2258" s="440">
        <v>45833</v>
      </c>
      <c r="C2258" s="363">
        <v>25244.75</v>
      </c>
      <c r="D2258" s="252">
        <f t="shared" si="70"/>
        <v>8.001804798287937E-3</v>
      </c>
      <c r="F2258" s="440">
        <v>45834</v>
      </c>
      <c r="G2258" s="363">
        <v>1669.8</v>
      </c>
      <c r="H2258" s="252">
        <f t="shared" si="71"/>
        <v>1.1978917105892606E-4</v>
      </c>
    </row>
    <row r="2259" spans="2:8" x14ac:dyDescent="0.3">
      <c r="B2259" s="440">
        <v>45834</v>
      </c>
      <c r="C2259" s="363">
        <v>25549</v>
      </c>
      <c r="D2259" s="252">
        <f t="shared" si="70"/>
        <v>1.2052010814129765E-2</v>
      </c>
      <c r="F2259" s="440">
        <v>45835</v>
      </c>
      <c r="G2259" s="363">
        <v>1687.6</v>
      </c>
      <c r="H2259" s="252">
        <f t="shared" si="71"/>
        <v>1.0659959276559938E-2</v>
      </c>
    </row>
    <row r="2260" spans="2:8" x14ac:dyDescent="0.3">
      <c r="B2260" s="440">
        <v>45835</v>
      </c>
      <c r="C2260" s="363">
        <v>25637.8</v>
      </c>
      <c r="D2260" s="252">
        <f t="shared" si="70"/>
        <v>3.4756741946846414E-3</v>
      </c>
      <c r="F2260" s="440">
        <v>45838</v>
      </c>
      <c r="G2260" s="363">
        <v>1675.7</v>
      </c>
      <c r="H2260" s="252">
        <f t="shared" si="71"/>
        <v>-7.0514339890969113E-3</v>
      </c>
    </row>
    <row r="2261" spans="2:8" x14ac:dyDescent="0.3">
      <c r="B2261" s="440">
        <v>45838</v>
      </c>
      <c r="C2261" s="363">
        <v>25517.05</v>
      </c>
      <c r="D2261" s="252">
        <f t="shared" si="70"/>
        <v>-4.7098424981862896E-3</v>
      </c>
      <c r="F2261" s="440">
        <v>45839</v>
      </c>
      <c r="G2261" s="363">
        <v>1667.2</v>
      </c>
      <c r="H2261" s="252">
        <f t="shared" si="71"/>
        <v>-5.07250701199502E-3</v>
      </c>
    </row>
    <row r="2262" spans="2:8" x14ac:dyDescent="0.3">
      <c r="B2262" s="440">
        <v>45839</v>
      </c>
      <c r="C2262" s="363">
        <v>25541.8</v>
      </c>
      <c r="D2262" s="252">
        <f t="shared" si="70"/>
        <v>9.6993970698022736E-4</v>
      </c>
      <c r="F2262" s="440">
        <v>45840</v>
      </c>
      <c r="G2262" s="363">
        <v>1677.5</v>
      </c>
      <c r="H2262" s="252">
        <f t="shared" si="71"/>
        <v>6.1780230326295982E-3</v>
      </c>
    </row>
    <row r="2263" spans="2:8" x14ac:dyDescent="0.3">
      <c r="B2263" s="440">
        <v>45840</v>
      </c>
      <c r="C2263" s="363">
        <v>25453.4</v>
      </c>
      <c r="D2263" s="252">
        <f t="shared" si="70"/>
        <v>-3.4609933520737268E-3</v>
      </c>
      <c r="F2263" s="440">
        <v>45841</v>
      </c>
      <c r="G2263" s="363">
        <v>1679.7</v>
      </c>
      <c r="H2263" s="252">
        <f t="shared" si="71"/>
        <v>1.3114754098360049E-3</v>
      </c>
    </row>
    <row r="2264" spans="2:8" x14ac:dyDescent="0.3">
      <c r="B2264" s="440">
        <v>45841</v>
      </c>
      <c r="C2264" s="363">
        <v>25405.3</v>
      </c>
      <c r="D2264" s="252">
        <f t="shared" si="70"/>
        <v>-1.8897278948981633E-3</v>
      </c>
      <c r="F2264" s="440">
        <v>45842</v>
      </c>
      <c r="G2264" s="363">
        <v>1676.3</v>
      </c>
      <c r="H2264" s="252">
        <f t="shared" si="71"/>
        <v>-2.0241709829136312E-3</v>
      </c>
    </row>
    <row r="2265" spans="2:8" x14ac:dyDescent="0.3">
      <c r="B2265" s="440">
        <v>45842</v>
      </c>
      <c r="C2265" s="363">
        <v>25461</v>
      </c>
      <c r="D2265" s="252">
        <f t="shared" si="70"/>
        <v>2.1924559048702719E-3</v>
      </c>
      <c r="F2265" s="440">
        <v>45845</v>
      </c>
      <c r="G2265" s="363">
        <v>1679.9</v>
      </c>
      <c r="H2265" s="252">
        <f t="shared" si="71"/>
        <v>2.1475869474438802E-3</v>
      </c>
    </row>
    <row r="2266" spans="2:8" x14ac:dyDescent="0.3">
      <c r="B2266" s="440">
        <v>45845</v>
      </c>
      <c r="C2266" s="363">
        <v>25461.3</v>
      </c>
      <c r="D2266" s="252">
        <f t="shared" si="70"/>
        <v>1.1782726522913123E-5</v>
      </c>
      <c r="F2266" s="440">
        <v>45846</v>
      </c>
      <c r="G2266" s="363">
        <v>1672.5</v>
      </c>
      <c r="H2266" s="252">
        <f t="shared" si="71"/>
        <v>-4.4050241085779041E-3</v>
      </c>
    </row>
    <row r="2267" spans="2:8" x14ac:dyDescent="0.3">
      <c r="B2267" s="440">
        <v>45846</v>
      </c>
      <c r="C2267" s="363">
        <v>25522.5</v>
      </c>
      <c r="D2267" s="252">
        <f t="shared" si="70"/>
        <v>2.403647889149374E-3</v>
      </c>
      <c r="F2267" s="440">
        <v>45847</v>
      </c>
      <c r="G2267" s="363">
        <v>1669.4</v>
      </c>
      <c r="H2267" s="252">
        <f t="shared" si="71"/>
        <v>-1.85351270553058E-3</v>
      </c>
    </row>
    <row r="2268" spans="2:8" x14ac:dyDescent="0.3">
      <c r="B2268" s="440">
        <v>45847</v>
      </c>
      <c r="C2268" s="363">
        <v>25476.1</v>
      </c>
      <c r="D2268" s="252">
        <f t="shared" si="70"/>
        <v>-1.8180037222059742E-3</v>
      </c>
      <c r="F2268" s="440">
        <v>45848</v>
      </c>
      <c r="G2268" s="363">
        <v>1662.5</v>
      </c>
      <c r="H2268" s="252">
        <f t="shared" si="71"/>
        <v>-4.1332215167126929E-3</v>
      </c>
    </row>
    <row r="2269" spans="2:8" x14ac:dyDescent="0.3">
      <c r="B2269" s="440">
        <v>45848</v>
      </c>
      <c r="C2269" s="363">
        <v>25355.25</v>
      </c>
      <c r="D2269" s="252">
        <f t="shared" si="70"/>
        <v>-4.7436617064621212E-3</v>
      </c>
      <c r="F2269" s="440">
        <v>45849</v>
      </c>
      <c r="G2269" s="363">
        <v>1672</v>
      </c>
      <c r="H2269" s="252">
        <f t="shared" si="71"/>
        <v>5.7142857142857828E-3</v>
      </c>
    </row>
    <row r="2270" spans="2:8" x14ac:dyDescent="0.3">
      <c r="B2270" s="440">
        <v>45849</v>
      </c>
      <c r="C2270" s="363">
        <v>25149.85</v>
      </c>
      <c r="D2270" s="252">
        <f t="shared" si="70"/>
        <v>-8.1008864041963724E-3</v>
      </c>
      <c r="F2270" s="440">
        <v>45852</v>
      </c>
      <c r="G2270" s="363">
        <v>1682.6</v>
      </c>
      <c r="H2270" s="252">
        <f t="shared" si="71"/>
        <v>6.3397129186602008E-3</v>
      </c>
    </row>
    <row r="2271" spans="2:8" x14ac:dyDescent="0.3">
      <c r="B2271" s="440">
        <v>45852</v>
      </c>
      <c r="C2271" s="363">
        <v>25082.3</v>
      </c>
      <c r="D2271" s="252">
        <f t="shared" si="70"/>
        <v>-2.68590071113739E-3</v>
      </c>
      <c r="F2271" s="440">
        <v>45853</v>
      </c>
      <c r="G2271" s="363">
        <v>1727.5</v>
      </c>
      <c r="H2271" s="252">
        <f t="shared" si="71"/>
        <v>2.6684892428384677E-2</v>
      </c>
    </row>
    <row r="2272" spans="2:8" x14ac:dyDescent="0.3">
      <c r="B2272" s="440">
        <v>45853</v>
      </c>
      <c r="C2272" s="363">
        <v>25195.8</v>
      </c>
      <c r="D2272" s="252">
        <f t="shared" si="70"/>
        <v>4.5251033597397683E-3</v>
      </c>
      <c r="F2272" s="440">
        <v>45854</v>
      </c>
      <c r="G2272" s="363">
        <v>1701</v>
      </c>
      <c r="H2272" s="252">
        <f t="shared" si="71"/>
        <v>-1.5340086830680222E-2</v>
      </c>
    </row>
    <row r="2273" spans="2:8" x14ac:dyDescent="0.3">
      <c r="B2273" s="440">
        <v>45854</v>
      </c>
      <c r="C2273" s="363">
        <v>25212.05</v>
      </c>
      <c r="D2273" s="252">
        <f t="shared" si="70"/>
        <v>6.4494876130138934E-4</v>
      </c>
      <c r="F2273" s="440">
        <v>45855</v>
      </c>
      <c r="G2273" s="363">
        <v>1703.4</v>
      </c>
      <c r="H2273" s="252">
        <f t="shared" si="71"/>
        <v>1.4109347442681219E-3</v>
      </c>
    </row>
    <row r="2274" spans="2:8" x14ac:dyDescent="0.3">
      <c r="B2274" s="440">
        <v>45855</v>
      </c>
      <c r="C2274" s="363">
        <v>25111.45</v>
      </c>
      <c r="D2274" s="252">
        <f t="shared" si="70"/>
        <v>-3.9901555010400935E-3</v>
      </c>
      <c r="F2274" s="440">
        <v>45856</v>
      </c>
      <c r="G2274" s="363">
        <v>1693.6</v>
      </c>
      <c r="H2274" s="252">
        <f t="shared" si="71"/>
        <v>-5.7531994833862621E-3</v>
      </c>
    </row>
    <row r="2275" spans="2:8" x14ac:dyDescent="0.3">
      <c r="B2275" s="440">
        <v>45856</v>
      </c>
      <c r="C2275" s="363">
        <v>24968.400000000001</v>
      </c>
      <c r="D2275" s="252">
        <f t="shared" si="70"/>
        <v>-5.6966045369741813E-3</v>
      </c>
      <c r="F2275" s="440">
        <v>45859</v>
      </c>
      <c r="G2275" s="363">
        <v>1692.3</v>
      </c>
      <c r="H2275" s="252">
        <f t="shared" si="71"/>
        <v>-7.6759565422768183E-4</v>
      </c>
    </row>
    <row r="2276" spans="2:8" x14ac:dyDescent="0.3">
      <c r="B2276" s="440">
        <v>45859</v>
      </c>
      <c r="C2276" s="363">
        <v>25090.7</v>
      </c>
      <c r="D2276" s="252">
        <f t="shared" si="70"/>
        <v>4.8981913138206323E-3</v>
      </c>
      <c r="F2276" s="440">
        <v>45860</v>
      </c>
      <c r="G2276" s="363">
        <v>1678</v>
      </c>
      <c r="H2276" s="252">
        <f t="shared" si="71"/>
        <v>-8.4500384092655034E-3</v>
      </c>
    </row>
    <row r="2277" spans="2:8" x14ac:dyDescent="0.3">
      <c r="B2277" s="440">
        <v>45860</v>
      </c>
      <c r="C2277" s="363">
        <v>25060.9</v>
      </c>
      <c r="D2277" s="252">
        <f t="shared" si="70"/>
        <v>-1.1876910568456855E-3</v>
      </c>
      <c r="F2277" s="440">
        <v>45861</v>
      </c>
      <c r="G2277" s="363">
        <v>1682.5</v>
      </c>
      <c r="H2277" s="252">
        <f t="shared" si="71"/>
        <v>2.6817640047676061E-3</v>
      </c>
    </row>
    <row r="2278" spans="2:8" x14ac:dyDescent="0.3">
      <c r="B2278" s="440">
        <v>45861</v>
      </c>
      <c r="C2278" s="363">
        <v>25219.9</v>
      </c>
      <c r="D2278" s="252">
        <f t="shared" si="70"/>
        <v>6.3445446891372548E-3</v>
      </c>
      <c r="F2278" s="440">
        <v>45862</v>
      </c>
      <c r="G2278" s="363">
        <v>1692</v>
      </c>
      <c r="H2278" s="252">
        <f t="shared" si="71"/>
        <v>5.6463595839524316E-3</v>
      </c>
    </row>
    <row r="2279" spans="2:8" x14ac:dyDescent="0.3">
      <c r="B2279" s="440">
        <v>45862</v>
      </c>
      <c r="C2279" s="363">
        <v>25062.1</v>
      </c>
      <c r="D2279" s="252">
        <f t="shared" si="70"/>
        <v>-6.2569637468825601E-3</v>
      </c>
      <c r="F2279" s="440">
        <v>45863</v>
      </c>
      <c r="G2279" s="363">
        <v>1699</v>
      </c>
      <c r="H2279" s="252">
        <f t="shared" si="71"/>
        <v>4.1371158392435881E-3</v>
      </c>
    </row>
    <row r="2280" spans="2:8" x14ac:dyDescent="0.3">
      <c r="B2280" s="440">
        <v>45863</v>
      </c>
      <c r="C2280" s="363">
        <v>24837</v>
      </c>
      <c r="D2280" s="252">
        <f t="shared" si="70"/>
        <v>-8.9816894833233407E-3</v>
      </c>
      <c r="F2280" s="440">
        <v>45866</v>
      </c>
      <c r="G2280" s="363">
        <v>1702.2</v>
      </c>
      <c r="H2280" s="252">
        <f t="shared" si="71"/>
        <v>1.8834608593290003E-3</v>
      </c>
    </row>
    <row r="2281" spans="2:8" x14ac:dyDescent="0.3">
      <c r="B2281" s="440">
        <v>45866</v>
      </c>
      <c r="C2281" s="363">
        <v>24680.9</v>
      </c>
      <c r="D2281" s="252">
        <f t="shared" si="70"/>
        <v>-6.2849780569311786E-3</v>
      </c>
      <c r="F2281" s="440">
        <v>45867</v>
      </c>
      <c r="G2281" s="363">
        <v>1710.5</v>
      </c>
      <c r="H2281" s="252">
        <f t="shared" si="71"/>
        <v>4.8760427681824314E-3</v>
      </c>
    </row>
    <row r="2282" spans="2:8" x14ac:dyDescent="0.3">
      <c r="B2282" s="440">
        <v>45867</v>
      </c>
      <c r="C2282" s="363">
        <v>24821.1</v>
      </c>
      <c r="D2282" s="252">
        <f t="shared" si="70"/>
        <v>5.6805059783069378E-3</v>
      </c>
      <c r="F2282" s="440">
        <v>45868</v>
      </c>
      <c r="G2282" s="363">
        <v>1733.8</v>
      </c>
      <c r="H2282" s="252">
        <f t="shared" si="71"/>
        <v>1.3621748026892755E-2</v>
      </c>
    </row>
    <row r="2283" spans="2:8" x14ac:dyDescent="0.3">
      <c r="B2283" s="440">
        <v>45868</v>
      </c>
      <c r="C2283" s="363">
        <v>24855.05</v>
      </c>
      <c r="D2283" s="252">
        <f t="shared" si="70"/>
        <v>1.3677878901419138E-3</v>
      </c>
      <c r="F2283" s="440">
        <v>45869</v>
      </c>
      <c r="G2283" s="363">
        <v>1706.7</v>
      </c>
      <c r="H2283" s="252">
        <f t="shared" si="71"/>
        <v>-1.5630407198061969E-2</v>
      </c>
    </row>
    <row r="2284" spans="2:8" x14ac:dyDescent="0.3">
      <c r="B2284" s="440">
        <v>45869</v>
      </c>
      <c r="C2284" s="363">
        <v>24768.35</v>
      </c>
      <c r="D2284" s="252">
        <f t="shared" si="70"/>
        <v>-3.4882247269669708E-3</v>
      </c>
      <c r="F2284" s="440">
        <v>45870</v>
      </c>
      <c r="G2284" s="363">
        <v>1629.7</v>
      </c>
      <c r="H2284" s="252">
        <f t="shared" si="71"/>
        <v>-4.5116306322142141E-2</v>
      </c>
    </row>
    <row r="2285" spans="2:8" x14ac:dyDescent="0.3">
      <c r="B2285" s="440">
        <v>45870</v>
      </c>
      <c r="C2285" s="363">
        <v>24565.35</v>
      </c>
      <c r="D2285" s="252">
        <f t="shared" si="70"/>
        <v>-8.195943613522938E-3</v>
      </c>
      <c r="F2285" s="440">
        <v>45873</v>
      </c>
      <c r="G2285" s="363">
        <v>1641.6</v>
      </c>
      <c r="H2285" s="252">
        <f t="shared" si="71"/>
        <v>7.3019574154751243E-3</v>
      </c>
    </row>
    <row r="2286" spans="2:8" x14ac:dyDescent="0.3">
      <c r="B2286" s="440">
        <v>45873</v>
      </c>
      <c r="C2286" s="363">
        <v>24722.75</v>
      </c>
      <c r="D2286" s="252">
        <f t="shared" si="70"/>
        <v>6.4073990397044422E-3</v>
      </c>
      <c r="F2286" s="440">
        <v>45874</v>
      </c>
      <c r="G2286" s="363">
        <v>1632.1</v>
      </c>
      <c r="H2286" s="252">
        <f t="shared" si="71"/>
        <v>-5.7870370370370905E-3</v>
      </c>
    </row>
    <row r="2287" spans="2:8" x14ac:dyDescent="0.3">
      <c r="B2287" s="440">
        <v>45874</v>
      </c>
      <c r="C2287" s="363">
        <v>24649.55</v>
      </c>
      <c r="D2287" s="252">
        <f t="shared" si="70"/>
        <v>-2.9608356675532299E-3</v>
      </c>
      <c r="F2287" s="440">
        <v>45875</v>
      </c>
      <c r="G2287" s="363">
        <v>1595.2</v>
      </c>
      <c r="H2287" s="252">
        <f t="shared" si="71"/>
        <v>-2.2608908767845048E-2</v>
      </c>
    </row>
    <row r="2288" spans="2:8" x14ac:dyDescent="0.3">
      <c r="B2288" s="440">
        <v>45875</v>
      </c>
      <c r="C2288" s="363">
        <v>24574.2</v>
      </c>
      <c r="D2288" s="252">
        <f t="shared" si="70"/>
        <v>-3.0568509364268248E-3</v>
      </c>
      <c r="F2288" s="440">
        <v>45876</v>
      </c>
      <c r="G2288" s="363">
        <v>1598.4</v>
      </c>
      <c r="H2288" s="252">
        <f t="shared" si="71"/>
        <v>2.0060180541625616E-3</v>
      </c>
    </row>
    <row r="2289" spans="2:8" x14ac:dyDescent="0.3">
      <c r="B2289" s="440">
        <v>45876</v>
      </c>
      <c r="C2289" s="363">
        <v>24596.15</v>
      </c>
      <c r="D2289" s="252">
        <f t="shared" si="70"/>
        <v>8.9321320734758736E-4</v>
      </c>
      <c r="F2289" s="440">
        <v>45877</v>
      </c>
      <c r="G2289" s="363">
        <v>1586.9</v>
      </c>
      <c r="H2289" s="252">
        <f t="shared" si="71"/>
        <v>-7.1946946946946921E-3</v>
      </c>
    </row>
    <row r="2290" spans="2:8" x14ac:dyDescent="0.3">
      <c r="B2290" s="440">
        <v>45877</v>
      </c>
      <c r="C2290" s="363">
        <v>24363.3</v>
      </c>
      <c r="D2290" s="252">
        <f t="shared" si="70"/>
        <v>-9.4669287673071478E-3</v>
      </c>
      <c r="F2290" s="440">
        <v>45880</v>
      </c>
      <c r="G2290" s="363">
        <v>1608.4</v>
      </c>
      <c r="H2290" s="252">
        <f t="shared" si="71"/>
        <v>1.3548427752221315E-2</v>
      </c>
    </row>
    <row r="2291" spans="2:8" x14ac:dyDescent="0.3">
      <c r="B2291" s="440">
        <v>45880</v>
      </c>
      <c r="C2291" s="363">
        <v>24585.05</v>
      </c>
      <c r="D2291" s="252">
        <f t="shared" si="70"/>
        <v>9.1018047637225763E-3</v>
      </c>
      <c r="F2291" s="440">
        <v>45881</v>
      </c>
      <c r="G2291" s="363">
        <v>1622.2</v>
      </c>
      <c r="H2291" s="252">
        <f t="shared" si="71"/>
        <v>8.5799552350160901E-3</v>
      </c>
    </row>
    <row r="2292" spans="2:8" x14ac:dyDescent="0.3">
      <c r="B2292" s="440">
        <v>45881</v>
      </c>
      <c r="C2292" s="363">
        <v>24487.4</v>
      </c>
      <c r="D2292" s="252">
        <f t="shared" si="70"/>
        <v>-3.9719260282162772E-3</v>
      </c>
      <c r="F2292" s="440">
        <v>45882</v>
      </c>
      <c r="G2292" s="363">
        <v>1639.8</v>
      </c>
      <c r="H2292" s="252">
        <f t="shared" si="71"/>
        <v>1.0849463691283479E-2</v>
      </c>
    </row>
    <row r="2293" spans="2:8" x14ac:dyDescent="0.3">
      <c r="B2293" s="440">
        <v>45882</v>
      </c>
      <c r="C2293" s="363">
        <v>24619.35</v>
      </c>
      <c r="D2293" s="252">
        <f t="shared" si="70"/>
        <v>5.3884855068320192E-3</v>
      </c>
      <c r="F2293" s="440">
        <v>45883</v>
      </c>
      <c r="G2293" s="363">
        <v>1641.4</v>
      </c>
      <c r="H2293" s="252">
        <f t="shared" si="71"/>
        <v>9.7572874740836646E-4</v>
      </c>
    </row>
    <row r="2294" spans="2:8" x14ac:dyDescent="0.3">
      <c r="B2294" s="440">
        <v>45883</v>
      </c>
      <c r="C2294" s="363">
        <v>24631.3</v>
      </c>
      <c r="D2294" s="252">
        <f t="shared" si="70"/>
        <v>4.8539055661511732E-4</v>
      </c>
      <c r="F2294" s="440">
        <v>45887</v>
      </c>
      <c r="G2294" s="363">
        <v>1632.7</v>
      </c>
      <c r="H2294" s="252">
        <f t="shared" si="71"/>
        <v>-5.300353356890497E-3</v>
      </c>
    </row>
    <row r="2295" spans="2:8" x14ac:dyDescent="0.3">
      <c r="B2295" s="440">
        <v>45887</v>
      </c>
      <c r="C2295" s="363">
        <v>24876.95</v>
      </c>
      <c r="D2295" s="252">
        <f t="shared" si="70"/>
        <v>9.9730830285045258E-3</v>
      </c>
      <c r="F2295" s="440">
        <v>45888</v>
      </c>
      <c r="G2295" s="363">
        <v>1626.6</v>
      </c>
      <c r="H2295" s="252">
        <f t="shared" si="71"/>
        <v>-3.7361425859007147E-3</v>
      </c>
    </row>
    <row r="2296" spans="2:8" x14ac:dyDescent="0.3">
      <c r="B2296" s="440">
        <v>45888</v>
      </c>
      <c r="C2296" s="363">
        <v>24980.65</v>
      </c>
      <c r="D2296" s="252">
        <f t="shared" si="70"/>
        <v>4.1685174428538474E-3</v>
      </c>
      <c r="F2296" s="440">
        <v>45889</v>
      </c>
      <c r="G2296" s="363">
        <v>1633.1</v>
      </c>
      <c r="H2296" s="252">
        <f t="shared" si="71"/>
        <v>3.9960654125168471E-3</v>
      </c>
    </row>
    <row r="2297" spans="2:8" x14ac:dyDescent="0.3">
      <c r="B2297" s="440">
        <v>45889</v>
      </c>
      <c r="C2297" s="363">
        <v>25050.55</v>
      </c>
      <c r="D2297" s="252">
        <f t="shared" si="70"/>
        <v>2.7981657803137772E-3</v>
      </c>
      <c r="F2297" s="440">
        <v>45890</v>
      </c>
      <c r="G2297" s="363">
        <v>1640.2</v>
      </c>
      <c r="H2297" s="252">
        <f t="shared" si="71"/>
        <v>4.3475598554896244E-3</v>
      </c>
    </row>
    <row r="2298" spans="2:8" x14ac:dyDescent="0.3">
      <c r="B2298" s="440">
        <v>45890</v>
      </c>
      <c r="C2298" s="363">
        <v>25083.75</v>
      </c>
      <c r="D2298" s="252">
        <f t="shared" si="70"/>
        <v>1.3253202025504951E-3</v>
      </c>
      <c r="F2298" s="440">
        <v>45891</v>
      </c>
      <c r="G2298" s="363">
        <v>1641.8</v>
      </c>
      <c r="H2298" s="252">
        <f t="shared" si="71"/>
        <v>9.754907938055446E-4</v>
      </c>
    </row>
    <row r="2299" spans="2:8" x14ac:dyDescent="0.3">
      <c r="B2299" s="440">
        <v>45891</v>
      </c>
      <c r="C2299" s="363">
        <v>24870.1</v>
      </c>
      <c r="D2299" s="252">
        <f t="shared" si="70"/>
        <v>-8.5174664872676997E-3</v>
      </c>
      <c r="F2299" s="440">
        <v>45894</v>
      </c>
      <c r="G2299" s="363">
        <v>1656.7</v>
      </c>
      <c r="H2299" s="252">
        <f t="shared" si="71"/>
        <v>9.0754050432453326E-3</v>
      </c>
    </row>
    <row r="2300" spans="2:8" x14ac:dyDescent="0.3">
      <c r="B2300" s="440">
        <v>45894</v>
      </c>
      <c r="C2300" s="363">
        <v>24967.75</v>
      </c>
      <c r="D2300" s="252">
        <f t="shared" si="70"/>
        <v>3.9264015826234733E-3</v>
      </c>
      <c r="F2300" s="440">
        <v>45895</v>
      </c>
      <c r="G2300" s="363">
        <v>1600.3</v>
      </c>
      <c r="H2300" s="252">
        <f t="shared" si="71"/>
        <v>-3.4043580612060143E-2</v>
      </c>
    </row>
    <row r="2301" spans="2:8" x14ac:dyDescent="0.3">
      <c r="B2301" s="440">
        <v>45895</v>
      </c>
      <c r="C2301" s="363">
        <v>24712.05</v>
      </c>
      <c r="D2301" s="252">
        <f t="shared" si="70"/>
        <v>-1.0241211162399511E-2</v>
      </c>
      <c r="F2301" s="440">
        <v>45897</v>
      </c>
      <c r="G2301" s="363">
        <v>1585.7</v>
      </c>
      <c r="H2301" s="252">
        <f t="shared" si="71"/>
        <v>-9.1232893832405848E-3</v>
      </c>
    </row>
    <row r="2302" spans="2:8" x14ac:dyDescent="0.3">
      <c r="B2302" s="440">
        <v>45897</v>
      </c>
      <c r="C2302" s="363">
        <v>24500.9</v>
      </c>
      <c r="D2302" s="252">
        <f t="shared" si="70"/>
        <v>-8.5444145669824056E-3</v>
      </c>
      <c r="F2302" s="440">
        <v>45898</v>
      </c>
      <c r="G2302" s="363">
        <v>1594.5</v>
      </c>
      <c r="H2302" s="252">
        <f t="shared" si="71"/>
        <v>5.5495995459418079E-3</v>
      </c>
    </row>
    <row r="2303" spans="2:8" x14ac:dyDescent="0.3">
      <c r="B2303" s="440">
        <v>45898</v>
      </c>
      <c r="C2303" s="363">
        <v>24426.85</v>
      </c>
      <c r="D2303" s="252">
        <f t="shared" si="70"/>
        <v>-3.0223379549323415E-3</v>
      </c>
      <c r="F2303" s="440">
        <v>45901</v>
      </c>
      <c r="G2303" s="363">
        <v>1563.3</v>
      </c>
      <c r="H2303" s="252">
        <f t="shared" si="71"/>
        <v>-1.9567262464722512E-2</v>
      </c>
    </row>
    <row r="2304" spans="2:8" x14ac:dyDescent="0.3">
      <c r="B2304" s="440">
        <v>45901</v>
      </c>
      <c r="C2304" s="363">
        <v>24625.05</v>
      </c>
      <c r="D2304" s="252">
        <f t="shared" si="70"/>
        <v>8.1140220699762455E-3</v>
      </c>
      <c r="F2304" s="440">
        <v>45902</v>
      </c>
      <c r="G2304" s="363">
        <v>1565.2</v>
      </c>
      <c r="H2304" s="252">
        <f t="shared" si="71"/>
        <v>1.2153777266039612E-3</v>
      </c>
    </row>
    <row r="2305" spans="2:8" x14ac:dyDescent="0.3">
      <c r="B2305" s="440">
        <v>45902</v>
      </c>
      <c r="C2305" s="363">
        <v>24579.599999999999</v>
      </c>
      <c r="D2305" s="252">
        <f t="shared" si="70"/>
        <v>-1.8456815316111319E-3</v>
      </c>
      <c r="F2305" s="440">
        <v>45903</v>
      </c>
      <c r="G2305" s="363">
        <v>1578.7</v>
      </c>
      <c r="H2305" s="252">
        <f t="shared" si="71"/>
        <v>8.6250958343980777E-3</v>
      </c>
    </row>
    <row r="2306" spans="2:8" x14ac:dyDescent="0.3">
      <c r="B2306" s="440">
        <v>45903</v>
      </c>
      <c r="C2306" s="363">
        <v>24715.05</v>
      </c>
      <c r="D2306" s="252">
        <f t="shared" si="70"/>
        <v>5.510667382707668E-3</v>
      </c>
      <c r="F2306" s="440">
        <v>45904</v>
      </c>
      <c r="G2306" s="363">
        <v>1582.3</v>
      </c>
      <c r="H2306" s="252">
        <f t="shared" si="71"/>
        <v>2.2803572559699781E-3</v>
      </c>
    </row>
    <row r="2307" spans="2:8" x14ac:dyDescent="0.3">
      <c r="B2307" s="440">
        <v>45904</v>
      </c>
      <c r="C2307" s="363">
        <v>24734.3</v>
      </c>
      <c r="D2307" s="252">
        <f t="shared" si="70"/>
        <v>7.7887764742534671E-4</v>
      </c>
      <c r="F2307" s="440">
        <v>45905</v>
      </c>
      <c r="G2307" s="363">
        <v>1593.6</v>
      </c>
      <c r="H2307" s="252">
        <f t="shared" si="71"/>
        <v>7.1415028755608123E-3</v>
      </c>
    </row>
    <row r="2308" spans="2:8" x14ac:dyDescent="0.3">
      <c r="B2308" s="440">
        <v>45905</v>
      </c>
      <c r="C2308" s="363">
        <v>24741</v>
      </c>
      <c r="D2308" s="252">
        <f t="shared" si="70"/>
        <v>2.7087890095933709E-4</v>
      </c>
      <c r="F2308" s="440">
        <v>45908</v>
      </c>
      <c r="G2308" s="363">
        <v>1581</v>
      </c>
      <c r="H2308" s="252">
        <f t="shared" si="71"/>
        <v>-7.9066265060240282E-3</v>
      </c>
    </row>
    <row r="2309" spans="2:8" x14ac:dyDescent="0.3">
      <c r="B2309" s="440">
        <v>45908</v>
      </c>
      <c r="C2309" s="363">
        <v>24773.15</v>
      </c>
      <c r="D2309" s="252">
        <f t="shared" si="70"/>
        <v>1.2994624307829383E-3</v>
      </c>
      <c r="F2309" s="440">
        <v>45909</v>
      </c>
      <c r="G2309" s="363">
        <v>1591.7</v>
      </c>
      <c r="H2309" s="252">
        <f t="shared" si="71"/>
        <v>6.7678684376977216E-3</v>
      </c>
    </row>
    <row r="2310" spans="2:8" x14ac:dyDescent="0.3">
      <c r="B2310" s="440">
        <v>45909</v>
      </c>
      <c r="C2310" s="363">
        <v>24868.6</v>
      </c>
      <c r="D2310" s="252">
        <f t="shared" si="70"/>
        <v>3.8529617751474898E-3</v>
      </c>
      <c r="F2310" s="440">
        <v>45910</v>
      </c>
      <c r="G2310" s="363">
        <v>1593.4</v>
      </c>
      <c r="H2310" s="252">
        <f t="shared" si="71"/>
        <v>1.0680404598857329E-3</v>
      </c>
    </row>
    <row r="2311" spans="2:8" x14ac:dyDescent="0.3">
      <c r="B2311" s="440">
        <v>45910</v>
      </c>
      <c r="C2311" s="363">
        <v>24973.1</v>
      </c>
      <c r="D2311" s="252">
        <f t="shared" si="70"/>
        <v>4.2020861648826013E-3</v>
      </c>
      <c r="F2311" s="440">
        <v>45911</v>
      </c>
      <c r="G2311" s="363">
        <v>1609.7</v>
      </c>
      <c r="H2311" s="252">
        <f t="shared" si="71"/>
        <v>1.0229697502196489E-2</v>
      </c>
    </row>
    <row r="2312" spans="2:8" x14ac:dyDescent="0.3">
      <c r="B2312" s="440">
        <v>45911</v>
      </c>
      <c r="C2312" s="363">
        <v>25005.5</v>
      </c>
      <c r="D2312" s="252">
        <f t="shared" si="70"/>
        <v>1.2973959980939753E-3</v>
      </c>
      <c r="F2312" s="440">
        <v>45912</v>
      </c>
      <c r="G2312" s="363">
        <v>1616.6</v>
      </c>
      <c r="H2312" s="252">
        <f t="shared" si="71"/>
        <v>4.2865130148475039E-3</v>
      </c>
    </row>
    <row r="2313" spans="2:8" x14ac:dyDescent="0.3">
      <c r="B2313" s="440">
        <v>45912</v>
      </c>
      <c r="C2313" s="363">
        <v>25114</v>
      </c>
      <c r="D2313" s="252">
        <f t="shared" si="70"/>
        <v>4.3390454100098452E-3</v>
      </c>
      <c r="F2313" s="440">
        <v>45915</v>
      </c>
      <c r="G2313" s="363">
        <v>1602</v>
      </c>
      <c r="H2313" s="252">
        <f t="shared" si="71"/>
        <v>-9.0313002598044756E-3</v>
      </c>
    </row>
    <row r="2314" spans="2:8" x14ac:dyDescent="0.3">
      <c r="B2314" s="440">
        <v>45915</v>
      </c>
      <c r="C2314" s="363">
        <v>25069.200000000001</v>
      </c>
      <c r="D2314" s="252">
        <f t="shared" si="70"/>
        <v>-1.7838655729871533E-3</v>
      </c>
      <c r="F2314" s="440">
        <v>45916</v>
      </c>
      <c r="G2314" s="363">
        <v>1610.5</v>
      </c>
      <c r="H2314" s="252">
        <f t="shared" si="71"/>
        <v>5.3058676654182957E-3</v>
      </c>
    </row>
    <row r="2315" spans="2:8" x14ac:dyDescent="0.3">
      <c r="B2315" s="440">
        <v>45916</v>
      </c>
      <c r="C2315" s="363">
        <v>25239.1</v>
      </c>
      <c r="D2315" s="252">
        <f t="shared" ref="D2315:D2378" si="72">C2315/C2314-1</f>
        <v>6.7772405980246475E-3</v>
      </c>
      <c r="F2315" s="440">
        <v>45917</v>
      </c>
      <c r="G2315" s="363">
        <v>1620.2</v>
      </c>
      <c r="H2315" s="252">
        <f t="shared" ref="H2315:H2378" si="73">G2315/G2314-1</f>
        <v>6.0229742316051382E-3</v>
      </c>
    </row>
    <row r="2316" spans="2:8" x14ac:dyDescent="0.3">
      <c r="B2316" s="440">
        <v>45917</v>
      </c>
      <c r="C2316" s="363">
        <v>25330.25</v>
      </c>
      <c r="D2316" s="252">
        <f t="shared" si="72"/>
        <v>3.6114599965926253E-3</v>
      </c>
      <c r="F2316" s="440">
        <v>45918</v>
      </c>
      <c r="G2316" s="363">
        <v>1648.6</v>
      </c>
      <c r="H2316" s="252">
        <f t="shared" si="73"/>
        <v>1.7528700160474031E-2</v>
      </c>
    </row>
    <row r="2317" spans="2:8" x14ac:dyDescent="0.3">
      <c r="B2317" s="440">
        <v>45918</v>
      </c>
      <c r="C2317" s="363">
        <v>25423.599999999999</v>
      </c>
      <c r="D2317" s="252">
        <f t="shared" si="72"/>
        <v>3.685316962919849E-3</v>
      </c>
      <c r="F2317" s="440">
        <v>45919</v>
      </c>
      <c r="G2317" s="363">
        <v>1656</v>
      </c>
      <c r="H2317" s="252">
        <f t="shared" si="73"/>
        <v>4.4886570423390282E-3</v>
      </c>
    </row>
    <row r="2318" spans="2:8" x14ac:dyDescent="0.3">
      <c r="B2318" s="440">
        <v>45919</v>
      </c>
      <c r="C2318" s="363">
        <v>25327.05</v>
      </c>
      <c r="D2318" s="252">
        <f t="shared" si="72"/>
        <v>-3.7976525747730472E-3</v>
      </c>
      <c r="F2318" s="440">
        <v>45922</v>
      </c>
      <c r="G2318" s="363">
        <v>1644</v>
      </c>
      <c r="H2318" s="252">
        <f t="shared" si="73"/>
        <v>-7.2463768115942351E-3</v>
      </c>
    </row>
    <row r="2319" spans="2:8" x14ac:dyDescent="0.3">
      <c r="B2319" s="440">
        <v>45922</v>
      </c>
      <c r="C2319" s="363">
        <v>25202.35</v>
      </c>
      <c r="D2319" s="252">
        <f t="shared" si="72"/>
        <v>-4.9235896008418267E-3</v>
      </c>
      <c r="F2319" s="440">
        <v>45923</v>
      </c>
      <c r="G2319" s="363">
        <v>1631.2</v>
      </c>
      <c r="H2319" s="252">
        <f t="shared" si="73"/>
        <v>-7.7858880778588491E-3</v>
      </c>
    </row>
    <row r="2320" spans="2:8" x14ac:dyDescent="0.3">
      <c r="B2320" s="440">
        <v>45923</v>
      </c>
      <c r="C2320" s="363">
        <v>25169.5</v>
      </c>
      <c r="D2320" s="252">
        <f t="shared" si="72"/>
        <v>-1.3034498766979485E-3</v>
      </c>
      <c r="F2320" s="440">
        <v>45924</v>
      </c>
      <c r="G2320" s="363">
        <v>1627.1</v>
      </c>
      <c r="H2320" s="252">
        <f t="shared" si="73"/>
        <v>-2.5134870034331236E-3</v>
      </c>
    </row>
    <row r="2321" spans="2:8" x14ac:dyDescent="0.3">
      <c r="B2321" s="440">
        <v>45924</v>
      </c>
      <c r="C2321" s="363">
        <v>25056.9</v>
      </c>
      <c r="D2321" s="252">
        <f t="shared" si="72"/>
        <v>-4.4736685273842891E-3</v>
      </c>
      <c r="F2321" s="440">
        <v>45925</v>
      </c>
      <c r="G2321" s="363">
        <v>1627.4</v>
      </c>
      <c r="H2321" s="252">
        <f t="shared" si="73"/>
        <v>1.843771126546212E-4</v>
      </c>
    </row>
    <row r="2322" spans="2:8" x14ac:dyDescent="0.3">
      <c r="B2322" s="440">
        <v>45925</v>
      </c>
      <c r="C2322" s="363">
        <v>24890.85</v>
      </c>
      <c r="D2322" s="252">
        <f t="shared" si="72"/>
        <v>-6.6269171365972435E-3</v>
      </c>
      <c r="F2322" s="440">
        <v>45926</v>
      </c>
      <c r="G2322" s="363">
        <v>1586.7</v>
      </c>
      <c r="H2322" s="252">
        <f t="shared" si="73"/>
        <v>-2.5009217156200081E-2</v>
      </c>
    </row>
    <row r="2323" spans="2:8" x14ac:dyDescent="0.3">
      <c r="B2323" s="440">
        <v>45926</v>
      </c>
      <c r="C2323" s="363">
        <v>24654.7</v>
      </c>
      <c r="D2323" s="252">
        <f t="shared" si="72"/>
        <v>-9.4874220848222279E-3</v>
      </c>
      <c r="F2323" s="440">
        <v>45929</v>
      </c>
      <c r="G2323" s="363">
        <v>1589.3</v>
      </c>
      <c r="H2323" s="252">
        <f t="shared" si="73"/>
        <v>1.6386210373731114E-3</v>
      </c>
    </row>
    <row r="2324" spans="2:8" x14ac:dyDescent="0.3">
      <c r="B2324" s="440">
        <v>45929</v>
      </c>
      <c r="C2324" s="363">
        <v>24634.9</v>
      </c>
      <c r="D2324" s="252">
        <f t="shared" si="72"/>
        <v>-8.0309231099950917E-4</v>
      </c>
      <c r="F2324" s="440">
        <v>45930</v>
      </c>
      <c r="G2324" s="363">
        <v>1594.3</v>
      </c>
      <c r="H2324" s="252">
        <f t="shared" si="73"/>
        <v>3.1460391367268414E-3</v>
      </c>
    </row>
    <row r="2325" spans="2:8" x14ac:dyDescent="0.3">
      <c r="B2325" s="440">
        <v>45930</v>
      </c>
      <c r="C2325" s="363">
        <v>24611.1</v>
      </c>
      <c r="D2325" s="252">
        <f t="shared" si="72"/>
        <v>-9.6610905666361102E-4</v>
      </c>
      <c r="F2325" s="440">
        <v>45931</v>
      </c>
      <c r="G2325" s="363">
        <v>1636.2</v>
      </c>
      <c r="H2325" s="252">
        <f t="shared" si="73"/>
        <v>2.6281126513203246E-2</v>
      </c>
    </row>
    <row r="2326" spans="2:8" x14ac:dyDescent="0.3">
      <c r="B2326" s="440">
        <v>45931</v>
      </c>
      <c r="C2326" s="363">
        <v>24836.3</v>
      </c>
      <c r="D2326" s="252">
        <f t="shared" si="72"/>
        <v>9.1503427315318131E-3</v>
      </c>
      <c r="F2326" s="440">
        <v>45933</v>
      </c>
      <c r="G2326" s="363">
        <v>1631.2</v>
      </c>
      <c r="H2326" s="252">
        <f t="shared" si="73"/>
        <v>-3.055861141669669E-3</v>
      </c>
    </row>
    <row r="2327" spans="2:8" x14ac:dyDescent="0.3">
      <c r="B2327" s="440">
        <v>45933</v>
      </c>
      <c r="C2327" s="363">
        <v>24894.25</v>
      </c>
      <c r="D2327" s="252">
        <f t="shared" si="72"/>
        <v>2.3332783063501061E-3</v>
      </c>
      <c r="F2327" s="440">
        <v>45936</v>
      </c>
      <c r="G2327" s="363">
        <v>1654.7</v>
      </c>
      <c r="H2327" s="252">
        <f t="shared" si="73"/>
        <v>1.4406571848945671E-2</v>
      </c>
    </row>
    <row r="2328" spans="2:8" x14ac:dyDescent="0.3">
      <c r="B2328" s="440">
        <v>45936</v>
      </c>
      <c r="C2328" s="363">
        <v>25077.65</v>
      </c>
      <c r="D2328" s="252">
        <f t="shared" si="72"/>
        <v>7.3671630999125881E-3</v>
      </c>
      <c r="F2328" s="440">
        <v>45937</v>
      </c>
      <c r="G2328" s="363">
        <v>1653.1</v>
      </c>
      <c r="H2328" s="252">
        <f t="shared" si="73"/>
        <v>-9.6694264821428622E-4</v>
      </c>
    </row>
    <row r="2329" spans="2:8" x14ac:dyDescent="0.3">
      <c r="B2329" s="440">
        <v>45937</v>
      </c>
      <c r="C2329" s="363">
        <v>25108.3</v>
      </c>
      <c r="D2329" s="252">
        <f t="shared" si="72"/>
        <v>1.222203834888802E-3</v>
      </c>
      <c r="F2329" s="440">
        <v>45938</v>
      </c>
      <c r="G2329" s="363">
        <v>1631.6</v>
      </c>
      <c r="H2329" s="252">
        <f t="shared" si="73"/>
        <v>-1.3005867763595691E-2</v>
      </c>
    </row>
    <row r="2330" spans="2:8" x14ac:dyDescent="0.3">
      <c r="B2330" s="440">
        <v>45938</v>
      </c>
      <c r="C2330" s="363">
        <v>25046.15</v>
      </c>
      <c r="D2330" s="252">
        <f t="shared" si="72"/>
        <v>-2.4752770996043783E-3</v>
      </c>
      <c r="F2330" s="440">
        <v>45939</v>
      </c>
      <c r="G2330" s="363">
        <v>1658.5</v>
      </c>
      <c r="H2330" s="252">
        <f t="shared" si="73"/>
        <v>1.6486884040205929E-2</v>
      </c>
    </row>
    <row r="2331" spans="2:8" x14ac:dyDescent="0.3">
      <c r="B2331" s="440">
        <v>45939</v>
      </c>
      <c r="C2331" s="363">
        <v>25181.8</v>
      </c>
      <c r="D2331" s="252">
        <f t="shared" si="72"/>
        <v>5.4160020601967673E-3</v>
      </c>
      <c r="F2331" s="440">
        <v>45940</v>
      </c>
      <c r="G2331" s="363">
        <v>1670.9</v>
      </c>
      <c r="H2331" s="252">
        <f t="shared" si="73"/>
        <v>7.4766355140187812E-3</v>
      </c>
    </row>
    <row r="2332" spans="2:8" x14ac:dyDescent="0.3">
      <c r="B2332" s="440">
        <v>45940</v>
      </c>
      <c r="C2332" s="363">
        <v>25285.35</v>
      </c>
      <c r="D2332" s="252">
        <f t="shared" si="72"/>
        <v>4.1120968318388851E-3</v>
      </c>
      <c r="F2332" s="440">
        <v>45943</v>
      </c>
      <c r="G2332" s="363">
        <v>1668.4</v>
      </c>
      <c r="H2332" s="252">
        <f t="shared" si="73"/>
        <v>-1.4961996528817245E-3</v>
      </c>
    </row>
    <row r="2333" spans="2:8" x14ac:dyDescent="0.3">
      <c r="B2333" s="440">
        <v>45943</v>
      </c>
      <c r="C2333" s="363">
        <v>25227.35</v>
      </c>
      <c r="D2333" s="252">
        <f t="shared" si="72"/>
        <v>-2.2938183572701609E-3</v>
      </c>
      <c r="F2333" s="440">
        <v>45944</v>
      </c>
      <c r="G2333" s="363">
        <v>1654.4</v>
      </c>
      <c r="H2333" s="252">
        <f t="shared" si="73"/>
        <v>-8.3912730760009602E-3</v>
      </c>
    </row>
    <row r="2334" spans="2:8" x14ac:dyDescent="0.3">
      <c r="B2334" s="440">
        <v>45944</v>
      </c>
      <c r="C2334" s="363">
        <v>25145.5</v>
      </c>
      <c r="D2334" s="252">
        <f t="shared" si="72"/>
        <v>-3.2444945664129587E-3</v>
      </c>
      <c r="F2334" s="440">
        <v>45945</v>
      </c>
      <c r="G2334" s="363">
        <v>1655.1</v>
      </c>
      <c r="H2334" s="252">
        <f t="shared" si="73"/>
        <v>4.2311411992246306E-4</v>
      </c>
    </row>
    <row r="2335" spans="2:8" x14ac:dyDescent="0.3">
      <c r="B2335" s="440">
        <v>45945</v>
      </c>
      <c r="C2335" s="363">
        <v>25323.55</v>
      </c>
      <c r="D2335" s="252">
        <f t="shared" si="72"/>
        <v>7.0807898033444783E-3</v>
      </c>
      <c r="F2335" s="440">
        <v>45946</v>
      </c>
      <c r="G2335" s="363">
        <v>1659</v>
      </c>
      <c r="H2335" s="252">
        <f t="shared" si="73"/>
        <v>2.3563530904477936E-3</v>
      </c>
    </row>
    <row r="2336" spans="2:8" x14ac:dyDescent="0.3">
      <c r="B2336" s="440">
        <v>45946</v>
      </c>
      <c r="C2336" s="363">
        <v>25585.3</v>
      </c>
      <c r="D2336" s="252">
        <f t="shared" si="72"/>
        <v>1.0336228530360092E-2</v>
      </c>
      <c r="F2336" s="440">
        <v>45947</v>
      </c>
      <c r="G2336" s="363">
        <v>1679.1</v>
      </c>
      <c r="H2336" s="252">
        <f t="shared" si="73"/>
        <v>1.2115732368896959E-2</v>
      </c>
    </row>
    <row r="2337" spans="2:8" x14ac:dyDescent="0.3">
      <c r="B2337" s="440">
        <v>45947</v>
      </c>
      <c r="C2337" s="363">
        <v>25709.85</v>
      </c>
      <c r="D2337" s="252">
        <f t="shared" si="72"/>
        <v>4.8680296889229702E-3</v>
      </c>
      <c r="F2337" s="440">
        <v>45950</v>
      </c>
      <c r="G2337" s="363">
        <v>1688.6</v>
      </c>
      <c r="H2337" s="252">
        <f t="shared" si="73"/>
        <v>5.6577928652254972E-3</v>
      </c>
    </row>
    <row r="2338" spans="2:8" x14ac:dyDescent="0.3">
      <c r="B2338" s="440">
        <v>45950</v>
      </c>
      <c r="C2338" s="363">
        <v>25843.15</v>
      </c>
      <c r="D2338" s="252">
        <f t="shared" si="72"/>
        <v>5.1847832640019575E-3</v>
      </c>
      <c r="F2338" s="440">
        <v>45951</v>
      </c>
      <c r="G2338" s="363">
        <v>1690.5</v>
      </c>
      <c r="H2338" s="252">
        <f t="shared" si="73"/>
        <v>1.1251924671324964E-3</v>
      </c>
    </row>
    <row r="2339" spans="2:8" x14ac:dyDescent="0.3">
      <c r="B2339" s="440">
        <v>45951</v>
      </c>
      <c r="C2339" s="363">
        <v>25868.6</v>
      </c>
      <c r="D2339" s="252">
        <f t="shared" si="72"/>
        <v>9.8478707123539344E-4</v>
      </c>
      <c r="F2339" s="440">
        <v>45953</v>
      </c>
      <c r="G2339" s="363">
        <v>1689.9</v>
      </c>
      <c r="H2339" s="252">
        <f t="shared" si="73"/>
        <v>-3.5492457852703829E-4</v>
      </c>
    </row>
    <row r="2340" spans="2:8" x14ac:dyDescent="0.3">
      <c r="B2340" s="440">
        <v>45953</v>
      </c>
      <c r="C2340" s="363">
        <v>25891.4</v>
      </c>
      <c r="D2340" s="252">
        <f t="shared" si="72"/>
        <v>8.8137742282157205E-4</v>
      </c>
      <c r="F2340" s="440">
        <v>45954</v>
      </c>
      <c r="G2340" s="363">
        <v>1699</v>
      </c>
      <c r="H2340" s="252">
        <f t="shared" si="73"/>
        <v>5.3849340197644757E-3</v>
      </c>
    </row>
    <row r="2341" spans="2:8" x14ac:dyDescent="0.3">
      <c r="B2341" s="440">
        <v>45954</v>
      </c>
      <c r="C2341" s="363">
        <v>25795.15</v>
      </c>
      <c r="D2341" s="252">
        <f t="shared" si="72"/>
        <v>-3.7174505820465331E-3</v>
      </c>
      <c r="F2341" s="440">
        <v>45957</v>
      </c>
      <c r="G2341" s="363">
        <v>1693.6</v>
      </c>
      <c r="H2341" s="252">
        <f t="shared" si="73"/>
        <v>-3.1783402001177574E-3</v>
      </c>
    </row>
    <row r="2342" spans="2:8" x14ac:dyDescent="0.3">
      <c r="B2342" s="440">
        <v>45957</v>
      </c>
      <c r="C2342" s="363">
        <v>25966.05</v>
      </c>
      <c r="D2342" s="252">
        <f t="shared" si="72"/>
        <v>6.6252764570082778E-3</v>
      </c>
      <c r="F2342" s="440">
        <v>45958</v>
      </c>
      <c r="G2342" s="363">
        <v>1687</v>
      </c>
      <c r="H2342" s="252">
        <f t="shared" si="73"/>
        <v>-3.8970240906943676E-3</v>
      </c>
    </row>
    <row r="2343" spans="2:8" x14ac:dyDescent="0.3">
      <c r="B2343" s="440">
        <v>45958</v>
      </c>
      <c r="C2343" s="363">
        <v>25936.2</v>
      </c>
      <c r="D2343" s="252">
        <f t="shared" si="72"/>
        <v>-1.1495780066663741E-3</v>
      </c>
      <c r="F2343" s="440">
        <v>45959</v>
      </c>
      <c r="G2343" s="363">
        <v>1715.9</v>
      </c>
      <c r="H2343" s="252">
        <f t="shared" si="73"/>
        <v>1.7131001778304844E-2</v>
      </c>
    </row>
    <row r="2344" spans="2:8" x14ac:dyDescent="0.3">
      <c r="B2344" s="440">
        <v>45959</v>
      </c>
      <c r="C2344" s="363">
        <v>26053.9</v>
      </c>
      <c r="D2344" s="252">
        <f t="shared" si="72"/>
        <v>4.5380587749941359E-3</v>
      </c>
      <c r="F2344" s="440">
        <v>45960</v>
      </c>
      <c r="G2344" s="363">
        <v>1703.4</v>
      </c>
      <c r="H2344" s="252">
        <f t="shared" si="73"/>
        <v>-7.2848068069234495E-3</v>
      </c>
    </row>
    <row r="2345" spans="2:8" x14ac:dyDescent="0.3">
      <c r="B2345" s="440">
        <v>45960</v>
      </c>
      <c r="C2345" s="363">
        <v>25877.85</v>
      </c>
      <c r="D2345" s="252">
        <f t="shared" si="72"/>
        <v>-6.7571457632064069E-3</v>
      </c>
      <c r="F2345" s="440">
        <v>45961</v>
      </c>
      <c r="G2345" s="363">
        <v>1690.7</v>
      </c>
      <c r="H2345" s="252">
        <f t="shared" si="73"/>
        <v>-7.455676881531037E-3</v>
      </c>
    </row>
    <row r="2346" spans="2:8" x14ac:dyDescent="0.3">
      <c r="B2346" s="440">
        <v>45961</v>
      </c>
      <c r="C2346" s="363">
        <v>25722.1</v>
      </c>
      <c r="D2346" s="252">
        <f t="shared" si="72"/>
        <v>-6.0186607465457787E-3</v>
      </c>
      <c r="F2346" s="440">
        <v>45964</v>
      </c>
      <c r="G2346" s="363">
        <v>1706.4</v>
      </c>
      <c r="H2346" s="252">
        <f t="shared" si="73"/>
        <v>9.2860945170638587E-3</v>
      </c>
    </row>
    <row r="2347" spans="2:8" x14ac:dyDescent="0.3">
      <c r="B2347" s="440">
        <v>45964</v>
      </c>
      <c r="C2347" s="363">
        <v>25763.35</v>
      </c>
      <c r="D2347" s="252">
        <f t="shared" si="72"/>
        <v>1.6036793263380922E-3</v>
      </c>
      <c r="F2347" s="440">
        <v>45965</v>
      </c>
      <c r="G2347" s="363">
        <v>1690</v>
      </c>
      <c r="H2347" s="252">
        <f t="shared" si="73"/>
        <v>-9.6108766994843497E-3</v>
      </c>
    </row>
    <row r="2348" spans="2:8" x14ac:dyDescent="0.3">
      <c r="B2348" s="440">
        <v>45965</v>
      </c>
      <c r="C2348" s="363">
        <v>25597.65</v>
      </c>
      <c r="D2348" s="252">
        <f t="shared" si="72"/>
        <v>-6.4316170063286604E-3</v>
      </c>
      <c r="F2348" s="440">
        <v>45967</v>
      </c>
      <c r="G2348" s="363">
        <v>1685.9</v>
      </c>
      <c r="H2348" s="252">
        <f t="shared" si="73"/>
        <v>-2.4260355029585012E-3</v>
      </c>
    </row>
    <row r="2349" spans="2:8" x14ac:dyDescent="0.3">
      <c r="B2349" s="440">
        <v>45967</v>
      </c>
      <c r="C2349" s="363">
        <v>25509.7</v>
      </c>
      <c r="D2349" s="252">
        <f t="shared" si="72"/>
        <v>-3.4358622764198987E-3</v>
      </c>
      <c r="F2349" s="440">
        <v>45968</v>
      </c>
      <c r="G2349" s="363">
        <v>1691.4</v>
      </c>
      <c r="H2349" s="252">
        <f t="shared" si="73"/>
        <v>3.2623524526957937E-3</v>
      </c>
    </row>
    <row r="2350" spans="2:8" x14ac:dyDescent="0.3">
      <c r="B2350" s="440">
        <v>45968</v>
      </c>
      <c r="C2350" s="363">
        <v>25492.3</v>
      </c>
      <c r="D2350" s="252">
        <f t="shared" si="72"/>
        <v>-6.8209347816716726E-4</v>
      </c>
      <c r="F2350" s="440">
        <v>45971</v>
      </c>
      <c r="G2350" s="363">
        <v>1697.8</v>
      </c>
      <c r="H2350" s="252">
        <f t="shared" si="73"/>
        <v>3.7838477001299609E-3</v>
      </c>
    </row>
    <row r="2351" spans="2:8" x14ac:dyDescent="0.3">
      <c r="B2351" s="440">
        <v>45971</v>
      </c>
      <c r="C2351" s="363">
        <v>25574.35</v>
      </c>
      <c r="D2351" s="252">
        <f t="shared" si="72"/>
        <v>3.2186189555276634E-3</v>
      </c>
      <c r="F2351" s="440">
        <v>45972</v>
      </c>
      <c r="G2351" s="363">
        <v>1716.1</v>
      </c>
      <c r="H2351" s="252">
        <f t="shared" si="73"/>
        <v>1.0778654729650006E-2</v>
      </c>
    </row>
    <row r="2352" spans="2:8" x14ac:dyDescent="0.3">
      <c r="B2352" s="440">
        <v>45972</v>
      </c>
      <c r="C2352" s="363">
        <v>25694.95</v>
      </c>
      <c r="D2352" s="252">
        <f t="shared" si="72"/>
        <v>4.7156623726507529E-3</v>
      </c>
      <c r="F2352" s="440">
        <v>45973</v>
      </c>
      <c r="G2352" s="363">
        <v>1732.1</v>
      </c>
      <c r="H2352" s="252">
        <f t="shared" si="73"/>
        <v>9.3234659984848811E-3</v>
      </c>
    </row>
    <row r="2353" spans="2:8" x14ac:dyDescent="0.3">
      <c r="B2353" s="440">
        <v>45973</v>
      </c>
      <c r="C2353" s="363">
        <v>25875.8</v>
      </c>
      <c r="D2353" s="252">
        <f t="shared" si="72"/>
        <v>7.0383480022337963E-3</v>
      </c>
      <c r="F2353" s="440">
        <v>45974</v>
      </c>
      <c r="G2353" s="363">
        <v>1737.4</v>
      </c>
      <c r="H2353" s="252">
        <f t="shared" si="73"/>
        <v>3.0598695225450001E-3</v>
      </c>
    </row>
    <row r="2354" spans="2:8" x14ac:dyDescent="0.3">
      <c r="B2354" s="440">
        <v>45974</v>
      </c>
      <c r="C2354" s="363">
        <v>25879.15</v>
      </c>
      <c r="D2354" s="252">
        <f t="shared" si="72"/>
        <v>1.2946459626372864E-4</v>
      </c>
      <c r="F2354" s="440">
        <v>45975</v>
      </c>
      <c r="G2354" s="363">
        <v>1757.1</v>
      </c>
      <c r="H2354" s="252">
        <f t="shared" si="73"/>
        <v>1.1338782088177624E-2</v>
      </c>
    </row>
    <row r="2355" spans="2:8" x14ac:dyDescent="0.3">
      <c r="B2355" s="440">
        <v>45975</v>
      </c>
      <c r="C2355" s="363">
        <v>25910.05</v>
      </c>
      <c r="D2355" s="252">
        <f t="shared" si="72"/>
        <v>1.194011395273753E-3</v>
      </c>
      <c r="F2355" s="440">
        <v>45978</v>
      </c>
      <c r="G2355" s="363">
        <v>1763.9</v>
      </c>
      <c r="H2355" s="252">
        <f t="shared" si="73"/>
        <v>3.8700130897502127E-3</v>
      </c>
    </row>
    <row r="2356" spans="2:8" x14ac:dyDescent="0.3">
      <c r="B2356" s="440">
        <v>45978</v>
      </c>
      <c r="C2356" s="363">
        <v>26013.45</v>
      </c>
      <c r="D2356" s="252">
        <f t="shared" si="72"/>
        <v>3.9907294659795589E-3</v>
      </c>
      <c r="F2356" s="440">
        <v>45979</v>
      </c>
      <c r="G2356" s="363">
        <v>1758.8</v>
      </c>
      <c r="H2356" s="252">
        <f t="shared" si="73"/>
        <v>-2.8913203696355749E-3</v>
      </c>
    </row>
    <row r="2357" spans="2:8" x14ac:dyDescent="0.3">
      <c r="B2357" s="440">
        <v>45979</v>
      </c>
      <c r="C2357" s="363">
        <v>25910.05</v>
      </c>
      <c r="D2357" s="252">
        <f t="shared" si="72"/>
        <v>-3.9748668477268545E-3</v>
      </c>
      <c r="F2357" s="440">
        <v>45980</v>
      </c>
      <c r="G2357" s="363">
        <v>1784.1</v>
      </c>
      <c r="H2357" s="252">
        <f t="shared" si="73"/>
        <v>1.4384807823516033E-2</v>
      </c>
    </row>
    <row r="2358" spans="2:8" x14ac:dyDescent="0.3">
      <c r="B2358" s="440">
        <v>45980</v>
      </c>
      <c r="C2358" s="363">
        <v>26052.65</v>
      </c>
      <c r="D2358" s="252">
        <f t="shared" si="72"/>
        <v>5.5036559172985111E-3</v>
      </c>
      <c r="F2358" s="440">
        <v>45981</v>
      </c>
      <c r="G2358" s="363">
        <v>1777.4</v>
      </c>
      <c r="H2358" s="252">
        <f t="shared" si="73"/>
        <v>-3.7553948769686318E-3</v>
      </c>
    </row>
    <row r="2359" spans="2:8" x14ac:dyDescent="0.3">
      <c r="B2359" s="440">
        <v>45981</v>
      </c>
      <c r="C2359" s="363">
        <v>26192.15</v>
      </c>
      <c r="D2359" s="252">
        <f t="shared" si="72"/>
        <v>5.3545416685059077E-3</v>
      </c>
      <c r="F2359" s="440">
        <v>45982</v>
      </c>
      <c r="G2359" s="363">
        <v>1779.7</v>
      </c>
      <c r="H2359" s="252">
        <f t="shared" si="73"/>
        <v>1.2940249803083947E-3</v>
      </c>
    </row>
    <row r="2360" spans="2:8" x14ac:dyDescent="0.3">
      <c r="B2360" s="440">
        <v>45982</v>
      </c>
      <c r="C2360" s="363">
        <v>26068.15</v>
      </c>
      <c r="D2360" s="252">
        <f t="shared" si="72"/>
        <v>-4.7342428933859759E-3</v>
      </c>
      <c r="F2360" s="440">
        <v>45985</v>
      </c>
      <c r="G2360" s="363">
        <v>1780.8</v>
      </c>
      <c r="H2360" s="252">
        <f t="shared" si="73"/>
        <v>6.1808169916277578E-4</v>
      </c>
    </row>
    <row r="2361" spans="2:8" x14ac:dyDescent="0.3">
      <c r="B2361" s="440">
        <v>45985</v>
      </c>
      <c r="C2361" s="363">
        <v>25959.5</v>
      </c>
      <c r="D2361" s="252">
        <f t="shared" si="72"/>
        <v>-4.1679213906625767E-3</v>
      </c>
      <c r="F2361" s="440">
        <v>45986</v>
      </c>
      <c r="G2361" s="363">
        <v>1776.8</v>
      </c>
      <c r="H2361" s="252">
        <f t="shared" si="73"/>
        <v>-2.246181491464494E-3</v>
      </c>
    </row>
    <row r="2362" spans="2:8" x14ac:dyDescent="0.3">
      <c r="B2362" s="440">
        <v>45986</v>
      </c>
      <c r="C2362" s="363">
        <v>25884.799999999999</v>
      </c>
      <c r="D2362" s="252">
        <f t="shared" si="72"/>
        <v>-2.8775592750245327E-3</v>
      </c>
      <c r="F2362" s="440">
        <v>45987</v>
      </c>
      <c r="G2362" s="363">
        <v>1804.9</v>
      </c>
      <c r="H2362" s="252">
        <f t="shared" si="73"/>
        <v>1.5814948221521963E-2</v>
      </c>
    </row>
    <row r="2363" spans="2:8" x14ac:dyDescent="0.3">
      <c r="B2363" s="440">
        <v>45987</v>
      </c>
      <c r="C2363" s="363">
        <v>26205.3</v>
      </c>
      <c r="D2363" s="252">
        <f t="shared" si="72"/>
        <v>1.238178390406719E-2</v>
      </c>
      <c r="F2363" s="440">
        <v>45988</v>
      </c>
      <c r="G2363" s="363">
        <v>1810.3</v>
      </c>
      <c r="H2363" s="252">
        <f t="shared" si="73"/>
        <v>2.991855504459906E-3</v>
      </c>
    </row>
    <row r="2364" spans="2:8" x14ac:dyDescent="0.3">
      <c r="B2364" s="440">
        <v>45988</v>
      </c>
      <c r="C2364" s="363">
        <v>26215.55</v>
      </c>
      <c r="D2364" s="252">
        <f t="shared" si="72"/>
        <v>3.9114224985015156E-4</v>
      </c>
      <c r="F2364" s="440">
        <v>45989</v>
      </c>
      <c r="G2364" s="363">
        <v>1831.6</v>
      </c>
      <c r="H2364" s="252">
        <f t="shared" si="73"/>
        <v>1.1766005634425314E-2</v>
      </c>
    </row>
    <row r="2365" spans="2:8" x14ac:dyDescent="0.3">
      <c r="B2365" s="440">
        <v>45989</v>
      </c>
      <c r="C2365" s="363">
        <v>26202.95</v>
      </c>
      <c r="D2365" s="252">
        <f t="shared" si="72"/>
        <v>-4.806307706685109E-4</v>
      </c>
      <c r="F2365" s="440">
        <v>45992</v>
      </c>
      <c r="G2365" s="363">
        <v>1807.4</v>
      </c>
      <c r="H2365" s="252">
        <f t="shared" si="73"/>
        <v>-1.321249181043882E-2</v>
      </c>
    </row>
    <row r="2366" spans="2:8" x14ac:dyDescent="0.3">
      <c r="B2366" s="440">
        <v>45992</v>
      </c>
      <c r="C2366" s="363">
        <v>26175.75</v>
      </c>
      <c r="D2366" s="252">
        <f t="shared" si="72"/>
        <v>-1.0380510591364578E-3</v>
      </c>
      <c r="F2366" s="440">
        <v>45993</v>
      </c>
      <c r="G2366" s="363">
        <v>1799.5</v>
      </c>
      <c r="H2366" s="252">
        <f t="shared" si="73"/>
        <v>-4.370919552948993E-3</v>
      </c>
    </row>
    <row r="2367" spans="2:8" x14ac:dyDescent="0.3">
      <c r="B2367" s="440">
        <v>45993</v>
      </c>
      <c r="C2367" s="363">
        <v>26032.2</v>
      </c>
      <c r="D2367" s="252">
        <f t="shared" si="72"/>
        <v>-5.4840835506145824E-3</v>
      </c>
      <c r="F2367" s="440">
        <v>45994</v>
      </c>
      <c r="G2367" s="363">
        <v>1806.7</v>
      </c>
      <c r="H2367" s="252">
        <f t="shared" si="73"/>
        <v>4.001111419838832E-3</v>
      </c>
    </row>
    <row r="2368" spans="2:8" x14ac:dyDescent="0.3">
      <c r="B2368" s="440">
        <v>45994</v>
      </c>
      <c r="C2368" s="363">
        <v>25986</v>
      </c>
      <c r="D2368" s="252">
        <f t="shared" si="72"/>
        <v>-1.7747251480858539E-3</v>
      </c>
      <c r="F2368" s="440">
        <v>45995</v>
      </c>
      <c r="G2368" s="363">
        <v>1818.3</v>
      </c>
      <c r="H2368" s="252">
        <f t="shared" si="73"/>
        <v>6.4205457463883953E-3</v>
      </c>
    </row>
    <row r="2369" spans="2:8" x14ac:dyDescent="0.3">
      <c r="B2369" s="440">
        <v>45995</v>
      </c>
      <c r="C2369" s="363">
        <v>26033.75</v>
      </c>
      <c r="D2369" s="252">
        <f t="shared" si="72"/>
        <v>1.8375278996383138E-3</v>
      </c>
      <c r="F2369" s="440">
        <v>45996</v>
      </c>
      <c r="G2369" s="363">
        <v>1805.3</v>
      </c>
      <c r="H2369" s="252">
        <f t="shared" si="73"/>
        <v>-7.1495352802067869E-3</v>
      </c>
    </row>
    <row r="2370" spans="2:8" x14ac:dyDescent="0.3">
      <c r="B2370" s="440">
        <v>45996</v>
      </c>
      <c r="C2370" s="363">
        <v>26186.45</v>
      </c>
      <c r="D2370" s="252">
        <f t="shared" si="72"/>
        <v>5.8654631007826197E-3</v>
      </c>
      <c r="F2370" s="440">
        <v>45999</v>
      </c>
      <c r="G2370" s="363">
        <v>1796.2</v>
      </c>
      <c r="H2370" s="252">
        <f t="shared" si="73"/>
        <v>-5.0407134548273724E-3</v>
      </c>
    </row>
    <row r="2371" spans="2:8" x14ac:dyDescent="0.3">
      <c r="B2371" s="440">
        <v>45999</v>
      </c>
      <c r="C2371" s="363">
        <v>25960.55</v>
      </c>
      <c r="D2371" s="252">
        <f t="shared" si="72"/>
        <v>-8.626598870790092E-3</v>
      </c>
      <c r="F2371" s="440">
        <v>46000</v>
      </c>
      <c r="G2371" s="363">
        <v>1776</v>
      </c>
      <c r="H2371" s="252">
        <f t="shared" si="73"/>
        <v>-1.1245963701146944E-2</v>
      </c>
    </row>
    <row r="2372" spans="2:8" x14ac:dyDescent="0.3">
      <c r="B2372" s="440">
        <v>46000</v>
      </c>
      <c r="C2372" s="363">
        <v>25839.65</v>
      </c>
      <c r="D2372" s="252">
        <f t="shared" si="72"/>
        <v>-4.6570662023723841E-3</v>
      </c>
      <c r="F2372" s="440">
        <v>46001</v>
      </c>
      <c r="G2372" s="363">
        <v>1785.5</v>
      </c>
      <c r="H2372" s="252">
        <f t="shared" si="73"/>
        <v>5.3490990990991971E-3</v>
      </c>
    </row>
    <row r="2373" spans="2:8" x14ac:dyDescent="0.3">
      <c r="B2373" s="440">
        <v>46001</v>
      </c>
      <c r="C2373" s="363">
        <v>25758</v>
      </c>
      <c r="D2373" s="252">
        <f t="shared" si="72"/>
        <v>-3.15987252149319E-3</v>
      </c>
      <c r="F2373" s="440">
        <v>46002</v>
      </c>
      <c r="G2373" s="363">
        <v>1807.2</v>
      </c>
      <c r="H2373" s="252">
        <f t="shared" si="73"/>
        <v>1.215345841500981E-2</v>
      </c>
    </row>
    <row r="2374" spans="2:8" x14ac:dyDescent="0.3">
      <c r="B2374" s="440">
        <v>46002</v>
      </c>
      <c r="C2374" s="363">
        <v>25898.55</v>
      </c>
      <c r="D2374" s="252">
        <f t="shared" si="72"/>
        <v>5.4565571861169282E-3</v>
      </c>
      <c r="F2374" s="440">
        <v>46003</v>
      </c>
      <c r="G2374" s="363">
        <v>1793.5</v>
      </c>
      <c r="H2374" s="252">
        <f t="shared" si="73"/>
        <v>-7.5807879592740823E-3</v>
      </c>
    </row>
    <row r="2375" spans="2:8" x14ac:dyDescent="0.3">
      <c r="B2375" s="440">
        <v>46003</v>
      </c>
      <c r="C2375" s="363">
        <v>26046.95</v>
      </c>
      <c r="D2375" s="252">
        <f t="shared" si="72"/>
        <v>5.7300505240640565E-3</v>
      </c>
      <c r="F2375" s="440">
        <v>46006</v>
      </c>
      <c r="G2375" s="363">
        <v>1797.1</v>
      </c>
      <c r="H2375" s="252">
        <f t="shared" si="73"/>
        <v>2.0072483969890698E-3</v>
      </c>
    </row>
    <row r="2376" spans="2:8" x14ac:dyDescent="0.3">
      <c r="B2376" s="440">
        <v>46006</v>
      </c>
      <c r="C2376" s="363">
        <v>26027.3</v>
      </c>
      <c r="D2376" s="252">
        <f t="shared" si="72"/>
        <v>-7.5440694591888402E-4</v>
      </c>
      <c r="F2376" s="440">
        <v>46007</v>
      </c>
      <c r="G2376" s="363">
        <v>1781.3</v>
      </c>
      <c r="H2376" s="252">
        <f t="shared" si="73"/>
        <v>-8.7919425741471713E-3</v>
      </c>
    </row>
    <row r="2377" spans="2:8" x14ac:dyDescent="0.3">
      <c r="B2377" s="440">
        <v>46007</v>
      </c>
      <c r="C2377" s="363">
        <v>25860.1</v>
      </c>
      <c r="D2377" s="252">
        <f t="shared" si="72"/>
        <v>-6.4240240055634112E-3</v>
      </c>
      <c r="F2377" s="440">
        <v>46008</v>
      </c>
      <c r="G2377" s="363">
        <v>1792.9</v>
      </c>
      <c r="H2377" s="252">
        <f t="shared" si="73"/>
        <v>6.512097906023806E-3</v>
      </c>
    </row>
    <row r="2378" spans="2:8" x14ac:dyDescent="0.3">
      <c r="B2378" s="440">
        <v>46008</v>
      </c>
      <c r="C2378" s="363">
        <v>25818.55</v>
      </c>
      <c r="D2378" s="252">
        <f t="shared" si="72"/>
        <v>-1.6067223251263751E-3</v>
      </c>
      <c r="F2378" s="440">
        <v>46009</v>
      </c>
      <c r="G2378" s="363">
        <v>1745.9</v>
      </c>
      <c r="H2378" s="252">
        <f t="shared" si="73"/>
        <v>-2.6214512800490808E-2</v>
      </c>
    </row>
    <row r="2379" spans="2:8" x14ac:dyDescent="0.3">
      <c r="B2379" s="440">
        <v>46009</v>
      </c>
      <c r="C2379" s="363">
        <v>25815.55</v>
      </c>
      <c r="D2379" s="252">
        <f t="shared" ref="D2379:D2442" si="74">C2379/C2378-1</f>
        <v>-1.1619552608488348E-4</v>
      </c>
      <c r="F2379" s="440">
        <v>46010</v>
      </c>
      <c r="G2379" s="363">
        <v>1744.9</v>
      </c>
      <c r="H2379" s="252">
        <f t="shared" ref="H2379:H2442" si="75">G2379/G2378-1</f>
        <v>-5.7277049086434939E-4</v>
      </c>
    </row>
    <row r="2380" spans="2:8" x14ac:dyDescent="0.3">
      <c r="B2380" s="440">
        <v>46010</v>
      </c>
      <c r="C2380" s="363">
        <v>25966.400000000001</v>
      </c>
      <c r="D2380" s="252">
        <f t="shared" si="74"/>
        <v>5.8433773442752024E-3</v>
      </c>
      <c r="F2380" s="440">
        <v>46013</v>
      </c>
      <c r="G2380" s="363">
        <v>1769.8</v>
      </c>
      <c r="H2380" s="252">
        <f t="shared" si="75"/>
        <v>1.4270158748352246E-2</v>
      </c>
    </row>
    <row r="2381" spans="2:8" x14ac:dyDescent="0.3">
      <c r="B2381" s="440">
        <v>46013</v>
      </c>
      <c r="C2381" s="363">
        <v>26172.400000000001</v>
      </c>
      <c r="D2381" s="252">
        <f t="shared" si="74"/>
        <v>7.9333292254606391E-3</v>
      </c>
      <c r="F2381" s="440">
        <v>46014</v>
      </c>
      <c r="G2381" s="363">
        <v>1755.9</v>
      </c>
      <c r="H2381" s="252">
        <f t="shared" si="75"/>
        <v>-7.8539948016724814E-3</v>
      </c>
    </row>
    <row r="2382" spans="2:8" x14ac:dyDescent="0.3">
      <c r="B2382" s="440">
        <v>46014</v>
      </c>
      <c r="C2382" s="363">
        <v>26177.15</v>
      </c>
      <c r="D2382" s="252">
        <f t="shared" si="74"/>
        <v>1.8148889670044355E-4</v>
      </c>
      <c r="F2382" s="440">
        <v>46015</v>
      </c>
      <c r="G2382" s="363">
        <v>1737</v>
      </c>
      <c r="H2382" s="252">
        <f t="shared" si="75"/>
        <v>-1.0763710917478297E-2</v>
      </c>
    </row>
    <row r="2383" spans="2:8" x14ac:dyDescent="0.3">
      <c r="B2383" s="440">
        <v>46015</v>
      </c>
      <c r="C2383" s="363">
        <v>26142.1</v>
      </c>
      <c r="D2383" s="252">
        <f t="shared" si="74"/>
        <v>-1.3389540114184806E-3</v>
      </c>
      <c r="F2383" s="440">
        <v>46017</v>
      </c>
      <c r="G2383" s="363">
        <v>1719.5</v>
      </c>
      <c r="H2383" s="252">
        <f t="shared" si="75"/>
        <v>-1.0074841681059321E-2</v>
      </c>
    </row>
    <row r="2384" spans="2:8" x14ac:dyDescent="0.3">
      <c r="B2384" s="440">
        <v>46017</v>
      </c>
      <c r="C2384" s="363">
        <v>26042.3</v>
      </c>
      <c r="D2384" s="252">
        <f t="shared" si="74"/>
        <v>-3.8175969030797008E-3</v>
      </c>
      <c r="F2384" s="440">
        <v>46020</v>
      </c>
      <c r="G2384" s="363">
        <v>1717.2</v>
      </c>
      <c r="H2384" s="252">
        <f t="shared" si="75"/>
        <v>-1.3375981389938119E-3</v>
      </c>
    </row>
    <row r="2385" spans="2:8" x14ac:dyDescent="0.3">
      <c r="B2385" s="440">
        <v>46020</v>
      </c>
      <c r="C2385" s="363">
        <v>25942.1</v>
      </c>
      <c r="D2385" s="252">
        <f t="shared" si="74"/>
        <v>-3.8475864266981352E-3</v>
      </c>
      <c r="F2385" s="440">
        <v>46021</v>
      </c>
      <c r="G2385" s="363">
        <v>1720.2</v>
      </c>
      <c r="H2385" s="252">
        <f t="shared" si="75"/>
        <v>1.7470300489168533E-3</v>
      </c>
    </row>
    <row r="2386" spans="2:8" x14ac:dyDescent="0.3">
      <c r="B2386" s="440">
        <v>46021</v>
      </c>
      <c r="C2386" s="363">
        <v>25938.85</v>
      </c>
      <c r="D2386" s="252">
        <f t="shared" si="74"/>
        <v>-1.2527898666647719E-4</v>
      </c>
      <c r="F2386" s="440">
        <v>46022</v>
      </c>
      <c r="G2386" s="363">
        <v>1719.7</v>
      </c>
      <c r="H2386" s="252">
        <f t="shared" si="75"/>
        <v>-2.9066387629350654E-4</v>
      </c>
    </row>
    <row r="2387" spans="2:8" x14ac:dyDescent="0.3">
      <c r="B2387" s="440">
        <v>46022</v>
      </c>
      <c r="C2387" s="363">
        <v>26129.599999999999</v>
      </c>
      <c r="D2387" s="252">
        <f t="shared" si="74"/>
        <v>7.3538341136942798E-3</v>
      </c>
      <c r="F2387" s="440">
        <v>46023</v>
      </c>
      <c r="G2387" s="363">
        <v>1721.1</v>
      </c>
      <c r="H2387" s="252">
        <f t="shared" si="75"/>
        <v>8.1409548176991642E-4</v>
      </c>
    </row>
    <row r="2388" spans="2:8" x14ac:dyDescent="0.3">
      <c r="B2388" s="440">
        <v>46023</v>
      </c>
      <c r="C2388" s="363">
        <v>26146.55</v>
      </c>
      <c r="D2388" s="252">
        <f t="shared" si="74"/>
        <v>6.4868960871966586E-4</v>
      </c>
      <c r="F2388" s="440">
        <v>46024</v>
      </c>
      <c r="G2388" s="363">
        <v>1728</v>
      </c>
      <c r="H2388" s="252">
        <f t="shared" si="75"/>
        <v>4.0090639707164311E-3</v>
      </c>
    </row>
    <row r="2389" spans="2:8" x14ac:dyDescent="0.3">
      <c r="B2389" s="440">
        <v>46024</v>
      </c>
      <c r="C2389" s="363">
        <v>26328.55</v>
      </c>
      <c r="D2389" s="252">
        <f t="shared" si="74"/>
        <v>6.9607653782239876E-3</v>
      </c>
      <c r="F2389" s="440">
        <v>46027</v>
      </c>
      <c r="G2389" s="363">
        <v>1728.9</v>
      </c>
      <c r="H2389" s="252">
        <f t="shared" si="75"/>
        <v>5.2083333333330373E-4</v>
      </c>
    </row>
    <row r="2390" spans="2:8" x14ac:dyDescent="0.3">
      <c r="B2390" s="440">
        <v>46027</v>
      </c>
      <c r="C2390" s="363">
        <v>26250.3</v>
      </c>
      <c r="D2390" s="252">
        <f t="shared" si="74"/>
        <v>-2.9720588486642496E-3</v>
      </c>
      <c r="F2390" s="440">
        <v>46028</v>
      </c>
      <c r="G2390" s="363">
        <v>1760.2</v>
      </c>
      <c r="H2390" s="252">
        <f t="shared" si="75"/>
        <v>1.8103996760946206E-2</v>
      </c>
    </row>
    <row r="2391" spans="2:8" x14ac:dyDescent="0.3">
      <c r="B2391" s="440">
        <v>46028</v>
      </c>
      <c r="C2391" s="363">
        <v>26178.7</v>
      </c>
      <c r="D2391" s="252">
        <f t="shared" si="74"/>
        <v>-2.7275878751861216E-3</v>
      </c>
      <c r="F2391" s="440">
        <v>46029</v>
      </c>
      <c r="G2391" s="363">
        <v>1782.6</v>
      </c>
      <c r="H2391" s="252">
        <f t="shared" si="75"/>
        <v>1.2725826610612279E-2</v>
      </c>
    </row>
    <row r="2392" spans="2:8" x14ac:dyDescent="0.3">
      <c r="B2392" s="440">
        <v>46029</v>
      </c>
      <c r="C2392" s="363">
        <v>26140.75</v>
      </c>
      <c r="D2392" s="252">
        <f t="shared" si="74"/>
        <v>-1.4496518161711824E-3</v>
      </c>
      <c r="F2392" s="440">
        <v>46030</v>
      </c>
      <c r="G2392" s="363">
        <v>1760.7</v>
      </c>
      <c r="H2392" s="252">
        <f t="shared" si="75"/>
        <v>-1.2285425782564752E-2</v>
      </c>
    </row>
    <row r="2393" spans="2:8" x14ac:dyDescent="0.3">
      <c r="B2393" s="440">
        <v>46030</v>
      </c>
      <c r="C2393" s="363">
        <v>25876.85</v>
      </c>
      <c r="D2393" s="252">
        <f t="shared" si="74"/>
        <v>-1.0095349215305638E-2</v>
      </c>
      <c r="F2393" s="440">
        <v>46031</v>
      </c>
      <c r="G2393" s="363">
        <v>1729.9</v>
      </c>
      <c r="H2393" s="252">
        <f t="shared" si="75"/>
        <v>-1.7493042539898918E-2</v>
      </c>
    </row>
    <row r="2394" spans="2:8" x14ac:dyDescent="0.3">
      <c r="B2394" s="440">
        <v>46031</v>
      </c>
      <c r="C2394" s="363">
        <v>25683.3</v>
      </c>
      <c r="D2394" s="252">
        <f t="shared" si="74"/>
        <v>-7.4796584592019544E-3</v>
      </c>
      <c r="F2394" s="440">
        <v>46034</v>
      </c>
      <c r="G2394" s="363">
        <v>1736</v>
      </c>
      <c r="H2394" s="252">
        <f t="shared" si="75"/>
        <v>3.5262153881727709E-3</v>
      </c>
    </row>
    <row r="2395" spans="2:8" x14ac:dyDescent="0.3">
      <c r="B2395" s="440">
        <v>46034</v>
      </c>
      <c r="C2395" s="363">
        <v>25790.25</v>
      </c>
      <c r="D2395" s="252">
        <f t="shared" si="74"/>
        <v>4.164184509000135E-3</v>
      </c>
      <c r="F2395" s="440">
        <v>46035</v>
      </c>
      <c r="G2395" s="363">
        <v>1728.7</v>
      </c>
      <c r="H2395" s="252">
        <f t="shared" si="75"/>
        <v>-4.2050691244239768E-3</v>
      </c>
    </row>
    <row r="2396" spans="2:8" x14ac:dyDescent="0.3">
      <c r="B2396" s="440">
        <v>46035</v>
      </c>
      <c r="C2396" s="363">
        <v>25732.3</v>
      </c>
      <c r="D2396" s="252">
        <f t="shared" si="74"/>
        <v>-2.2469731778482771E-3</v>
      </c>
      <c r="F2396" s="440">
        <v>46036</v>
      </c>
      <c r="G2396" s="363">
        <v>1700.7</v>
      </c>
      <c r="H2396" s="252">
        <f t="shared" si="75"/>
        <v>-1.6197142361311978E-2</v>
      </c>
    </row>
    <row r="2397" spans="2:8" x14ac:dyDescent="0.3">
      <c r="B2397" s="440">
        <v>46036</v>
      </c>
      <c r="C2397" s="363">
        <v>25665.599999999999</v>
      </c>
      <c r="D2397" s="252">
        <f t="shared" si="74"/>
        <v>-2.5920729977498835E-3</v>
      </c>
      <c r="F2397" s="440">
        <v>46038</v>
      </c>
      <c r="G2397" s="363">
        <v>1668.9</v>
      </c>
      <c r="H2397" s="252">
        <f t="shared" si="75"/>
        <v>-1.869818310107596E-2</v>
      </c>
    </row>
    <row r="2398" spans="2:8" x14ac:dyDescent="0.3">
      <c r="B2398" s="440">
        <v>46038</v>
      </c>
      <c r="C2398" s="363">
        <v>25694.35</v>
      </c>
      <c r="D2398" s="252">
        <f t="shared" si="74"/>
        <v>1.1201764229162858E-3</v>
      </c>
      <c r="F2398" s="440">
        <v>46041</v>
      </c>
      <c r="G2398" s="363">
        <v>1675.4</v>
      </c>
      <c r="H2398" s="252">
        <f t="shared" si="75"/>
        <v>3.8947809934688493E-3</v>
      </c>
    </row>
    <row r="2399" spans="2:8" x14ac:dyDescent="0.3">
      <c r="B2399" s="440">
        <v>46041</v>
      </c>
      <c r="C2399" s="363">
        <v>25585.5</v>
      </c>
      <c r="D2399" s="252">
        <f t="shared" si="74"/>
        <v>-4.2363398957357967E-3</v>
      </c>
      <c r="F2399" s="440">
        <v>46042</v>
      </c>
      <c r="G2399" s="363">
        <v>1613.8</v>
      </c>
      <c r="H2399" s="252">
        <f t="shared" si="75"/>
        <v>-3.676733914289132E-2</v>
      </c>
    </row>
    <row r="2400" spans="2:8" x14ac:dyDescent="0.3">
      <c r="B2400" s="440">
        <v>46042</v>
      </c>
      <c r="C2400" s="363">
        <v>25232.5</v>
      </c>
      <c r="D2400" s="252">
        <f t="shared" si="74"/>
        <v>-1.3796877137441155E-2</v>
      </c>
      <c r="F2400" s="440">
        <v>46043</v>
      </c>
      <c r="G2400" s="363">
        <v>1612.9</v>
      </c>
      <c r="H2400" s="252">
        <f t="shared" si="75"/>
        <v>-5.5768992440197174E-4</v>
      </c>
    </row>
    <row r="2401" spans="2:8" x14ac:dyDescent="0.3">
      <c r="B2401" s="440">
        <v>46043</v>
      </c>
      <c r="C2401" s="363">
        <v>25157.5</v>
      </c>
      <c r="D2401" s="252">
        <f t="shared" si="74"/>
        <v>-2.9723570791637677E-3</v>
      </c>
      <c r="F2401" s="440">
        <v>46044</v>
      </c>
      <c r="G2401" s="363">
        <v>1634.2</v>
      </c>
      <c r="H2401" s="252">
        <f t="shared" si="75"/>
        <v>1.3206026412052818E-2</v>
      </c>
    </row>
    <row r="2402" spans="2:8" x14ac:dyDescent="0.3">
      <c r="B2402" s="440">
        <v>46044</v>
      </c>
      <c r="C2402" s="363">
        <v>25289.9</v>
      </c>
      <c r="D2402" s="252">
        <f t="shared" si="74"/>
        <v>5.2628440822817257E-3</v>
      </c>
      <c r="F2402" s="440">
        <v>46045</v>
      </c>
      <c r="G2402" s="363">
        <v>1631.9</v>
      </c>
      <c r="H2402" s="252">
        <f t="shared" si="75"/>
        <v>-1.407416472891887E-3</v>
      </c>
    </row>
    <row r="2403" spans="2:8" x14ac:dyDescent="0.3">
      <c r="B2403" s="440">
        <v>46045</v>
      </c>
      <c r="C2403" s="363">
        <v>25048.65</v>
      </c>
      <c r="D2403" s="252">
        <f t="shared" si="74"/>
        <v>-9.5393813340503009E-3</v>
      </c>
      <c r="F2403" s="440">
        <v>46049</v>
      </c>
      <c r="G2403" s="363">
        <v>1638.9</v>
      </c>
      <c r="H2403" s="252">
        <f t="shared" si="75"/>
        <v>4.2894785219682596E-3</v>
      </c>
    </row>
    <row r="2404" spans="2:8" x14ac:dyDescent="0.3">
      <c r="B2404" s="440">
        <v>46049</v>
      </c>
      <c r="C2404" s="363">
        <v>25175.4</v>
      </c>
      <c r="D2404" s="252">
        <f t="shared" si="74"/>
        <v>5.0601529423741631E-3</v>
      </c>
      <c r="F2404" s="440">
        <v>46050</v>
      </c>
      <c r="G2404" s="363">
        <v>1610.6</v>
      </c>
      <c r="H2404" s="252">
        <f t="shared" si="75"/>
        <v>-1.7267679541155712E-2</v>
      </c>
    </row>
    <row r="2405" spans="2:8" x14ac:dyDescent="0.3">
      <c r="B2405" s="440">
        <v>46050</v>
      </c>
      <c r="C2405" s="363">
        <v>25342.75</v>
      </c>
      <c r="D2405" s="252">
        <f t="shared" si="74"/>
        <v>6.6473621074540912E-3</v>
      </c>
      <c r="F2405" s="440">
        <v>46051</v>
      </c>
      <c r="G2405" s="363">
        <v>1589.3</v>
      </c>
      <c r="H2405" s="252">
        <f t="shared" si="75"/>
        <v>-1.3224885135974196E-2</v>
      </c>
    </row>
    <row r="2406" spans="2:8" x14ac:dyDescent="0.3">
      <c r="B2406" s="440">
        <v>46051</v>
      </c>
      <c r="C2406" s="363">
        <v>25418.9</v>
      </c>
      <c r="D2406" s="252">
        <f t="shared" si="74"/>
        <v>3.004804135305017E-3</v>
      </c>
      <c r="F2406" s="440">
        <v>46052</v>
      </c>
      <c r="G2406" s="363">
        <v>1595.3</v>
      </c>
      <c r="H2406" s="252">
        <f t="shared" si="75"/>
        <v>3.7752469640721653E-3</v>
      </c>
    </row>
    <row r="2407" spans="2:8" x14ac:dyDescent="0.3">
      <c r="B2407" s="440">
        <v>46052</v>
      </c>
      <c r="C2407" s="363">
        <v>25320.65</v>
      </c>
      <c r="D2407" s="252">
        <f t="shared" si="74"/>
        <v>-3.8652341368037302E-3</v>
      </c>
      <c r="F2407" s="440">
        <v>46054</v>
      </c>
      <c r="G2407" s="363">
        <v>1610.1</v>
      </c>
      <c r="H2407" s="252">
        <f t="shared" si="75"/>
        <v>9.2772519275370335E-3</v>
      </c>
    </row>
    <row r="2408" spans="2:8" x14ac:dyDescent="0.3">
      <c r="B2408" s="440">
        <v>46054</v>
      </c>
      <c r="C2408" s="363">
        <v>24825.45</v>
      </c>
      <c r="D2408" s="252">
        <f t="shared" si="74"/>
        <v>-1.955715986753892E-2</v>
      </c>
      <c r="F2408" s="440">
        <v>46055</v>
      </c>
      <c r="G2408" s="363">
        <v>1627.9</v>
      </c>
      <c r="H2408" s="252">
        <f t="shared" si="75"/>
        <v>1.1055213961865817E-2</v>
      </c>
    </row>
    <row r="2409" spans="2:8" x14ac:dyDescent="0.3">
      <c r="B2409" s="440">
        <v>46055</v>
      </c>
      <c r="C2409" s="363">
        <v>25088.400000000001</v>
      </c>
      <c r="D2409" s="252">
        <f t="shared" si="74"/>
        <v>1.05919530159575E-2</v>
      </c>
      <c r="F2409" s="440">
        <v>46056</v>
      </c>
      <c r="G2409" s="363">
        <v>1702.1</v>
      </c>
      <c r="H2409" s="252">
        <f t="shared" si="75"/>
        <v>4.5580195343694285E-2</v>
      </c>
    </row>
    <row r="2410" spans="2:8" x14ac:dyDescent="0.3">
      <c r="B2410" s="440">
        <v>46056</v>
      </c>
      <c r="C2410" s="363">
        <v>25727.55</v>
      </c>
      <c r="D2410" s="252">
        <f t="shared" si="74"/>
        <v>2.5475917156932981E-2</v>
      </c>
      <c r="F2410" s="440">
        <v>46057</v>
      </c>
      <c r="G2410" s="363">
        <v>1704.4</v>
      </c>
      <c r="H2410" s="252">
        <f t="shared" si="75"/>
        <v>1.3512719581694199E-3</v>
      </c>
    </row>
    <row r="2411" spans="2:8" x14ac:dyDescent="0.3">
      <c r="B2411" s="440">
        <v>46057</v>
      </c>
      <c r="C2411" s="363">
        <v>25776</v>
      </c>
      <c r="D2411" s="252">
        <f t="shared" si="74"/>
        <v>1.8831952517825989E-3</v>
      </c>
      <c r="F2411" s="440">
        <v>46058</v>
      </c>
      <c r="G2411" s="363">
        <v>1702.6</v>
      </c>
      <c r="H2411" s="252">
        <f t="shared" si="75"/>
        <v>-1.0560901196903227E-3</v>
      </c>
    </row>
    <row r="2412" spans="2:8" x14ac:dyDescent="0.3">
      <c r="B2412" s="440">
        <v>46058</v>
      </c>
      <c r="C2412" s="363">
        <v>25642.799999999999</v>
      </c>
      <c r="D2412" s="252">
        <f t="shared" si="74"/>
        <v>-5.16759776536313E-3</v>
      </c>
      <c r="F2412" s="440">
        <v>46059</v>
      </c>
      <c r="G2412" s="363">
        <v>1695.1</v>
      </c>
      <c r="H2412" s="252">
        <f t="shared" si="75"/>
        <v>-4.4050276048396286E-3</v>
      </c>
    </row>
    <row r="2413" spans="2:8" x14ac:dyDescent="0.3">
      <c r="B2413" s="440">
        <v>46059</v>
      </c>
      <c r="C2413" s="363">
        <v>25693.7</v>
      </c>
      <c r="D2413" s="252">
        <f t="shared" si="74"/>
        <v>1.9849626405852305E-3</v>
      </c>
      <c r="F2413" s="440">
        <v>46062</v>
      </c>
      <c r="G2413" s="363">
        <v>1704.6</v>
      </c>
      <c r="H2413" s="252">
        <f t="shared" si="75"/>
        <v>5.6043891215857844E-3</v>
      </c>
    </row>
    <row r="2414" spans="2:8" x14ac:dyDescent="0.3">
      <c r="B2414" s="440">
        <v>46062</v>
      </c>
      <c r="C2414" s="363">
        <v>25867.3</v>
      </c>
      <c r="D2414" s="252">
        <f t="shared" si="74"/>
        <v>6.7565200807979675E-3</v>
      </c>
      <c r="F2414" s="440">
        <v>46063</v>
      </c>
      <c r="G2414" s="363">
        <v>1707.8</v>
      </c>
      <c r="H2414" s="252">
        <f t="shared" si="75"/>
        <v>1.8772732605889519E-3</v>
      </c>
    </row>
    <row r="2415" spans="2:8" x14ac:dyDescent="0.3">
      <c r="B2415" s="440">
        <v>46063</v>
      </c>
      <c r="C2415" s="363">
        <v>25935.15</v>
      </c>
      <c r="D2415" s="252">
        <f t="shared" si="74"/>
        <v>2.6230027873028749E-3</v>
      </c>
      <c r="F2415" s="440">
        <v>46064</v>
      </c>
      <c r="G2415" s="363">
        <v>1711.1</v>
      </c>
      <c r="H2415" s="252">
        <f t="shared" si="75"/>
        <v>1.9323105750088665E-3</v>
      </c>
    </row>
    <row r="2416" spans="2:8" x14ac:dyDescent="0.3">
      <c r="B2416" s="440">
        <v>46064</v>
      </c>
      <c r="C2416" s="363">
        <v>25953.85</v>
      </c>
      <c r="D2416" s="252">
        <f t="shared" si="74"/>
        <v>7.2102918240291025E-4</v>
      </c>
      <c r="F2416" s="440">
        <v>46065</v>
      </c>
      <c r="G2416" s="363">
        <v>1714.9</v>
      </c>
      <c r="H2416" s="252">
        <f t="shared" si="75"/>
        <v>2.2207936415172824E-3</v>
      </c>
    </row>
    <row r="2417" spans="2:8" x14ac:dyDescent="0.3">
      <c r="B2417" s="440">
        <v>46065</v>
      </c>
      <c r="C2417" s="363">
        <v>25807.200000000001</v>
      </c>
      <c r="D2417" s="252">
        <f t="shared" si="74"/>
        <v>-5.6504141004127817E-3</v>
      </c>
      <c r="F2417" s="440">
        <v>46066</v>
      </c>
      <c r="G2417" s="363">
        <v>1697.5</v>
      </c>
      <c r="H2417" s="252">
        <f t="shared" si="75"/>
        <v>-1.0146364219488113E-2</v>
      </c>
    </row>
    <row r="2418" spans="2:8" x14ac:dyDescent="0.3">
      <c r="B2418" s="440">
        <v>46066</v>
      </c>
      <c r="C2418" s="363">
        <v>25471.1</v>
      </c>
      <c r="D2418" s="252">
        <f t="shared" si="74"/>
        <v>-1.3023497318577881E-2</v>
      </c>
      <c r="F2418" s="440">
        <v>46069</v>
      </c>
      <c r="G2418" s="363">
        <v>1700.5</v>
      </c>
      <c r="H2418" s="252">
        <f t="shared" si="75"/>
        <v>1.767304860088359E-3</v>
      </c>
    </row>
    <row r="2419" spans="2:8" x14ac:dyDescent="0.3">
      <c r="B2419" s="440">
        <v>46069</v>
      </c>
      <c r="C2419" s="363">
        <v>25682.75</v>
      </c>
      <c r="D2419" s="252">
        <f t="shared" si="74"/>
        <v>8.3094173396516258E-3</v>
      </c>
      <c r="F2419" s="440">
        <v>46070</v>
      </c>
      <c r="G2419" s="363">
        <v>1717.1</v>
      </c>
      <c r="H2419" s="252">
        <f t="shared" si="75"/>
        <v>9.761834754483889E-3</v>
      </c>
    </row>
    <row r="2420" spans="2:8" x14ac:dyDescent="0.3">
      <c r="B2420" s="440">
        <v>46070</v>
      </c>
      <c r="C2420" s="363">
        <v>25725.4</v>
      </c>
      <c r="D2420" s="252">
        <f t="shared" si="74"/>
        <v>1.6606477110123752E-3</v>
      </c>
      <c r="F2420" s="440">
        <v>46071</v>
      </c>
      <c r="G2420" s="363">
        <v>1724.4</v>
      </c>
      <c r="H2420" s="252">
        <f t="shared" si="75"/>
        <v>4.2513540271389427E-3</v>
      </c>
    </row>
    <row r="2421" spans="2:8" x14ac:dyDescent="0.3">
      <c r="B2421" s="440">
        <v>46071</v>
      </c>
      <c r="C2421" s="363">
        <v>25819.35</v>
      </c>
      <c r="D2421" s="252">
        <f t="shared" si="74"/>
        <v>3.6520326214557475E-3</v>
      </c>
      <c r="F2421" s="440">
        <v>46072</v>
      </c>
      <c r="G2421" s="363">
        <v>1713.4</v>
      </c>
      <c r="H2421" s="252">
        <f t="shared" si="75"/>
        <v>-6.3790303873810794E-3</v>
      </c>
    </row>
    <row r="2422" spans="2:8" x14ac:dyDescent="0.3">
      <c r="B2422" s="440">
        <v>46072</v>
      </c>
      <c r="C2422" s="363">
        <v>25454.35</v>
      </c>
      <c r="D2422" s="252">
        <f t="shared" si="74"/>
        <v>-1.4136684308474035E-2</v>
      </c>
      <c r="F2422" s="440">
        <v>46073</v>
      </c>
      <c r="G2422" s="363">
        <v>1724.4</v>
      </c>
      <c r="H2422" s="252">
        <f t="shared" si="75"/>
        <v>6.4199836582234937E-3</v>
      </c>
    </row>
    <row r="2423" spans="2:8" x14ac:dyDescent="0.3">
      <c r="B2423" s="440">
        <v>46073</v>
      </c>
      <c r="C2423" s="363">
        <v>25571.25</v>
      </c>
      <c r="D2423" s="252">
        <f t="shared" si="74"/>
        <v>4.5925352641100758E-3</v>
      </c>
      <c r="F2423" s="440">
        <v>46076</v>
      </c>
      <c r="G2423" s="363">
        <v>1732.3</v>
      </c>
      <c r="H2423" s="252">
        <f t="shared" si="75"/>
        <v>4.5813036418462794E-3</v>
      </c>
    </row>
    <row r="2424" spans="2:8" x14ac:dyDescent="0.3">
      <c r="B2424" s="440">
        <v>46076</v>
      </c>
      <c r="C2424" s="363">
        <v>25713</v>
      </c>
      <c r="D2424" s="252">
        <f t="shared" si="74"/>
        <v>5.5433347998239402E-3</v>
      </c>
      <c r="F2424" s="440">
        <v>46077</v>
      </c>
      <c r="G2424" s="363">
        <v>1731.8</v>
      </c>
      <c r="H2424" s="252">
        <f t="shared" si="75"/>
        <v>-2.8863360849740172E-4</v>
      </c>
    </row>
    <row r="2425" spans="2:8" x14ac:dyDescent="0.3">
      <c r="B2425" s="440">
        <v>46077</v>
      </c>
      <c r="C2425" s="363">
        <v>25424.65</v>
      </c>
      <c r="D2425" s="252">
        <f t="shared" si="74"/>
        <v>-1.1214171819702079E-2</v>
      </c>
      <c r="F2425" s="440">
        <v>46078</v>
      </c>
      <c r="G2425" s="363">
        <v>1764.2</v>
      </c>
      <c r="H2425" s="252">
        <f t="shared" si="75"/>
        <v>1.8708857835777915E-2</v>
      </c>
    </row>
    <row r="2426" spans="2:8" x14ac:dyDescent="0.3">
      <c r="B2426" s="440">
        <v>46078</v>
      </c>
      <c r="C2426" s="363">
        <v>25482.5</v>
      </c>
      <c r="D2426" s="252">
        <f t="shared" si="74"/>
        <v>2.275350889786143E-3</v>
      </c>
      <c r="F2426" s="440">
        <v>46079</v>
      </c>
      <c r="G2426" s="363">
        <v>1785.7</v>
      </c>
      <c r="H2426" s="252">
        <f t="shared" si="75"/>
        <v>1.2186826890375313E-2</v>
      </c>
    </row>
    <row r="2427" spans="2:8" x14ac:dyDescent="0.3">
      <c r="B2427" s="440">
        <v>46079</v>
      </c>
      <c r="C2427" s="363">
        <v>25496.55</v>
      </c>
      <c r="D2427" s="252">
        <f t="shared" si="74"/>
        <v>5.5135877563028401E-4</v>
      </c>
      <c r="F2427" s="440">
        <v>46080</v>
      </c>
      <c r="G2427" s="363">
        <v>1737</v>
      </c>
      <c r="H2427" s="252">
        <f t="shared" si="75"/>
        <v>-2.72722181777455E-2</v>
      </c>
    </row>
    <row r="2428" spans="2:8" x14ac:dyDescent="0.3">
      <c r="B2428" s="440">
        <v>46080</v>
      </c>
      <c r="C2428" s="363">
        <v>25178.65</v>
      </c>
      <c r="D2428" s="252">
        <f t="shared" si="74"/>
        <v>-1.2468353561560175E-2</v>
      </c>
      <c r="F2428" s="440">
        <v>46083</v>
      </c>
      <c r="G2428" s="363">
        <v>1752.5</v>
      </c>
      <c r="H2428" s="252">
        <f t="shared" si="75"/>
        <v>8.9234312032240304E-3</v>
      </c>
    </row>
    <row r="2429" spans="2:8" x14ac:dyDescent="0.3">
      <c r="B2429" s="440">
        <v>46083</v>
      </c>
      <c r="C2429" s="363">
        <v>24865.7</v>
      </c>
      <c r="D2429" s="252">
        <f t="shared" si="74"/>
        <v>-1.2429181072059148E-2</v>
      </c>
      <c r="F2429" s="440">
        <v>46085</v>
      </c>
      <c r="G2429" s="363">
        <v>1750.5</v>
      </c>
      <c r="H2429" s="252">
        <f t="shared" si="75"/>
        <v>-1.141226818830221E-3</v>
      </c>
    </row>
    <row r="2430" spans="2:8" x14ac:dyDescent="0.3">
      <c r="B2430" s="440">
        <v>46085</v>
      </c>
      <c r="C2430" s="363">
        <v>24480.5</v>
      </c>
      <c r="D2430" s="252">
        <f t="shared" si="74"/>
        <v>-1.5491218827541564E-2</v>
      </c>
      <c r="F2430" s="440">
        <v>46086</v>
      </c>
      <c r="G2430" s="363">
        <v>1784.5</v>
      </c>
      <c r="H2430" s="252">
        <f t="shared" si="75"/>
        <v>1.942302199371615E-2</v>
      </c>
    </row>
    <row r="2431" spans="2:8" x14ac:dyDescent="0.3">
      <c r="B2431" s="440">
        <v>46086</v>
      </c>
      <c r="C2431" s="363">
        <v>24765.9</v>
      </c>
      <c r="D2431" s="252">
        <f t="shared" si="74"/>
        <v>1.1658258613999051E-2</v>
      </c>
      <c r="F2431" s="440">
        <v>46087</v>
      </c>
      <c r="G2431" s="363">
        <v>1799.4</v>
      </c>
      <c r="H2431" s="252">
        <f t="shared" si="75"/>
        <v>8.3496777808911293E-3</v>
      </c>
    </row>
    <row r="2432" spans="2:8" x14ac:dyDescent="0.3">
      <c r="B2432" s="440">
        <v>46087</v>
      </c>
      <c r="C2432" s="363">
        <v>24450.45</v>
      </c>
      <c r="D2432" s="252">
        <f t="shared" si="74"/>
        <v>-1.2737271813259343E-2</v>
      </c>
      <c r="F2432" s="440">
        <v>46090</v>
      </c>
      <c r="G2432" s="363">
        <v>1807.4</v>
      </c>
      <c r="H2432" s="252">
        <f t="shared" si="75"/>
        <v>4.4459264199177007E-3</v>
      </c>
    </row>
    <row r="2433" spans="2:8" x14ac:dyDescent="0.3">
      <c r="B2433" s="440">
        <v>46090</v>
      </c>
      <c r="C2433" s="363">
        <v>24028.05</v>
      </c>
      <c r="D2433" s="252">
        <f t="shared" si="74"/>
        <v>-1.7275755660938863E-2</v>
      </c>
      <c r="F2433" s="440">
        <v>46091</v>
      </c>
      <c r="G2433" s="363">
        <v>1812.8</v>
      </c>
      <c r="H2433" s="252">
        <f t="shared" si="75"/>
        <v>2.9877171627752386E-3</v>
      </c>
    </row>
    <row r="2434" spans="2:8" x14ac:dyDescent="0.3">
      <c r="B2434" s="440">
        <v>46091</v>
      </c>
      <c r="C2434" s="363">
        <v>24261.599999999999</v>
      </c>
      <c r="D2434" s="252">
        <f t="shared" si="74"/>
        <v>9.7198898787043131E-3</v>
      </c>
      <c r="F2434" s="440">
        <v>46092</v>
      </c>
      <c r="G2434" s="363">
        <v>1825.9</v>
      </c>
      <c r="H2434" s="252">
        <f t="shared" si="75"/>
        <v>7.2263901147398002E-3</v>
      </c>
    </row>
    <row r="2435" spans="2:8" x14ac:dyDescent="0.3">
      <c r="B2435" s="440">
        <v>46092</v>
      </c>
      <c r="C2435" s="363">
        <v>23866.85</v>
      </c>
      <c r="D2435" s="252">
        <f t="shared" si="74"/>
        <v>-1.6270567481122433E-2</v>
      </c>
      <c r="F2435" s="440">
        <v>46093</v>
      </c>
      <c r="G2435" s="363">
        <v>1825.3</v>
      </c>
      <c r="H2435" s="252">
        <f t="shared" si="75"/>
        <v>-3.2860507147169926E-4</v>
      </c>
    </row>
    <row r="2436" spans="2:8" x14ac:dyDescent="0.3">
      <c r="B2436" s="440">
        <v>46093</v>
      </c>
      <c r="C2436" s="363">
        <v>23639.15</v>
      </c>
      <c r="D2436" s="252">
        <f t="shared" si="74"/>
        <v>-9.5404295078738155E-3</v>
      </c>
      <c r="F2436" s="440">
        <v>46094</v>
      </c>
      <c r="G2436" s="363">
        <v>1801.6</v>
      </c>
      <c r="H2436" s="252">
        <f t="shared" si="75"/>
        <v>-1.2984166986248824E-2</v>
      </c>
    </row>
    <row r="2437" spans="2:8" x14ac:dyDescent="0.3">
      <c r="B2437" s="440">
        <v>46094</v>
      </c>
      <c r="C2437" s="363">
        <v>23151.1</v>
      </c>
      <c r="D2437" s="252">
        <f t="shared" si="74"/>
        <v>-2.0645835404403456E-2</v>
      </c>
      <c r="F2437" s="440">
        <v>46097</v>
      </c>
      <c r="G2437" s="363">
        <v>1783.2</v>
      </c>
      <c r="H2437" s="252">
        <f t="shared" si="75"/>
        <v>-1.0213143872113584E-2</v>
      </c>
    </row>
    <row r="2438" spans="2:8" x14ac:dyDescent="0.3">
      <c r="B2438" s="440">
        <v>46097</v>
      </c>
      <c r="C2438" s="363">
        <v>23408.799999999999</v>
      </c>
      <c r="D2438" s="252">
        <f t="shared" si="74"/>
        <v>1.1131220546755971E-2</v>
      </c>
      <c r="F2438" s="440">
        <v>46098</v>
      </c>
      <c r="G2438" s="363">
        <v>1794.4</v>
      </c>
      <c r="H2438" s="252">
        <f t="shared" si="75"/>
        <v>6.28084342754609E-3</v>
      </c>
    </row>
    <row r="2439" spans="2:8" x14ac:dyDescent="0.3">
      <c r="B2439" s="440">
        <v>46098</v>
      </c>
      <c r="C2439" s="363">
        <v>23581.15</v>
      </c>
      <c r="D2439" s="252">
        <f t="shared" si="74"/>
        <v>7.3626157684290039E-3</v>
      </c>
      <c r="F2439" s="440">
        <v>46099</v>
      </c>
      <c r="G2439" s="363">
        <v>1778.3</v>
      </c>
      <c r="H2439" s="252">
        <f t="shared" si="75"/>
        <v>-8.9723584485065233E-3</v>
      </c>
    </row>
    <row r="2440" spans="2:8" x14ac:dyDescent="0.3">
      <c r="B2440" s="440">
        <v>46099</v>
      </c>
      <c r="C2440" s="363">
        <v>23777.8</v>
      </c>
      <c r="D2440" s="252">
        <f t="shared" si="74"/>
        <v>8.3392879482127036E-3</v>
      </c>
      <c r="F2440" s="440">
        <v>46100</v>
      </c>
      <c r="G2440" s="363">
        <v>1744.4</v>
      </c>
      <c r="H2440" s="252">
        <f t="shared" si="75"/>
        <v>-1.9063150199628787E-2</v>
      </c>
    </row>
    <row r="2441" spans="2:8" x14ac:dyDescent="0.3">
      <c r="B2441" s="440">
        <v>46100</v>
      </c>
      <c r="C2441" s="363">
        <v>23002.15</v>
      </c>
      <c r="D2441" s="252">
        <f t="shared" si="74"/>
        <v>-3.2620763905828021E-2</v>
      </c>
      <c r="F2441" s="440">
        <v>46101</v>
      </c>
      <c r="G2441" s="363">
        <v>1777.1</v>
      </c>
      <c r="H2441" s="252">
        <f t="shared" si="75"/>
        <v>1.8745700527401876E-2</v>
      </c>
    </row>
    <row r="2442" spans="2:8" x14ac:dyDescent="0.3">
      <c r="B2442" s="440">
        <v>46101</v>
      </c>
      <c r="C2442" s="363">
        <v>23114.5</v>
      </c>
      <c r="D2442" s="252">
        <f t="shared" si="74"/>
        <v>4.8843260303927938E-3</v>
      </c>
      <c r="F2442" s="440">
        <v>46104</v>
      </c>
      <c r="G2442" s="363">
        <v>1758.4</v>
      </c>
      <c r="H2442" s="252">
        <f t="shared" si="75"/>
        <v>-1.0522761802937319E-2</v>
      </c>
    </row>
    <row r="2443" spans="2:8" x14ac:dyDescent="0.3">
      <c r="B2443" s="440">
        <v>46104</v>
      </c>
      <c r="C2443" s="363">
        <v>22512.65</v>
      </c>
      <c r="D2443" s="252">
        <f t="shared" ref="D2443:D2485" si="76">C2443/C2442-1</f>
        <v>-2.6037768500291936E-2</v>
      </c>
      <c r="F2443" s="440">
        <v>46105</v>
      </c>
      <c r="G2443" s="363">
        <v>1753.3</v>
      </c>
      <c r="H2443" s="252">
        <f t="shared" ref="H2443:H2485" si="77">G2443/G2442-1</f>
        <v>-2.9003639672430248E-3</v>
      </c>
    </row>
    <row r="2444" spans="2:8" x14ac:dyDescent="0.3">
      <c r="B2444" s="440">
        <v>46105</v>
      </c>
      <c r="C2444" s="363">
        <v>22912.400000000001</v>
      </c>
      <c r="D2444" s="252">
        <f t="shared" si="76"/>
        <v>1.7756683464629885E-2</v>
      </c>
      <c r="F2444" s="440">
        <v>46106</v>
      </c>
      <c r="G2444" s="363">
        <v>1795.4</v>
      </c>
      <c r="H2444" s="252">
        <f t="shared" si="77"/>
        <v>2.4011863343409656E-2</v>
      </c>
    </row>
    <row r="2445" spans="2:8" x14ac:dyDescent="0.3">
      <c r="B2445" s="440">
        <v>46106</v>
      </c>
      <c r="C2445" s="363">
        <v>23306.45</v>
      </c>
      <c r="D2445" s="252">
        <f t="shared" si="76"/>
        <v>1.7198111066496713E-2</v>
      </c>
      <c r="F2445" s="440">
        <v>46108</v>
      </c>
      <c r="G2445" s="363">
        <v>1793.6</v>
      </c>
      <c r="H2445" s="252">
        <f t="shared" si="77"/>
        <v>-1.0025621031526377E-3</v>
      </c>
    </row>
    <row r="2446" spans="2:8" x14ac:dyDescent="0.3">
      <c r="B2446" s="440">
        <v>46108</v>
      </c>
      <c r="C2446" s="363">
        <v>22819.599999999999</v>
      </c>
      <c r="D2446" s="252">
        <f t="shared" si="76"/>
        <v>-2.0889067189554966E-2</v>
      </c>
      <c r="F2446" s="440">
        <v>46111</v>
      </c>
      <c r="G2446" s="363">
        <v>1757.2</v>
      </c>
      <c r="H2446" s="252">
        <f t="shared" si="77"/>
        <v>-2.0294380017841118E-2</v>
      </c>
    </row>
    <row r="2447" spans="2:8" x14ac:dyDescent="0.3">
      <c r="B2447" s="440">
        <v>46111</v>
      </c>
      <c r="C2447" s="363">
        <v>22331.4</v>
      </c>
      <c r="D2447" s="252">
        <f t="shared" si="76"/>
        <v>-2.1393889463443561E-2</v>
      </c>
      <c r="F2447" s="440">
        <v>46113</v>
      </c>
      <c r="G2447" s="363">
        <v>1728.5</v>
      </c>
      <c r="H2447" s="252">
        <f t="shared" si="77"/>
        <v>-1.6332802185294759E-2</v>
      </c>
    </row>
    <row r="2448" spans="2:8" x14ac:dyDescent="0.3">
      <c r="B2448" s="440">
        <v>46113</v>
      </c>
      <c r="C2448" s="363">
        <v>22679.4</v>
      </c>
      <c r="D2448" s="252">
        <f t="shared" si="76"/>
        <v>1.5583438566323604E-2</v>
      </c>
      <c r="F2448" s="440">
        <v>46114</v>
      </c>
      <c r="G2448" s="363">
        <v>1693.6</v>
      </c>
      <c r="H2448" s="252">
        <f t="shared" si="77"/>
        <v>-2.0190916980040496E-2</v>
      </c>
    </row>
    <row r="2449" spans="2:8" x14ac:dyDescent="0.3">
      <c r="B2449" s="440">
        <v>46114</v>
      </c>
      <c r="C2449" s="363">
        <v>22713.1</v>
      </c>
      <c r="D2449" s="252">
        <f t="shared" si="76"/>
        <v>1.4859299628737777E-3</v>
      </c>
      <c r="F2449" s="440">
        <v>46118</v>
      </c>
      <c r="G2449" s="363">
        <v>1694.6</v>
      </c>
      <c r="H2449" s="252">
        <f t="shared" si="77"/>
        <v>5.904581955598065E-4</v>
      </c>
    </row>
    <row r="2450" spans="2:8" x14ac:dyDescent="0.3">
      <c r="B2450" s="440">
        <v>46118</v>
      </c>
      <c r="C2450" s="363">
        <v>22968.25</v>
      </c>
      <c r="D2450" s="252">
        <f t="shared" si="76"/>
        <v>1.123360527625028E-2</v>
      </c>
      <c r="F2450" s="440">
        <v>46119</v>
      </c>
      <c r="G2450" s="363">
        <v>1718</v>
      </c>
      <c r="H2450" s="252">
        <f t="shared" si="77"/>
        <v>1.3808568393721243E-2</v>
      </c>
    </row>
    <row r="2451" spans="2:8" x14ac:dyDescent="0.3">
      <c r="B2451" s="440">
        <v>46119</v>
      </c>
      <c r="C2451" s="363">
        <v>23123.65</v>
      </c>
      <c r="D2451" s="252">
        <f t="shared" si="76"/>
        <v>6.7658615697756552E-3</v>
      </c>
      <c r="F2451" s="440">
        <v>46120</v>
      </c>
      <c r="G2451" s="363">
        <v>1714.6</v>
      </c>
      <c r="H2451" s="252">
        <f t="shared" si="77"/>
        <v>-1.9790454016298531E-3</v>
      </c>
    </row>
    <row r="2452" spans="2:8" x14ac:dyDescent="0.3">
      <c r="B2452" s="440">
        <v>46120</v>
      </c>
      <c r="C2452" s="363">
        <v>23997.35</v>
      </c>
      <c r="D2452" s="252">
        <f t="shared" si="76"/>
        <v>3.7783827380192925E-2</v>
      </c>
      <c r="F2452" s="440">
        <v>46121</v>
      </c>
      <c r="G2452" s="363">
        <v>1717.1</v>
      </c>
      <c r="H2452" s="252">
        <f t="shared" si="77"/>
        <v>1.4580660212293317E-3</v>
      </c>
    </row>
    <row r="2453" spans="2:8" x14ac:dyDescent="0.3">
      <c r="B2453" s="440">
        <v>46121</v>
      </c>
      <c r="C2453" s="363">
        <v>23775.1</v>
      </c>
      <c r="D2453" s="252">
        <f t="shared" si="76"/>
        <v>-9.2614392839209803E-3</v>
      </c>
      <c r="F2453" s="440">
        <v>46122</v>
      </c>
      <c r="G2453" s="363">
        <v>1654.9</v>
      </c>
      <c r="H2453" s="252">
        <f t="shared" si="77"/>
        <v>-3.6223865820278256E-2</v>
      </c>
    </row>
    <row r="2454" spans="2:8" x14ac:dyDescent="0.3">
      <c r="B2454" s="440">
        <v>46122</v>
      </c>
      <c r="C2454" s="363">
        <v>24050.6</v>
      </c>
      <c r="D2454" s="252">
        <f t="shared" si="76"/>
        <v>1.1587753574117565E-2</v>
      </c>
      <c r="F2454" s="440">
        <v>46125</v>
      </c>
      <c r="G2454" s="363">
        <v>1652.2</v>
      </c>
      <c r="H2454" s="252">
        <f t="shared" si="77"/>
        <v>-1.631518520756603E-3</v>
      </c>
    </row>
    <row r="2455" spans="2:8" x14ac:dyDescent="0.3">
      <c r="B2455" s="440">
        <v>46125</v>
      </c>
      <c r="C2455" s="363">
        <v>23842.65</v>
      </c>
      <c r="D2455" s="252">
        <f t="shared" si="76"/>
        <v>-8.6463539371157694E-3</v>
      </c>
      <c r="F2455" s="440">
        <v>46127</v>
      </c>
      <c r="G2455" s="363">
        <v>1696.6</v>
      </c>
      <c r="H2455" s="252">
        <f t="shared" si="77"/>
        <v>2.6873259895896284E-2</v>
      </c>
    </row>
    <row r="2456" spans="2:8" x14ac:dyDescent="0.3">
      <c r="B2456" s="440">
        <v>46127</v>
      </c>
      <c r="C2456" s="363">
        <v>24231.3</v>
      </c>
      <c r="D2456" s="252">
        <f t="shared" si="76"/>
        <v>1.6300620946077649E-2</v>
      </c>
      <c r="F2456" s="440">
        <v>46128</v>
      </c>
      <c r="G2456" s="363">
        <v>1693.1</v>
      </c>
      <c r="H2456" s="252">
        <f t="shared" si="77"/>
        <v>-2.0629494282683458E-3</v>
      </c>
    </row>
    <row r="2457" spans="2:8" x14ac:dyDescent="0.3">
      <c r="B2457" s="440">
        <v>46128</v>
      </c>
      <c r="C2457" s="363">
        <v>24196.75</v>
      </c>
      <c r="D2457" s="252">
        <f t="shared" si="76"/>
        <v>-1.4258417831481962E-3</v>
      </c>
      <c r="F2457" s="440">
        <v>46129</v>
      </c>
      <c r="G2457" s="363">
        <v>1675.5</v>
      </c>
      <c r="H2457" s="252">
        <f t="shared" si="77"/>
        <v>-1.0395133187643957E-2</v>
      </c>
    </row>
    <row r="2458" spans="2:8" x14ac:dyDescent="0.3">
      <c r="B2458" s="440">
        <v>46129</v>
      </c>
      <c r="C2458" s="363">
        <v>24353.55</v>
      </c>
      <c r="D2458" s="252">
        <f t="shared" si="76"/>
        <v>6.4802091189932742E-3</v>
      </c>
      <c r="F2458" s="440">
        <v>46132</v>
      </c>
      <c r="G2458" s="363">
        <v>1668.6</v>
      </c>
      <c r="H2458" s="252">
        <f t="shared" si="77"/>
        <v>-4.1181736794987378E-3</v>
      </c>
    </row>
    <row r="2459" spans="2:8" x14ac:dyDescent="0.3">
      <c r="B2459" s="440">
        <v>46132</v>
      </c>
      <c r="C2459" s="363">
        <v>24364.85</v>
      </c>
      <c r="D2459" s="252">
        <f t="shared" si="76"/>
        <v>4.6399806188412995E-4</v>
      </c>
      <c r="F2459" s="440">
        <v>46133</v>
      </c>
      <c r="G2459" s="363">
        <v>1665.2</v>
      </c>
      <c r="H2459" s="252">
        <f t="shared" si="77"/>
        <v>-2.0376363418433963E-3</v>
      </c>
    </row>
    <row r="2460" spans="2:8" x14ac:dyDescent="0.3">
      <c r="B2460" s="440">
        <v>46133</v>
      </c>
      <c r="C2460" s="363">
        <v>24576.6</v>
      </c>
      <c r="D2460" s="252">
        <f t="shared" si="76"/>
        <v>8.690798424779933E-3</v>
      </c>
      <c r="F2460" s="440">
        <v>46134</v>
      </c>
      <c r="G2460" s="363">
        <v>1669.8</v>
      </c>
      <c r="H2460" s="252">
        <f t="shared" si="77"/>
        <v>2.7624309392264568E-3</v>
      </c>
    </row>
    <row r="2461" spans="2:8" x14ac:dyDescent="0.3">
      <c r="B2461" s="440">
        <v>46134</v>
      </c>
      <c r="C2461" s="363">
        <v>24378.1</v>
      </c>
      <c r="D2461" s="252">
        <f t="shared" si="76"/>
        <v>-8.0767884898643727E-3</v>
      </c>
      <c r="F2461" s="440">
        <v>46135</v>
      </c>
      <c r="G2461" s="363">
        <v>1680.1</v>
      </c>
      <c r="H2461" s="252">
        <f t="shared" si="77"/>
        <v>6.1684034016049605E-3</v>
      </c>
    </row>
    <row r="2462" spans="2:8" x14ac:dyDescent="0.3">
      <c r="B2462" s="440">
        <v>46135</v>
      </c>
      <c r="C2462" s="363">
        <v>24173.05</v>
      </c>
      <c r="D2462" s="252">
        <f t="shared" si="76"/>
        <v>-8.4112379553779038E-3</v>
      </c>
      <c r="F2462" s="440">
        <v>46136</v>
      </c>
      <c r="G2462" s="363">
        <v>1620.4</v>
      </c>
      <c r="H2462" s="252">
        <f t="shared" si="77"/>
        <v>-3.5533599190524234E-2</v>
      </c>
    </row>
    <row r="2463" spans="2:8" x14ac:dyDescent="0.3">
      <c r="B2463" s="440">
        <v>46136</v>
      </c>
      <c r="C2463" s="363">
        <v>23897.95</v>
      </c>
      <c r="D2463" s="252">
        <f t="shared" si="76"/>
        <v>-1.1380442269386726E-2</v>
      </c>
      <c r="F2463" s="440">
        <v>46139</v>
      </c>
      <c r="G2463" s="363">
        <v>1733.5</v>
      </c>
      <c r="H2463" s="252">
        <f t="shared" si="77"/>
        <v>6.9797580844235929E-2</v>
      </c>
    </row>
    <row r="2464" spans="2:8" x14ac:dyDescent="0.3">
      <c r="B2464" s="440">
        <v>46139</v>
      </c>
      <c r="C2464" s="363">
        <v>24092.7</v>
      </c>
      <c r="D2464" s="252">
        <f t="shared" si="76"/>
        <v>8.1492345577758307E-3</v>
      </c>
      <c r="F2464" s="440">
        <v>46140</v>
      </c>
      <c r="G2464" s="363">
        <v>1747.3</v>
      </c>
      <c r="H2464" s="252">
        <f t="shared" si="77"/>
        <v>7.9607730025959E-3</v>
      </c>
    </row>
    <row r="2465" spans="2:8" x14ac:dyDescent="0.3">
      <c r="B2465" s="440">
        <v>46140</v>
      </c>
      <c r="C2465" s="363">
        <v>23995.7</v>
      </c>
      <c r="D2465" s="252">
        <f t="shared" si="76"/>
        <v>-4.0261157944107007E-3</v>
      </c>
      <c r="F2465" s="440">
        <v>46141</v>
      </c>
      <c r="G2465" s="363">
        <v>1778.7</v>
      </c>
      <c r="H2465" s="252">
        <f t="shared" si="77"/>
        <v>1.7970583185486166E-2</v>
      </c>
    </row>
    <row r="2466" spans="2:8" x14ac:dyDescent="0.3">
      <c r="B2466" s="440">
        <v>46141</v>
      </c>
      <c r="C2466" s="363">
        <v>24177.65</v>
      </c>
      <c r="D2466" s="252">
        <f t="shared" si="76"/>
        <v>7.5826085506986995E-3</v>
      </c>
      <c r="F2466" s="440">
        <v>46142</v>
      </c>
      <c r="G2466" s="363">
        <v>1808.3</v>
      </c>
      <c r="H2466" s="252">
        <f t="shared" si="77"/>
        <v>1.6641367290717968E-2</v>
      </c>
    </row>
    <row r="2467" spans="2:8" x14ac:dyDescent="0.3">
      <c r="B2467" s="440">
        <v>46142</v>
      </c>
      <c r="C2467" s="363">
        <v>23997.55</v>
      </c>
      <c r="D2467" s="252">
        <f t="shared" si="76"/>
        <v>-7.4490283381554168E-3</v>
      </c>
      <c r="F2467" s="440">
        <v>46146</v>
      </c>
      <c r="G2467" s="363">
        <v>1823.5</v>
      </c>
      <c r="H2467" s="252">
        <f t="shared" si="77"/>
        <v>8.4056848974174425E-3</v>
      </c>
    </row>
    <row r="2468" spans="2:8" x14ac:dyDescent="0.3">
      <c r="B2468" s="440">
        <v>46146</v>
      </c>
      <c r="C2468" s="363">
        <v>24119.3</v>
      </c>
      <c r="D2468" s="252">
        <f t="shared" si="76"/>
        <v>5.0734345797800451E-3</v>
      </c>
      <c r="F2468" s="440">
        <v>46147</v>
      </c>
      <c r="G2468" s="363">
        <v>1820.8</v>
      </c>
      <c r="H2468" s="252">
        <f t="shared" si="77"/>
        <v>-1.4806690430491098E-3</v>
      </c>
    </row>
    <row r="2469" spans="2:8" x14ac:dyDescent="0.3">
      <c r="B2469" s="440">
        <v>46147</v>
      </c>
      <c r="C2469" s="363">
        <v>24032.799999999999</v>
      </c>
      <c r="D2469" s="252">
        <f t="shared" si="76"/>
        <v>-3.5863395703855661E-3</v>
      </c>
      <c r="F2469" s="440">
        <v>46148</v>
      </c>
      <c r="G2469" s="363">
        <v>1850.2</v>
      </c>
      <c r="H2469" s="252">
        <f t="shared" si="77"/>
        <v>1.6146748681898027E-2</v>
      </c>
    </row>
    <row r="2470" spans="2:8" x14ac:dyDescent="0.3">
      <c r="B2470" s="440">
        <v>46148</v>
      </c>
      <c r="C2470" s="363">
        <v>24330.95</v>
      </c>
      <c r="D2470" s="252">
        <f t="shared" si="76"/>
        <v>1.2405961852135494E-2</v>
      </c>
      <c r="F2470" s="440">
        <v>46149</v>
      </c>
      <c r="G2470" s="363">
        <v>1834.4</v>
      </c>
      <c r="H2470" s="252">
        <f t="shared" si="77"/>
        <v>-8.539617338666039E-3</v>
      </c>
    </row>
    <row r="2471" spans="2:8" x14ac:dyDescent="0.3">
      <c r="B2471" s="440">
        <v>46149</v>
      </c>
      <c r="C2471" s="363">
        <v>24326.65</v>
      </c>
      <c r="D2471" s="252">
        <f t="shared" si="76"/>
        <v>-1.7672963858783586E-4</v>
      </c>
      <c r="F2471" s="440">
        <v>46150</v>
      </c>
      <c r="G2471" s="363">
        <v>1847.9</v>
      </c>
      <c r="H2471" s="252">
        <f t="shared" si="77"/>
        <v>7.3593545573484853E-3</v>
      </c>
    </row>
    <row r="2472" spans="2:8" x14ac:dyDescent="0.3">
      <c r="B2472" s="440">
        <v>46150</v>
      </c>
      <c r="C2472" s="363">
        <v>24176.15</v>
      </c>
      <c r="D2472" s="252">
        <f t="shared" si="76"/>
        <v>-6.1866307115858721E-3</v>
      </c>
      <c r="F2472" s="440">
        <v>46153</v>
      </c>
      <c r="G2472" s="363">
        <v>1872.7</v>
      </c>
      <c r="H2472" s="252">
        <f t="shared" si="77"/>
        <v>1.3420639645002508E-2</v>
      </c>
    </row>
    <row r="2473" spans="2:8" x14ac:dyDescent="0.3">
      <c r="B2473" s="440">
        <v>46153</v>
      </c>
      <c r="C2473" s="363">
        <v>23815.85</v>
      </c>
      <c r="D2473" s="252">
        <f t="shared" si="76"/>
        <v>-1.4903117328441629E-2</v>
      </c>
      <c r="F2473" s="440">
        <v>46154</v>
      </c>
      <c r="G2473" s="363">
        <v>1845.7</v>
      </c>
      <c r="H2473" s="252">
        <f t="shared" si="77"/>
        <v>-1.4417685694451898E-2</v>
      </c>
    </row>
    <row r="2474" spans="2:8" x14ac:dyDescent="0.3">
      <c r="B2474" s="440">
        <v>46154</v>
      </c>
      <c r="C2474" s="363">
        <v>23379.55</v>
      </c>
      <c r="D2474" s="252">
        <f t="shared" si="76"/>
        <v>-1.8319732447088732E-2</v>
      </c>
      <c r="F2474" s="440">
        <v>46155</v>
      </c>
      <c r="G2474" s="363">
        <v>1824.8</v>
      </c>
      <c r="H2474" s="252">
        <f t="shared" si="77"/>
        <v>-1.1323617055859603E-2</v>
      </c>
    </row>
    <row r="2475" spans="2:8" x14ac:dyDescent="0.3">
      <c r="B2475" s="440">
        <v>46155</v>
      </c>
      <c r="C2475" s="363">
        <v>23412.6</v>
      </c>
      <c r="D2475" s="252">
        <f t="shared" si="76"/>
        <v>1.4136285771111368E-3</v>
      </c>
      <c r="F2475" s="440">
        <v>46156</v>
      </c>
      <c r="G2475" s="363">
        <v>1863.2</v>
      </c>
      <c r="H2475" s="252">
        <f t="shared" si="77"/>
        <v>2.104340201665944E-2</v>
      </c>
    </row>
    <row r="2476" spans="2:8" x14ac:dyDescent="0.3">
      <c r="B2476" s="440">
        <v>46156</v>
      </c>
      <c r="C2476" s="363">
        <v>23689.599999999999</v>
      </c>
      <c r="D2476" s="252">
        <f t="shared" si="76"/>
        <v>1.1831236171975679E-2</v>
      </c>
      <c r="F2476" s="440">
        <v>46157</v>
      </c>
      <c r="G2476" s="363">
        <v>1878.2</v>
      </c>
      <c r="H2476" s="252">
        <f t="shared" si="77"/>
        <v>8.050665521683209E-3</v>
      </c>
    </row>
    <row r="2477" spans="2:8" x14ac:dyDescent="0.3">
      <c r="B2477" s="440">
        <v>46157</v>
      </c>
      <c r="C2477" s="363">
        <v>23643.5</v>
      </c>
      <c r="D2477" s="252">
        <f t="shared" si="76"/>
        <v>-1.946001620964366E-3</v>
      </c>
      <c r="F2477" s="440">
        <v>46160</v>
      </c>
      <c r="G2477" s="363">
        <v>1905.8</v>
      </c>
      <c r="H2477" s="252">
        <f t="shared" si="77"/>
        <v>1.4694920668725242E-2</v>
      </c>
    </row>
    <row r="2478" spans="2:8" x14ac:dyDescent="0.3">
      <c r="B2478" s="440">
        <v>46160</v>
      </c>
      <c r="C2478" s="363">
        <v>23649.95</v>
      </c>
      <c r="D2478" s="252">
        <f t="shared" si="76"/>
        <v>2.7280225008996517E-4</v>
      </c>
      <c r="F2478" s="440">
        <v>46161</v>
      </c>
      <c r="G2478" s="363">
        <v>1882.3</v>
      </c>
      <c r="H2478" s="252">
        <f t="shared" si="77"/>
        <v>-1.2330779725049812E-2</v>
      </c>
    </row>
    <row r="2479" spans="2:8" x14ac:dyDescent="0.3">
      <c r="B2479" s="440">
        <v>46161</v>
      </c>
      <c r="C2479" s="363">
        <v>23618</v>
      </c>
      <c r="D2479" s="252">
        <f t="shared" si="76"/>
        <v>-1.3509542303472566E-3</v>
      </c>
      <c r="F2479" s="440">
        <v>46162</v>
      </c>
      <c r="G2479" s="363">
        <v>1880.3</v>
      </c>
      <c r="H2479" s="252">
        <f t="shared" si="77"/>
        <v>-1.0625298836529629E-3</v>
      </c>
    </row>
    <row r="2480" spans="2:8" x14ac:dyDescent="0.3">
      <c r="B2480" s="440">
        <v>46162</v>
      </c>
      <c r="C2480" s="363">
        <v>23603</v>
      </c>
      <c r="D2480" s="252">
        <f t="shared" si="76"/>
        <v>-6.3510881531037011E-4</v>
      </c>
      <c r="F2480" s="440">
        <v>46162</v>
      </c>
      <c r="G2480" s="363">
        <v>1873.1</v>
      </c>
      <c r="H2480" s="252">
        <f t="shared" si="77"/>
        <v>-3.8291761952879977E-3</v>
      </c>
    </row>
    <row r="2481" spans="2:8" x14ac:dyDescent="0.3">
      <c r="B2481" s="440">
        <v>46163</v>
      </c>
      <c r="C2481" s="363">
        <v>23654.7</v>
      </c>
      <c r="D2481" s="252">
        <f t="shared" si="76"/>
        <v>2.1903995254841657E-3</v>
      </c>
      <c r="F2481" s="440">
        <v>46163</v>
      </c>
      <c r="G2481" s="363">
        <v>1891.3</v>
      </c>
      <c r="H2481" s="252">
        <f t="shared" si="77"/>
        <v>9.7165127329026379E-3</v>
      </c>
    </row>
    <row r="2482" spans="2:8" x14ac:dyDescent="0.3">
      <c r="B2482" s="440">
        <v>46164</v>
      </c>
      <c r="C2482" s="363">
        <v>23719.3</v>
      </c>
      <c r="D2482" s="252">
        <f t="shared" si="76"/>
        <v>2.7309583296342144E-3</v>
      </c>
      <c r="F2482" s="440">
        <v>46164</v>
      </c>
      <c r="G2482" s="363">
        <v>1844.6</v>
      </c>
      <c r="H2482" s="252">
        <f t="shared" si="77"/>
        <v>-2.4692010786231733E-2</v>
      </c>
    </row>
    <row r="2483" spans="2:8" x14ac:dyDescent="0.3">
      <c r="B2483" s="440">
        <v>46167</v>
      </c>
      <c r="C2483" s="363">
        <v>24031.7</v>
      </c>
      <c r="D2483" s="252">
        <f t="shared" si="76"/>
        <v>1.3170709085006838E-2</v>
      </c>
      <c r="F2483" s="440">
        <v>46167</v>
      </c>
      <c r="G2483" s="363">
        <v>1840.6</v>
      </c>
      <c r="H2483" s="252">
        <f t="shared" si="77"/>
        <v>-2.1684918139434073E-3</v>
      </c>
    </row>
    <row r="2484" spans="2:8" x14ac:dyDescent="0.3">
      <c r="B2484" s="440">
        <v>46168</v>
      </c>
      <c r="C2484" s="363">
        <v>23913.7</v>
      </c>
      <c r="D2484" s="252">
        <f t="shared" si="76"/>
        <v>-4.9101811357498137E-3</v>
      </c>
      <c r="F2484" s="440">
        <v>46168</v>
      </c>
      <c r="G2484" s="363">
        <v>1840.8</v>
      </c>
      <c r="H2484" s="252">
        <f t="shared" si="77"/>
        <v>1.0866021949373916E-4</v>
      </c>
    </row>
    <row r="2485" spans="2:8" x14ac:dyDescent="0.3">
      <c r="B2485" s="440">
        <v>46169</v>
      </c>
      <c r="C2485" s="363">
        <v>23907.15</v>
      </c>
      <c r="D2485" s="252">
        <f t="shared" si="76"/>
        <v>-2.7390157106588209E-4</v>
      </c>
      <c r="F2485" s="440">
        <v>46169</v>
      </c>
      <c r="G2485" s="363">
        <v>1844.3</v>
      </c>
      <c r="H2485" s="252">
        <f t="shared" si="77"/>
        <v>1.9013472403301979E-3</v>
      </c>
    </row>
  </sheetData>
  <autoFilter ref="F8:H8">
    <sortState ref="F9:H2485">
      <sortCondition ref="F8"/>
    </sortState>
  </autoFilter>
  <mergeCells count="3">
    <mergeCell ref="B7:D7"/>
    <mergeCell ref="F7:H7"/>
    <mergeCell ref="J7:R7"/>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BEED9"/>
  </sheetPr>
  <dimension ref="A1:U2488"/>
  <sheetViews>
    <sheetView showGridLines="0" topLeftCell="A2452" workbookViewId="0">
      <selection activeCell="B6" sqref="B6:C2482"/>
    </sheetView>
  </sheetViews>
  <sheetFormatPr defaultRowHeight="14.4" x14ac:dyDescent="0.3"/>
  <cols>
    <col min="1" max="1" width="2.88671875" customWidth="1"/>
    <col min="2" max="2" width="10.5546875" bestFit="1" customWidth="1"/>
    <col min="3" max="3" width="9" bestFit="1" customWidth="1"/>
    <col min="4" max="5" width="18" bestFit="1" customWidth="1"/>
    <col min="6" max="6" width="9" bestFit="1" customWidth="1"/>
    <col min="7" max="7" width="3.21875" customWidth="1"/>
    <col min="8" max="12" width="8.88671875" style="255"/>
    <col min="13" max="13" width="8.109375" style="255" bestFit="1" customWidth="1"/>
    <col min="14" max="16384" width="8.88671875" style="255"/>
  </cols>
  <sheetData>
    <row r="1" spans="1:21" ht="31.2" x14ac:dyDescent="0.6">
      <c r="B1" s="414" t="s">
        <v>277</v>
      </c>
      <c r="C1" s="61"/>
      <c r="D1" s="61"/>
      <c r="E1" s="61"/>
      <c r="F1" s="62"/>
      <c r="G1" s="23"/>
    </row>
    <row r="2" spans="1:21" ht="15.6" x14ac:dyDescent="0.3">
      <c r="B2" s="297" t="s">
        <v>380</v>
      </c>
      <c r="C2" s="62"/>
      <c r="D2" s="64"/>
      <c r="E2" s="64"/>
      <c r="F2" s="62"/>
      <c r="G2" s="23"/>
    </row>
    <row r="3" spans="1:21" ht="15.6" x14ac:dyDescent="0.3">
      <c r="B3" s="64"/>
      <c r="C3" s="64"/>
      <c r="D3" s="64"/>
      <c r="E3" s="64"/>
      <c r="F3" s="64"/>
      <c r="G3" s="23"/>
    </row>
    <row r="4" spans="1:21" x14ac:dyDescent="0.3">
      <c r="B4" s="60" t="s">
        <v>385</v>
      </c>
    </row>
    <row r="5" spans="1:21" x14ac:dyDescent="0.3">
      <c r="B5" s="435" t="s">
        <v>18</v>
      </c>
      <c r="C5" s="435" t="s">
        <v>19</v>
      </c>
      <c r="E5" s="435" t="s">
        <v>337</v>
      </c>
      <c r="F5" s="436">
        <f>YEARFRAC(B6,B2482)</f>
        <v>9.9916666666666671</v>
      </c>
    </row>
    <row r="6" spans="1:21" x14ac:dyDescent="0.3">
      <c r="A6" s="142"/>
      <c r="B6" s="440">
        <v>46169</v>
      </c>
      <c r="C6" s="363">
        <v>23907.15</v>
      </c>
      <c r="D6" s="142"/>
      <c r="E6" s="444"/>
      <c r="F6" s="445"/>
      <c r="G6" s="142"/>
    </row>
    <row r="7" spans="1:21" x14ac:dyDescent="0.3">
      <c r="A7" s="142"/>
      <c r="B7" s="440">
        <v>46168</v>
      </c>
      <c r="C7" s="363">
        <v>23913.7</v>
      </c>
      <c r="D7" s="142"/>
      <c r="E7" s="435" t="s">
        <v>242</v>
      </c>
      <c r="F7" s="437">
        <f>_xlfn.RRI(F5,C2482,C6)</f>
        <v>0.11333091413690144</v>
      </c>
      <c r="G7" s="142"/>
    </row>
    <row r="8" spans="1:21" x14ac:dyDescent="0.3">
      <c r="A8" s="142"/>
      <c r="B8" s="440">
        <v>46167</v>
      </c>
      <c r="C8" s="363">
        <v>24031.7</v>
      </c>
      <c r="D8" s="142"/>
      <c r="E8" s="444"/>
      <c r="F8" s="445"/>
      <c r="G8" s="142"/>
    </row>
    <row r="9" spans="1:21" x14ac:dyDescent="0.3">
      <c r="A9" s="142"/>
      <c r="B9" s="440">
        <v>46164</v>
      </c>
      <c r="C9" s="363">
        <v>23719.3</v>
      </c>
      <c r="D9" s="142"/>
      <c r="E9" s="444"/>
      <c r="F9" s="445"/>
      <c r="G9" s="142"/>
    </row>
    <row r="10" spans="1:21" x14ac:dyDescent="0.3">
      <c r="A10" s="142"/>
      <c r="B10" s="440">
        <v>46163</v>
      </c>
      <c r="C10" s="363">
        <v>23654.7</v>
      </c>
      <c r="D10" s="142"/>
      <c r="E10" s="444"/>
      <c r="F10" s="445"/>
      <c r="G10" s="142"/>
    </row>
    <row r="11" spans="1:21" x14ac:dyDescent="0.3">
      <c r="B11" s="440">
        <v>46162</v>
      </c>
      <c r="C11" s="363">
        <v>23603</v>
      </c>
      <c r="E11" s="408"/>
      <c r="F11" s="408"/>
    </row>
    <row r="12" spans="1:21" x14ac:dyDescent="0.3">
      <c r="B12" s="440">
        <v>46161</v>
      </c>
      <c r="C12" s="363">
        <v>23618</v>
      </c>
      <c r="E12" s="323"/>
      <c r="F12" s="323"/>
      <c r="U12" s="322"/>
    </row>
    <row r="13" spans="1:21" x14ac:dyDescent="0.3">
      <c r="B13" s="440">
        <v>46160</v>
      </c>
      <c r="C13" s="363">
        <v>23649.95</v>
      </c>
      <c r="G13" s="13"/>
    </row>
    <row r="14" spans="1:21" x14ac:dyDescent="0.3">
      <c r="B14" s="440">
        <v>46157</v>
      </c>
      <c r="C14" s="363">
        <v>23643.5</v>
      </c>
      <c r="F14" s="16"/>
    </row>
    <row r="15" spans="1:21" x14ac:dyDescent="0.3">
      <c r="B15" s="440">
        <v>46156</v>
      </c>
      <c r="C15" s="363">
        <v>23689.599999999999</v>
      </c>
    </row>
    <row r="16" spans="1:21" x14ac:dyDescent="0.3">
      <c r="B16" s="440">
        <v>46155</v>
      </c>
      <c r="C16" s="363">
        <v>23412.6</v>
      </c>
    </row>
    <row r="17" spans="2:3" x14ac:dyDescent="0.3">
      <c r="B17" s="440">
        <v>46154</v>
      </c>
      <c r="C17" s="363">
        <v>23379.55</v>
      </c>
    </row>
    <row r="18" spans="2:3" x14ac:dyDescent="0.3">
      <c r="B18" s="440">
        <v>46153</v>
      </c>
      <c r="C18" s="363">
        <v>23815.85</v>
      </c>
    </row>
    <row r="19" spans="2:3" x14ac:dyDescent="0.3">
      <c r="B19" s="440">
        <v>46150</v>
      </c>
      <c r="C19" s="363">
        <v>24176.15</v>
      </c>
    </row>
    <row r="20" spans="2:3" x14ac:dyDescent="0.3">
      <c r="B20" s="440">
        <v>46149</v>
      </c>
      <c r="C20" s="363">
        <v>24326.65</v>
      </c>
    </row>
    <row r="21" spans="2:3" x14ac:dyDescent="0.3">
      <c r="B21" s="440">
        <v>46148</v>
      </c>
      <c r="C21" s="363">
        <v>24330.95</v>
      </c>
    </row>
    <row r="22" spans="2:3" x14ac:dyDescent="0.3">
      <c r="B22" s="440">
        <v>46147</v>
      </c>
      <c r="C22" s="363">
        <v>24032.799999999999</v>
      </c>
    </row>
    <row r="23" spans="2:3" x14ac:dyDescent="0.3">
      <c r="B23" s="440">
        <v>46146</v>
      </c>
      <c r="C23" s="363">
        <v>24119.3</v>
      </c>
    </row>
    <row r="24" spans="2:3" x14ac:dyDescent="0.3">
      <c r="B24" s="440">
        <v>46142</v>
      </c>
      <c r="C24" s="363">
        <v>23997.55</v>
      </c>
    </row>
    <row r="25" spans="2:3" x14ac:dyDescent="0.3">
      <c r="B25" s="440">
        <v>46141</v>
      </c>
      <c r="C25" s="363">
        <v>24177.65</v>
      </c>
    </row>
    <row r="26" spans="2:3" x14ac:dyDescent="0.3">
      <c r="B26" s="440">
        <v>46140</v>
      </c>
      <c r="C26" s="363">
        <v>23995.7</v>
      </c>
    </row>
    <row r="27" spans="2:3" x14ac:dyDescent="0.3">
      <c r="B27" s="440">
        <v>46139</v>
      </c>
      <c r="C27" s="363">
        <v>24092.7</v>
      </c>
    </row>
    <row r="28" spans="2:3" x14ac:dyDescent="0.3">
      <c r="B28" s="440">
        <v>46136</v>
      </c>
      <c r="C28" s="363">
        <v>23897.95</v>
      </c>
    </row>
    <row r="29" spans="2:3" x14ac:dyDescent="0.3">
      <c r="B29" s="440">
        <v>46135</v>
      </c>
      <c r="C29" s="363">
        <v>24173.05</v>
      </c>
    </row>
    <row r="30" spans="2:3" x14ac:dyDescent="0.3">
      <c r="B30" s="440">
        <v>46134</v>
      </c>
      <c r="C30" s="363">
        <v>24378.1</v>
      </c>
    </row>
    <row r="31" spans="2:3" x14ac:dyDescent="0.3">
      <c r="B31" s="440">
        <v>46133</v>
      </c>
      <c r="C31" s="363">
        <v>24576.6</v>
      </c>
    </row>
    <row r="32" spans="2:3" x14ac:dyDescent="0.3">
      <c r="B32" s="440">
        <v>46132</v>
      </c>
      <c r="C32" s="363">
        <v>24364.85</v>
      </c>
    </row>
    <row r="33" spans="2:3" x14ac:dyDescent="0.3">
      <c r="B33" s="440">
        <v>46129</v>
      </c>
      <c r="C33" s="363">
        <v>24353.55</v>
      </c>
    </row>
    <row r="34" spans="2:3" x14ac:dyDescent="0.3">
      <c r="B34" s="440">
        <v>46128</v>
      </c>
      <c r="C34" s="363">
        <v>24196.75</v>
      </c>
    </row>
    <row r="35" spans="2:3" x14ac:dyDescent="0.3">
      <c r="B35" s="440">
        <v>46127</v>
      </c>
      <c r="C35" s="363">
        <v>24231.3</v>
      </c>
    </row>
    <row r="36" spans="2:3" x14ac:dyDescent="0.3">
      <c r="B36" s="440">
        <v>46125</v>
      </c>
      <c r="C36" s="363">
        <v>23842.65</v>
      </c>
    </row>
    <row r="37" spans="2:3" x14ac:dyDescent="0.3">
      <c r="B37" s="440">
        <v>46122</v>
      </c>
      <c r="C37" s="363">
        <v>24050.6</v>
      </c>
    </row>
    <row r="38" spans="2:3" x14ac:dyDescent="0.3">
      <c r="B38" s="440">
        <v>46121</v>
      </c>
      <c r="C38" s="363">
        <v>23775.1</v>
      </c>
    </row>
    <row r="39" spans="2:3" x14ac:dyDescent="0.3">
      <c r="B39" s="440">
        <v>46120</v>
      </c>
      <c r="C39" s="363">
        <v>23997.35</v>
      </c>
    </row>
    <row r="40" spans="2:3" x14ac:dyDescent="0.3">
      <c r="B40" s="440">
        <v>46119</v>
      </c>
      <c r="C40" s="363">
        <v>23123.65</v>
      </c>
    </row>
    <row r="41" spans="2:3" x14ac:dyDescent="0.3">
      <c r="B41" s="440">
        <v>46118</v>
      </c>
      <c r="C41" s="363">
        <v>22968.25</v>
      </c>
    </row>
    <row r="42" spans="2:3" x14ac:dyDescent="0.3">
      <c r="B42" s="440">
        <v>46114</v>
      </c>
      <c r="C42" s="363">
        <v>22713.1</v>
      </c>
    </row>
    <row r="43" spans="2:3" x14ac:dyDescent="0.3">
      <c r="B43" s="440">
        <v>46113</v>
      </c>
      <c r="C43" s="363">
        <v>22679.4</v>
      </c>
    </row>
    <row r="44" spans="2:3" x14ac:dyDescent="0.3">
      <c r="B44" s="440">
        <v>46111</v>
      </c>
      <c r="C44" s="363">
        <v>22331.4</v>
      </c>
    </row>
    <row r="45" spans="2:3" x14ac:dyDescent="0.3">
      <c r="B45" s="440">
        <v>46108</v>
      </c>
      <c r="C45" s="363">
        <v>22819.599999999999</v>
      </c>
    </row>
    <row r="46" spans="2:3" x14ac:dyDescent="0.3">
      <c r="B46" s="440">
        <v>46106</v>
      </c>
      <c r="C46" s="363">
        <v>23306.45</v>
      </c>
    </row>
    <row r="47" spans="2:3" x14ac:dyDescent="0.3">
      <c r="B47" s="440">
        <v>46105</v>
      </c>
      <c r="C47" s="363">
        <v>22912.400000000001</v>
      </c>
    </row>
    <row r="48" spans="2:3" x14ac:dyDescent="0.3">
      <c r="B48" s="440">
        <v>46104</v>
      </c>
      <c r="C48" s="363">
        <v>22512.65</v>
      </c>
    </row>
    <row r="49" spans="2:3" x14ac:dyDescent="0.3">
      <c r="B49" s="440">
        <v>46101</v>
      </c>
      <c r="C49" s="363">
        <v>23114.5</v>
      </c>
    </row>
    <row r="50" spans="2:3" x14ac:dyDescent="0.3">
      <c r="B50" s="440">
        <v>46100</v>
      </c>
      <c r="C50" s="363">
        <v>23002.15</v>
      </c>
    </row>
    <row r="51" spans="2:3" x14ac:dyDescent="0.3">
      <c r="B51" s="440">
        <v>46099</v>
      </c>
      <c r="C51" s="363">
        <v>23777.8</v>
      </c>
    </row>
    <row r="52" spans="2:3" x14ac:dyDescent="0.3">
      <c r="B52" s="440">
        <v>46098</v>
      </c>
      <c r="C52" s="363">
        <v>23581.15</v>
      </c>
    </row>
    <row r="53" spans="2:3" x14ac:dyDescent="0.3">
      <c r="B53" s="440">
        <v>46097</v>
      </c>
      <c r="C53" s="363">
        <v>23408.799999999999</v>
      </c>
    </row>
    <row r="54" spans="2:3" x14ac:dyDescent="0.3">
      <c r="B54" s="440">
        <v>46094</v>
      </c>
      <c r="C54" s="363">
        <v>23151.1</v>
      </c>
    </row>
    <row r="55" spans="2:3" x14ac:dyDescent="0.3">
      <c r="B55" s="440">
        <v>46093</v>
      </c>
      <c r="C55" s="363">
        <v>23639.15</v>
      </c>
    </row>
    <row r="56" spans="2:3" x14ac:dyDescent="0.3">
      <c r="B56" s="440">
        <v>46092</v>
      </c>
      <c r="C56" s="363">
        <v>23866.85</v>
      </c>
    </row>
    <row r="57" spans="2:3" x14ac:dyDescent="0.3">
      <c r="B57" s="440">
        <v>46091</v>
      </c>
      <c r="C57" s="363">
        <v>24261.599999999999</v>
      </c>
    </row>
    <row r="58" spans="2:3" x14ac:dyDescent="0.3">
      <c r="B58" s="440">
        <v>46090</v>
      </c>
      <c r="C58" s="363">
        <v>24028.05</v>
      </c>
    </row>
    <row r="59" spans="2:3" x14ac:dyDescent="0.3">
      <c r="B59" s="440">
        <v>46087</v>
      </c>
      <c r="C59" s="363">
        <v>24450.45</v>
      </c>
    </row>
    <row r="60" spans="2:3" x14ac:dyDescent="0.3">
      <c r="B60" s="440">
        <v>46086</v>
      </c>
      <c r="C60" s="363">
        <v>24765.9</v>
      </c>
    </row>
    <row r="61" spans="2:3" x14ac:dyDescent="0.3">
      <c r="B61" s="440">
        <v>46085</v>
      </c>
      <c r="C61" s="363">
        <v>24480.5</v>
      </c>
    </row>
    <row r="62" spans="2:3" x14ac:dyDescent="0.3">
      <c r="B62" s="440">
        <v>46083</v>
      </c>
      <c r="C62" s="363">
        <v>24865.7</v>
      </c>
    </row>
    <row r="63" spans="2:3" x14ac:dyDescent="0.3">
      <c r="B63" s="440">
        <v>46080</v>
      </c>
      <c r="C63" s="363">
        <v>25178.65</v>
      </c>
    </row>
    <row r="64" spans="2:3" x14ac:dyDescent="0.3">
      <c r="B64" s="440">
        <v>46079</v>
      </c>
      <c r="C64" s="363">
        <v>25496.55</v>
      </c>
    </row>
    <row r="65" spans="2:3" x14ac:dyDescent="0.3">
      <c r="B65" s="440">
        <v>46078</v>
      </c>
      <c r="C65" s="363">
        <v>25482.5</v>
      </c>
    </row>
    <row r="66" spans="2:3" x14ac:dyDescent="0.3">
      <c r="B66" s="440">
        <v>46077</v>
      </c>
      <c r="C66" s="363">
        <v>25424.65</v>
      </c>
    </row>
    <row r="67" spans="2:3" x14ac:dyDescent="0.3">
      <c r="B67" s="440">
        <v>46076</v>
      </c>
      <c r="C67" s="363">
        <v>25713</v>
      </c>
    </row>
    <row r="68" spans="2:3" x14ac:dyDescent="0.3">
      <c r="B68" s="440">
        <v>46073</v>
      </c>
      <c r="C68" s="363">
        <v>25571.25</v>
      </c>
    </row>
    <row r="69" spans="2:3" x14ac:dyDescent="0.3">
      <c r="B69" s="440">
        <v>46072</v>
      </c>
      <c r="C69" s="363">
        <v>25454.35</v>
      </c>
    </row>
    <row r="70" spans="2:3" x14ac:dyDescent="0.3">
      <c r="B70" s="440">
        <v>46071</v>
      </c>
      <c r="C70" s="363">
        <v>25819.35</v>
      </c>
    </row>
    <row r="71" spans="2:3" x14ac:dyDescent="0.3">
      <c r="B71" s="440">
        <v>46070</v>
      </c>
      <c r="C71" s="363">
        <v>25725.4</v>
      </c>
    </row>
    <row r="72" spans="2:3" x14ac:dyDescent="0.3">
      <c r="B72" s="440">
        <v>46069</v>
      </c>
      <c r="C72" s="363">
        <v>25682.75</v>
      </c>
    </row>
    <row r="73" spans="2:3" x14ac:dyDescent="0.3">
      <c r="B73" s="440">
        <v>46066</v>
      </c>
      <c r="C73" s="363">
        <v>25471.1</v>
      </c>
    </row>
    <row r="74" spans="2:3" x14ac:dyDescent="0.3">
      <c r="B74" s="440">
        <v>46065</v>
      </c>
      <c r="C74" s="363">
        <v>25807.200000000001</v>
      </c>
    </row>
    <row r="75" spans="2:3" x14ac:dyDescent="0.3">
      <c r="B75" s="440">
        <v>46064</v>
      </c>
      <c r="C75" s="363">
        <v>25953.85</v>
      </c>
    </row>
    <row r="76" spans="2:3" x14ac:dyDescent="0.3">
      <c r="B76" s="440">
        <v>46063</v>
      </c>
      <c r="C76" s="363">
        <v>25935.15</v>
      </c>
    </row>
    <row r="77" spans="2:3" x14ac:dyDescent="0.3">
      <c r="B77" s="440">
        <v>46062</v>
      </c>
      <c r="C77" s="363">
        <v>25867.3</v>
      </c>
    </row>
    <row r="78" spans="2:3" x14ac:dyDescent="0.3">
      <c r="B78" s="440">
        <v>46059</v>
      </c>
      <c r="C78" s="363">
        <v>25693.7</v>
      </c>
    </row>
    <row r="79" spans="2:3" x14ac:dyDescent="0.3">
      <c r="B79" s="440">
        <v>46058</v>
      </c>
      <c r="C79" s="363">
        <v>25642.799999999999</v>
      </c>
    </row>
    <row r="80" spans="2:3" x14ac:dyDescent="0.3">
      <c r="B80" s="440">
        <v>46057</v>
      </c>
      <c r="C80" s="363">
        <v>25776</v>
      </c>
    </row>
    <row r="81" spans="2:3" x14ac:dyDescent="0.3">
      <c r="B81" s="440">
        <v>46056</v>
      </c>
      <c r="C81" s="363">
        <v>25727.55</v>
      </c>
    </row>
    <row r="82" spans="2:3" x14ac:dyDescent="0.3">
      <c r="B82" s="440">
        <v>46055</v>
      </c>
      <c r="C82" s="363">
        <v>25088.400000000001</v>
      </c>
    </row>
    <row r="83" spans="2:3" x14ac:dyDescent="0.3">
      <c r="B83" s="440">
        <v>46054</v>
      </c>
      <c r="C83" s="363">
        <v>24825.45</v>
      </c>
    </row>
    <row r="84" spans="2:3" x14ac:dyDescent="0.3">
      <c r="B84" s="440">
        <v>46052</v>
      </c>
      <c r="C84" s="363">
        <v>25320.65</v>
      </c>
    </row>
    <row r="85" spans="2:3" x14ac:dyDescent="0.3">
      <c r="B85" s="440">
        <v>46051</v>
      </c>
      <c r="C85" s="363">
        <v>25418.9</v>
      </c>
    </row>
    <row r="86" spans="2:3" x14ac:dyDescent="0.3">
      <c r="B86" s="440">
        <v>46050</v>
      </c>
      <c r="C86" s="363">
        <v>25342.75</v>
      </c>
    </row>
    <row r="87" spans="2:3" x14ac:dyDescent="0.3">
      <c r="B87" s="440">
        <v>46049</v>
      </c>
      <c r="C87" s="363">
        <v>25175.4</v>
      </c>
    </row>
    <row r="88" spans="2:3" x14ac:dyDescent="0.3">
      <c r="B88" s="440">
        <v>46045</v>
      </c>
      <c r="C88" s="363">
        <v>25048.65</v>
      </c>
    </row>
    <row r="89" spans="2:3" x14ac:dyDescent="0.3">
      <c r="B89" s="440">
        <v>46044</v>
      </c>
      <c r="C89" s="363">
        <v>25289.9</v>
      </c>
    </row>
    <row r="90" spans="2:3" x14ac:dyDescent="0.3">
      <c r="B90" s="440">
        <v>46043</v>
      </c>
      <c r="C90" s="363">
        <v>25157.5</v>
      </c>
    </row>
    <row r="91" spans="2:3" x14ac:dyDescent="0.3">
      <c r="B91" s="440">
        <v>46042</v>
      </c>
      <c r="C91" s="363">
        <v>25232.5</v>
      </c>
    </row>
    <row r="92" spans="2:3" x14ac:dyDescent="0.3">
      <c r="B92" s="440">
        <v>46041</v>
      </c>
      <c r="C92" s="363">
        <v>25585.5</v>
      </c>
    </row>
    <row r="93" spans="2:3" x14ac:dyDescent="0.3">
      <c r="B93" s="440">
        <v>46038</v>
      </c>
      <c r="C93" s="363">
        <v>25694.35</v>
      </c>
    </row>
    <row r="94" spans="2:3" x14ac:dyDescent="0.3">
      <c r="B94" s="440">
        <v>46036</v>
      </c>
      <c r="C94" s="363">
        <v>25665.599999999999</v>
      </c>
    </row>
    <row r="95" spans="2:3" x14ac:dyDescent="0.3">
      <c r="B95" s="440">
        <v>46035</v>
      </c>
      <c r="C95" s="363">
        <v>25732.3</v>
      </c>
    </row>
    <row r="96" spans="2:3" x14ac:dyDescent="0.3">
      <c r="B96" s="440">
        <v>46034</v>
      </c>
      <c r="C96" s="363">
        <v>25790.25</v>
      </c>
    </row>
    <row r="97" spans="2:3" x14ac:dyDescent="0.3">
      <c r="B97" s="440">
        <v>46031</v>
      </c>
      <c r="C97" s="363">
        <v>25683.3</v>
      </c>
    </row>
    <row r="98" spans="2:3" x14ac:dyDescent="0.3">
      <c r="B98" s="440">
        <v>46030</v>
      </c>
      <c r="C98" s="363">
        <v>25876.85</v>
      </c>
    </row>
    <row r="99" spans="2:3" x14ac:dyDescent="0.3">
      <c r="B99" s="440">
        <v>46029</v>
      </c>
      <c r="C99" s="363">
        <v>26140.75</v>
      </c>
    </row>
    <row r="100" spans="2:3" x14ac:dyDescent="0.3">
      <c r="B100" s="440">
        <v>46028</v>
      </c>
      <c r="C100" s="363">
        <v>26178.7</v>
      </c>
    </row>
    <row r="101" spans="2:3" x14ac:dyDescent="0.3">
      <c r="B101" s="440">
        <v>46027</v>
      </c>
      <c r="C101" s="363">
        <v>26250.3</v>
      </c>
    </row>
    <row r="102" spans="2:3" x14ac:dyDescent="0.3">
      <c r="B102" s="440">
        <v>46024</v>
      </c>
      <c r="C102" s="363">
        <v>26328.55</v>
      </c>
    </row>
    <row r="103" spans="2:3" x14ac:dyDescent="0.3">
      <c r="B103" s="440">
        <v>46023</v>
      </c>
      <c r="C103" s="363">
        <v>26146.55</v>
      </c>
    </row>
    <row r="104" spans="2:3" x14ac:dyDescent="0.3">
      <c r="B104" s="440">
        <v>46022</v>
      </c>
      <c r="C104" s="363">
        <v>26129.599999999999</v>
      </c>
    </row>
    <row r="105" spans="2:3" x14ac:dyDescent="0.3">
      <c r="B105" s="440">
        <v>46021</v>
      </c>
      <c r="C105" s="363">
        <v>25938.85</v>
      </c>
    </row>
    <row r="106" spans="2:3" x14ac:dyDescent="0.3">
      <c r="B106" s="440">
        <v>46020</v>
      </c>
      <c r="C106" s="363">
        <v>25942.1</v>
      </c>
    </row>
    <row r="107" spans="2:3" x14ac:dyDescent="0.3">
      <c r="B107" s="440">
        <v>46017</v>
      </c>
      <c r="C107" s="363">
        <v>26042.3</v>
      </c>
    </row>
    <row r="108" spans="2:3" x14ac:dyDescent="0.3">
      <c r="B108" s="440">
        <v>46015</v>
      </c>
      <c r="C108" s="363">
        <v>26142.1</v>
      </c>
    </row>
    <row r="109" spans="2:3" x14ac:dyDescent="0.3">
      <c r="B109" s="440">
        <v>46014</v>
      </c>
      <c r="C109" s="363">
        <v>26177.15</v>
      </c>
    </row>
    <row r="110" spans="2:3" x14ac:dyDescent="0.3">
      <c r="B110" s="440">
        <v>46013</v>
      </c>
      <c r="C110" s="363">
        <v>26172.400000000001</v>
      </c>
    </row>
    <row r="111" spans="2:3" x14ac:dyDescent="0.3">
      <c r="B111" s="440">
        <v>46010</v>
      </c>
      <c r="C111" s="363">
        <v>25966.400000000001</v>
      </c>
    </row>
    <row r="112" spans="2:3" x14ac:dyDescent="0.3">
      <c r="B112" s="440">
        <v>46009</v>
      </c>
      <c r="C112" s="363">
        <v>25815.55</v>
      </c>
    </row>
    <row r="113" spans="2:3" x14ac:dyDescent="0.3">
      <c r="B113" s="440">
        <v>46008</v>
      </c>
      <c r="C113" s="363">
        <v>25818.55</v>
      </c>
    </row>
    <row r="114" spans="2:3" x14ac:dyDescent="0.3">
      <c r="B114" s="440">
        <v>46007</v>
      </c>
      <c r="C114" s="363">
        <v>25860.1</v>
      </c>
    </row>
    <row r="115" spans="2:3" x14ac:dyDescent="0.3">
      <c r="B115" s="440">
        <v>46006</v>
      </c>
      <c r="C115" s="363">
        <v>26027.3</v>
      </c>
    </row>
    <row r="116" spans="2:3" x14ac:dyDescent="0.3">
      <c r="B116" s="440">
        <v>46003</v>
      </c>
      <c r="C116" s="363">
        <v>26046.95</v>
      </c>
    </row>
    <row r="117" spans="2:3" x14ac:dyDescent="0.3">
      <c r="B117" s="440">
        <v>46002</v>
      </c>
      <c r="C117" s="363">
        <v>25898.55</v>
      </c>
    </row>
    <row r="118" spans="2:3" x14ac:dyDescent="0.3">
      <c r="B118" s="440">
        <v>46001</v>
      </c>
      <c r="C118" s="363">
        <v>25758</v>
      </c>
    </row>
    <row r="119" spans="2:3" x14ac:dyDescent="0.3">
      <c r="B119" s="440">
        <v>46000</v>
      </c>
      <c r="C119" s="363">
        <v>25839.65</v>
      </c>
    </row>
    <row r="120" spans="2:3" x14ac:dyDescent="0.3">
      <c r="B120" s="440">
        <v>45999</v>
      </c>
      <c r="C120" s="363">
        <v>25960.55</v>
      </c>
    </row>
    <row r="121" spans="2:3" x14ac:dyDescent="0.3">
      <c r="B121" s="440">
        <v>45996</v>
      </c>
      <c r="C121" s="363">
        <v>26186.45</v>
      </c>
    </row>
    <row r="122" spans="2:3" x14ac:dyDescent="0.3">
      <c r="B122" s="440">
        <v>45995</v>
      </c>
      <c r="C122" s="363">
        <v>26033.75</v>
      </c>
    </row>
    <row r="123" spans="2:3" x14ac:dyDescent="0.3">
      <c r="B123" s="440">
        <v>45994</v>
      </c>
      <c r="C123" s="363">
        <v>25986</v>
      </c>
    </row>
    <row r="124" spans="2:3" x14ac:dyDescent="0.3">
      <c r="B124" s="440">
        <v>45993</v>
      </c>
      <c r="C124" s="363">
        <v>26032.2</v>
      </c>
    </row>
    <row r="125" spans="2:3" x14ac:dyDescent="0.3">
      <c r="B125" s="440">
        <v>45992</v>
      </c>
      <c r="C125" s="363">
        <v>26175.75</v>
      </c>
    </row>
    <row r="126" spans="2:3" x14ac:dyDescent="0.3">
      <c r="B126" s="440">
        <v>45989</v>
      </c>
      <c r="C126" s="363">
        <v>26202.95</v>
      </c>
    </row>
    <row r="127" spans="2:3" x14ac:dyDescent="0.3">
      <c r="B127" s="440">
        <v>45988</v>
      </c>
      <c r="C127" s="363">
        <v>26215.55</v>
      </c>
    </row>
    <row r="128" spans="2:3" x14ac:dyDescent="0.3">
      <c r="B128" s="440">
        <v>45987</v>
      </c>
      <c r="C128" s="363">
        <v>26205.3</v>
      </c>
    </row>
    <row r="129" spans="2:3" x14ac:dyDescent="0.3">
      <c r="B129" s="440">
        <v>45986</v>
      </c>
      <c r="C129" s="363">
        <v>25884.799999999999</v>
      </c>
    </row>
    <row r="130" spans="2:3" x14ac:dyDescent="0.3">
      <c r="B130" s="440">
        <v>45985</v>
      </c>
      <c r="C130" s="363">
        <v>25959.5</v>
      </c>
    </row>
    <row r="131" spans="2:3" x14ac:dyDescent="0.3">
      <c r="B131" s="440">
        <v>45982</v>
      </c>
      <c r="C131" s="363">
        <v>26068.15</v>
      </c>
    </row>
    <row r="132" spans="2:3" x14ac:dyDescent="0.3">
      <c r="B132" s="440">
        <v>45981</v>
      </c>
      <c r="C132" s="363">
        <v>26192.15</v>
      </c>
    </row>
    <row r="133" spans="2:3" x14ac:dyDescent="0.3">
      <c r="B133" s="440">
        <v>45980</v>
      </c>
      <c r="C133" s="363">
        <v>26052.65</v>
      </c>
    </row>
    <row r="134" spans="2:3" x14ac:dyDescent="0.3">
      <c r="B134" s="440">
        <v>45979</v>
      </c>
      <c r="C134" s="363">
        <v>25910.05</v>
      </c>
    </row>
    <row r="135" spans="2:3" x14ac:dyDescent="0.3">
      <c r="B135" s="440">
        <v>45978</v>
      </c>
      <c r="C135" s="363">
        <v>26013.45</v>
      </c>
    </row>
    <row r="136" spans="2:3" x14ac:dyDescent="0.3">
      <c r="B136" s="440">
        <v>45975</v>
      </c>
      <c r="C136" s="363">
        <v>25910.05</v>
      </c>
    </row>
    <row r="137" spans="2:3" x14ac:dyDescent="0.3">
      <c r="B137" s="440">
        <v>45974</v>
      </c>
      <c r="C137" s="363">
        <v>25879.15</v>
      </c>
    </row>
    <row r="138" spans="2:3" x14ac:dyDescent="0.3">
      <c r="B138" s="440">
        <v>45973</v>
      </c>
      <c r="C138" s="363">
        <v>25875.8</v>
      </c>
    </row>
    <row r="139" spans="2:3" x14ac:dyDescent="0.3">
      <c r="B139" s="440">
        <v>45972</v>
      </c>
      <c r="C139" s="363">
        <v>25694.95</v>
      </c>
    </row>
    <row r="140" spans="2:3" x14ac:dyDescent="0.3">
      <c r="B140" s="440">
        <v>45971</v>
      </c>
      <c r="C140" s="363">
        <v>25574.35</v>
      </c>
    </row>
    <row r="141" spans="2:3" x14ac:dyDescent="0.3">
      <c r="B141" s="440">
        <v>45968</v>
      </c>
      <c r="C141" s="363">
        <v>25492.3</v>
      </c>
    </row>
    <row r="142" spans="2:3" x14ac:dyDescent="0.3">
      <c r="B142" s="440">
        <v>45967</v>
      </c>
      <c r="C142" s="363">
        <v>25509.7</v>
      </c>
    </row>
    <row r="143" spans="2:3" x14ac:dyDescent="0.3">
      <c r="B143" s="440">
        <v>45965</v>
      </c>
      <c r="C143" s="363">
        <v>25597.65</v>
      </c>
    </row>
    <row r="144" spans="2:3" x14ac:dyDescent="0.3">
      <c r="B144" s="440">
        <v>45964</v>
      </c>
      <c r="C144" s="363">
        <v>25763.35</v>
      </c>
    </row>
    <row r="145" spans="2:3" x14ac:dyDescent="0.3">
      <c r="B145" s="440">
        <v>45961</v>
      </c>
      <c r="C145" s="363">
        <v>25722.1</v>
      </c>
    </row>
    <row r="146" spans="2:3" x14ac:dyDescent="0.3">
      <c r="B146" s="440">
        <v>45960</v>
      </c>
      <c r="C146" s="363">
        <v>25877.85</v>
      </c>
    </row>
    <row r="147" spans="2:3" x14ac:dyDescent="0.3">
      <c r="B147" s="440">
        <v>45959</v>
      </c>
      <c r="C147" s="363">
        <v>26053.9</v>
      </c>
    </row>
    <row r="148" spans="2:3" x14ac:dyDescent="0.3">
      <c r="B148" s="440">
        <v>45958</v>
      </c>
      <c r="C148" s="363">
        <v>25936.2</v>
      </c>
    </row>
    <row r="149" spans="2:3" x14ac:dyDescent="0.3">
      <c r="B149" s="440">
        <v>45957</v>
      </c>
      <c r="C149" s="363">
        <v>25966.05</v>
      </c>
    </row>
    <row r="150" spans="2:3" x14ac:dyDescent="0.3">
      <c r="B150" s="440">
        <v>45954</v>
      </c>
      <c r="C150" s="363">
        <v>25795.15</v>
      </c>
    </row>
    <row r="151" spans="2:3" x14ac:dyDescent="0.3">
      <c r="B151" s="440">
        <v>45953</v>
      </c>
      <c r="C151" s="363">
        <v>25891.4</v>
      </c>
    </row>
    <row r="152" spans="2:3" x14ac:dyDescent="0.3">
      <c r="B152" s="440">
        <v>45951</v>
      </c>
      <c r="C152" s="363">
        <v>25868.6</v>
      </c>
    </row>
    <row r="153" spans="2:3" x14ac:dyDescent="0.3">
      <c r="B153" s="440">
        <v>45950</v>
      </c>
      <c r="C153" s="363">
        <v>25843.15</v>
      </c>
    </row>
    <row r="154" spans="2:3" x14ac:dyDescent="0.3">
      <c r="B154" s="440">
        <v>45947</v>
      </c>
      <c r="C154" s="363">
        <v>25709.85</v>
      </c>
    </row>
    <row r="155" spans="2:3" x14ac:dyDescent="0.3">
      <c r="B155" s="440">
        <v>45946</v>
      </c>
      <c r="C155" s="363">
        <v>25585.3</v>
      </c>
    </row>
    <row r="156" spans="2:3" x14ac:dyDescent="0.3">
      <c r="B156" s="440">
        <v>45945</v>
      </c>
      <c r="C156" s="363">
        <v>25323.55</v>
      </c>
    </row>
    <row r="157" spans="2:3" x14ac:dyDescent="0.3">
      <c r="B157" s="440">
        <v>45944</v>
      </c>
      <c r="C157" s="363">
        <v>25145.5</v>
      </c>
    </row>
    <row r="158" spans="2:3" x14ac:dyDescent="0.3">
      <c r="B158" s="440">
        <v>45943</v>
      </c>
      <c r="C158" s="363">
        <v>25227.35</v>
      </c>
    </row>
    <row r="159" spans="2:3" x14ac:dyDescent="0.3">
      <c r="B159" s="440">
        <v>45940</v>
      </c>
      <c r="C159" s="363">
        <v>25285.35</v>
      </c>
    </row>
    <row r="160" spans="2:3" x14ac:dyDescent="0.3">
      <c r="B160" s="440">
        <v>45939</v>
      </c>
      <c r="C160" s="363">
        <v>25181.8</v>
      </c>
    </row>
    <row r="161" spans="2:3" x14ac:dyDescent="0.3">
      <c r="B161" s="440">
        <v>45938</v>
      </c>
      <c r="C161" s="363">
        <v>25046.15</v>
      </c>
    </row>
    <row r="162" spans="2:3" x14ac:dyDescent="0.3">
      <c r="B162" s="440">
        <v>45937</v>
      </c>
      <c r="C162" s="363">
        <v>25108.3</v>
      </c>
    </row>
    <row r="163" spans="2:3" x14ac:dyDescent="0.3">
      <c r="B163" s="440">
        <v>45936</v>
      </c>
      <c r="C163" s="363">
        <v>25077.65</v>
      </c>
    </row>
    <row r="164" spans="2:3" x14ac:dyDescent="0.3">
      <c r="B164" s="440">
        <v>45933</v>
      </c>
      <c r="C164" s="363">
        <v>24894.25</v>
      </c>
    </row>
    <row r="165" spans="2:3" x14ac:dyDescent="0.3">
      <c r="B165" s="440">
        <v>45931</v>
      </c>
      <c r="C165" s="363">
        <v>24836.3</v>
      </c>
    </row>
    <row r="166" spans="2:3" x14ac:dyDescent="0.3">
      <c r="B166" s="440">
        <v>45930</v>
      </c>
      <c r="C166" s="363">
        <v>24611.1</v>
      </c>
    </row>
    <row r="167" spans="2:3" x14ac:dyDescent="0.3">
      <c r="B167" s="440">
        <v>45929</v>
      </c>
      <c r="C167" s="363">
        <v>24634.9</v>
      </c>
    </row>
    <row r="168" spans="2:3" x14ac:dyDescent="0.3">
      <c r="B168" s="440">
        <v>45926</v>
      </c>
      <c r="C168" s="363">
        <v>24654.7</v>
      </c>
    </row>
    <row r="169" spans="2:3" x14ac:dyDescent="0.3">
      <c r="B169" s="440">
        <v>45925</v>
      </c>
      <c r="C169" s="363">
        <v>24890.85</v>
      </c>
    </row>
    <row r="170" spans="2:3" x14ac:dyDescent="0.3">
      <c r="B170" s="440">
        <v>45924</v>
      </c>
      <c r="C170" s="363">
        <v>25056.9</v>
      </c>
    </row>
    <row r="171" spans="2:3" x14ac:dyDescent="0.3">
      <c r="B171" s="440">
        <v>45923</v>
      </c>
      <c r="C171" s="363">
        <v>25169.5</v>
      </c>
    </row>
    <row r="172" spans="2:3" x14ac:dyDescent="0.3">
      <c r="B172" s="440">
        <v>45922</v>
      </c>
      <c r="C172" s="363">
        <v>25202.35</v>
      </c>
    </row>
    <row r="173" spans="2:3" x14ac:dyDescent="0.3">
      <c r="B173" s="440">
        <v>45919</v>
      </c>
      <c r="C173" s="363">
        <v>25327.05</v>
      </c>
    </row>
    <row r="174" spans="2:3" x14ac:dyDescent="0.3">
      <c r="B174" s="440">
        <v>45918</v>
      </c>
      <c r="C174" s="363">
        <v>25423.599999999999</v>
      </c>
    </row>
    <row r="175" spans="2:3" x14ac:dyDescent="0.3">
      <c r="B175" s="440">
        <v>45917</v>
      </c>
      <c r="C175" s="363">
        <v>25330.25</v>
      </c>
    </row>
    <row r="176" spans="2:3" x14ac:dyDescent="0.3">
      <c r="B176" s="440">
        <v>45916</v>
      </c>
      <c r="C176" s="363">
        <v>25239.1</v>
      </c>
    </row>
    <row r="177" spans="2:3" x14ac:dyDescent="0.3">
      <c r="B177" s="440">
        <v>45915</v>
      </c>
      <c r="C177" s="363">
        <v>25069.200000000001</v>
      </c>
    </row>
    <row r="178" spans="2:3" x14ac:dyDescent="0.3">
      <c r="B178" s="440">
        <v>45912</v>
      </c>
      <c r="C178" s="363">
        <v>25114</v>
      </c>
    </row>
    <row r="179" spans="2:3" x14ac:dyDescent="0.3">
      <c r="B179" s="440">
        <v>45911</v>
      </c>
      <c r="C179" s="363">
        <v>25005.5</v>
      </c>
    </row>
    <row r="180" spans="2:3" x14ac:dyDescent="0.3">
      <c r="B180" s="440">
        <v>45910</v>
      </c>
      <c r="C180" s="363">
        <v>24973.1</v>
      </c>
    </row>
    <row r="181" spans="2:3" x14ac:dyDescent="0.3">
      <c r="B181" s="440">
        <v>45909</v>
      </c>
      <c r="C181" s="363">
        <v>24868.6</v>
      </c>
    </row>
    <row r="182" spans="2:3" x14ac:dyDescent="0.3">
      <c r="B182" s="440">
        <v>45908</v>
      </c>
      <c r="C182" s="363">
        <v>24773.15</v>
      </c>
    </row>
    <row r="183" spans="2:3" x14ac:dyDescent="0.3">
      <c r="B183" s="440">
        <v>45905</v>
      </c>
      <c r="C183" s="363">
        <v>24741</v>
      </c>
    </row>
    <row r="184" spans="2:3" x14ac:dyDescent="0.3">
      <c r="B184" s="440">
        <v>45904</v>
      </c>
      <c r="C184" s="363">
        <v>24734.3</v>
      </c>
    </row>
    <row r="185" spans="2:3" x14ac:dyDescent="0.3">
      <c r="B185" s="440">
        <v>45903</v>
      </c>
      <c r="C185" s="363">
        <v>24715.05</v>
      </c>
    </row>
    <row r="186" spans="2:3" x14ac:dyDescent="0.3">
      <c r="B186" s="440">
        <v>45902</v>
      </c>
      <c r="C186" s="363">
        <v>24579.599999999999</v>
      </c>
    </row>
    <row r="187" spans="2:3" x14ac:dyDescent="0.3">
      <c r="B187" s="440">
        <v>45901</v>
      </c>
      <c r="C187" s="363">
        <v>24625.05</v>
      </c>
    </row>
    <row r="188" spans="2:3" x14ac:dyDescent="0.3">
      <c r="B188" s="440">
        <v>45898</v>
      </c>
      <c r="C188" s="363">
        <v>24426.85</v>
      </c>
    </row>
    <row r="189" spans="2:3" x14ac:dyDescent="0.3">
      <c r="B189" s="440">
        <v>45897</v>
      </c>
      <c r="C189" s="363">
        <v>24500.9</v>
      </c>
    </row>
    <row r="190" spans="2:3" x14ac:dyDescent="0.3">
      <c r="B190" s="440">
        <v>45895</v>
      </c>
      <c r="C190" s="363">
        <v>24712.05</v>
      </c>
    </row>
    <row r="191" spans="2:3" x14ac:dyDescent="0.3">
      <c r="B191" s="440">
        <v>45894</v>
      </c>
      <c r="C191" s="363">
        <v>24967.75</v>
      </c>
    </row>
    <row r="192" spans="2:3" x14ac:dyDescent="0.3">
      <c r="B192" s="440">
        <v>45891</v>
      </c>
      <c r="C192" s="363">
        <v>24870.1</v>
      </c>
    </row>
    <row r="193" spans="2:3" x14ac:dyDescent="0.3">
      <c r="B193" s="440">
        <v>45890</v>
      </c>
      <c r="C193" s="363">
        <v>25083.75</v>
      </c>
    </row>
    <row r="194" spans="2:3" x14ac:dyDescent="0.3">
      <c r="B194" s="440">
        <v>45889</v>
      </c>
      <c r="C194" s="363">
        <v>25050.55</v>
      </c>
    </row>
    <row r="195" spans="2:3" x14ac:dyDescent="0.3">
      <c r="B195" s="440">
        <v>45888</v>
      </c>
      <c r="C195" s="363">
        <v>24980.65</v>
      </c>
    </row>
    <row r="196" spans="2:3" x14ac:dyDescent="0.3">
      <c r="B196" s="440">
        <v>45887</v>
      </c>
      <c r="C196" s="363">
        <v>24876.95</v>
      </c>
    </row>
    <row r="197" spans="2:3" x14ac:dyDescent="0.3">
      <c r="B197" s="440">
        <v>45883</v>
      </c>
      <c r="C197" s="363">
        <v>24631.3</v>
      </c>
    </row>
    <row r="198" spans="2:3" x14ac:dyDescent="0.3">
      <c r="B198" s="440">
        <v>45882</v>
      </c>
      <c r="C198" s="363">
        <v>24619.35</v>
      </c>
    </row>
    <row r="199" spans="2:3" x14ac:dyDescent="0.3">
      <c r="B199" s="440">
        <v>45881</v>
      </c>
      <c r="C199" s="363">
        <v>24487.4</v>
      </c>
    </row>
    <row r="200" spans="2:3" x14ac:dyDescent="0.3">
      <c r="B200" s="440">
        <v>45880</v>
      </c>
      <c r="C200" s="363">
        <v>24585.05</v>
      </c>
    </row>
    <row r="201" spans="2:3" x14ac:dyDescent="0.3">
      <c r="B201" s="440">
        <v>45877</v>
      </c>
      <c r="C201" s="363">
        <v>24363.3</v>
      </c>
    </row>
    <row r="202" spans="2:3" x14ac:dyDescent="0.3">
      <c r="B202" s="440">
        <v>45876</v>
      </c>
      <c r="C202" s="363">
        <v>24596.15</v>
      </c>
    </row>
    <row r="203" spans="2:3" x14ac:dyDescent="0.3">
      <c r="B203" s="440">
        <v>45875</v>
      </c>
      <c r="C203" s="363">
        <v>24574.2</v>
      </c>
    </row>
    <row r="204" spans="2:3" x14ac:dyDescent="0.3">
      <c r="B204" s="440">
        <v>45874</v>
      </c>
      <c r="C204" s="363">
        <v>24649.55</v>
      </c>
    </row>
    <row r="205" spans="2:3" x14ac:dyDescent="0.3">
      <c r="B205" s="440">
        <v>45873</v>
      </c>
      <c r="C205" s="363">
        <v>24722.75</v>
      </c>
    </row>
    <row r="206" spans="2:3" x14ac:dyDescent="0.3">
      <c r="B206" s="440">
        <v>45870</v>
      </c>
      <c r="C206" s="363">
        <v>24565.35</v>
      </c>
    </row>
    <row r="207" spans="2:3" x14ac:dyDescent="0.3">
      <c r="B207" s="440">
        <v>45869</v>
      </c>
      <c r="C207" s="363">
        <v>24768.35</v>
      </c>
    </row>
    <row r="208" spans="2:3" x14ac:dyDescent="0.3">
      <c r="B208" s="440">
        <v>45868</v>
      </c>
      <c r="C208" s="363">
        <v>24855.05</v>
      </c>
    </row>
    <row r="209" spans="2:3" x14ac:dyDescent="0.3">
      <c r="B209" s="440">
        <v>45867</v>
      </c>
      <c r="C209" s="363">
        <v>24821.1</v>
      </c>
    </row>
    <row r="210" spans="2:3" x14ac:dyDescent="0.3">
      <c r="B210" s="440">
        <v>45866</v>
      </c>
      <c r="C210" s="363">
        <v>24680.9</v>
      </c>
    </row>
    <row r="211" spans="2:3" x14ac:dyDescent="0.3">
      <c r="B211" s="440">
        <v>45863</v>
      </c>
      <c r="C211" s="363">
        <v>24837</v>
      </c>
    </row>
    <row r="212" spans="2:3" x14ac:dyDescent="0.3">
      <c r="B212" s="440">
        <v>45862</v>
      </c>
      <c r="C212" s="363">
        <v>25062.1</v>
      </c>
    </row>
    <row r="213" spans="2:3" x14ac:dyDescent="0.3">
      <c r="B213" s="440">
        <v>45861</v>
      </c>
      <c r="C213" s="363">
        <v>25219.9</v>
      </c>
    </row>
    <row r="214" spans="2:3" x14ac:dyDescent="0.3">
      <c r="B214" s="440">
        <v>45860</v>
      </c>
      <c r="C214" s="363">
        <v>25060.9</v>
      </c>
    </row>
    <row r="215" spans="2:3" x14ac:dyDescent="0.3">
      <c r="B215" s="440">
        <v>45859</v>
      </c>
      <c r="C215" s="363">
        <v>25090.7</v>
      </c>
    </row>
    <row r="216" spans="2:3" x14ac:dyDescent="0.3">
      <c r="B216" s="440">
        <v>45856</v>
      </c>
      <c r="C216" s="363">
        <v>24968.400000000001</v>
      </c>
    </row>
    <row r="217" spans="2:3" x14ac:dyDescent="0.3">
      <c r="B217" s="440">
        <v>45855</v>
      </c>
      <c r="C217" s="363">
        <v>25111.45</v>
      </c>
    </row>
    <row r="218" spans="2:3" x14ac:dyDescent="0.3">
      <c r="B218" s="440">
        <v>45854</v>
      </c>
      <c r="C218" s="363">
        <v>25212.05</v>
      </c>
    </row>
    <row r="219" spans="2:3" x14ac:dyDescent="0.3">
      <c r="B219" s="440">
        <v>45853</v>
      </c>
      <c r="C219" s="363">
        <v>25195.8</v>
      </c>
    </row>
    <row r="220" spans="2:3" x14ac:dyDescent="0.3">
      <c r="B220" s="440">
        <v>45852</v>
      </c>
      <c r="C220" s="363">
        <v>25082.3</v>
      </c>
    </row>
    <row r="221" spans="2:3" x14ac:dyDescent="0.3">
      <c r="B221" s="440">
        <v>45849</v>
      </c>
      <c r="C221" s="363">
        <v>25149.85</v>
      </c>
    </row>
    <row r="222" spans="2:3" x14ac:dyDescent="0.3">
      <c r="B222" s="440">
        <v>45848</v>
      </c>
      <c r="C222" s="363">
        <v>25355.25</v>
      </c>
    </row>
    <row r="223" spans="2:3" x14ac:dyDescent="0.3">
      <c r="B223" s="440">
        <v>45847</v>
      </c>
      <c r="C223" s="363">
        <v>25476.1</v>
      </c>
    </row>
    <row r="224" spans="2:3" x14ac:dyDescent="0.3">
      <c r="B224" s="440">
        <v>45846</v>
      </c>
      <c r="C224" s="363">
        <v>25522.5</v>
      </c>
    </row>
    <row r="225" spans="2:3" x14ac:dyDescent="0.3">
      <c r="B225" s="440">
        <v>45845</v>
      </c>
      <c r="C225" s="363">
        <v>25461.3</v>
      </c>
    </row>
    <row r="226" spans="2:3" x14ac:dyDescent="0.3">
      <c r="B226" s="440">
        <v>45842</v>
      </c>
      <c r="C226" s="363">
        <v>25461</v>
      </c>
    </row>
    <row r="227" spans="2:3" x14ac:dyDescent="0.3">
      <c r="B227" s="440">
        <v>45841</v>
      </c>
      <c r="C227" s="363">
        <v>25405.3</v>
      </c>
    </row>
    <row r="228" spans="2:3" x14ac:dyDescent="0.3">
      <c r="B228" s="440">
        <v>45840</v>
      </c>
      <c r="C228" s="363">
        <v>25453.4</v>
      </c>
    </row>
    <row r="229" spans="2:3" x14ac:dyDescent="0.3">
      <c r="B229" s="440">
        <v>45839</v>
      </c>
      <c r="C229" s="363">
        <v>25541.8</v>
      </c>
    </row>
    <row r="230" spans="2:3" x14ac:dyDescent="0.3">
      <c r="B230" s="440">
        <v>45838</v>
      </c>
      <c r="C230" s="363">
        <v>25517.05</v>
      </c>
    </row>
    <row r="231" spans="2:3" x14ac:dyDescent="0.3">
      <c r="B231" s="440">
        <v>45835</v>
      </c>
      <c r="C231" s="363">
        <v>25637.8</v>
      </c>
    </row>
    <row r="232" spans="2:3" x14ac:dyDescent="0.3">
      <c r="B232" s="440">
        <v>45834</v>
      </c>
      <c r="C232" s="363">
        <v>25549</v>
      </c>
    </row>
    <row r="233" spans="2:3" x14ac:dyDescent="0.3">
      <c r="B233" s="440">
        <v>45833</v>
      </c>
      <c r="C233" s="363">
        <v>25244.75</v>
      </c>
    </row>
    <row r="234" spans="2:3" x14ac:dyDescent="0.3">
      <c r="B234" s="440">
        <v>45832</v>
      </c>
      <c r="C234" s="363">
        <v>25044.35</v>
      </c>
    </row>
    <row r="235" spans="2:3" x14ac:dyDescent="0.3">
      <c r="B235" s="440">
        <v>45831</v>
      </c>
      <c r="C235" s="363">
        <v>24971.9</v>
      </c>
    </row>
    <row r="236" spans="2:3" x14ac:dyDescent="0.3">
      <c r="B236" s="440">
        <v>45828</v>
      </c>
      <c r="C236" s="363">
        <v>25112.400000000001</v>
      </c>
    </row>
    <row r="237" spans="2:3" x14ac:dyDescent="0.3">
      <c r="B237" s="440">
        <v>45827</v>
      </c>
      <c r="C237" s="363">
        <v>24793.25</v>
      </c>
    </row>
    <row r="238" spans="2:3" x14ac:dyDescent="0.3">
      <c r="B238" s="440">
        <v>45826</v>
      </c>
      <c r="C238" s="363">
        <v>24812.05</v>
      </c>
    </row>
    <row r="239" spans="2:3" x14ac:dyDescent="0.3">
      <c r="B239" s="440">
        <v>45825</v>
      </c>
      <c r="C239" s="363">
        <v>24853.4</v>
      </c>
    </row>
    <row r="240" spans="2:3" x14ac:dyDescent="0.3">
      <c r="B240" s="440">
        <v>45824</v>
      </c>
      <c r="C240" s="363">
        <v>24946.5</v>
      </c>
    </row>
    <row r="241" spans="2:3" x14ac:dyDescent="0.3">
      <c r="B241" s="440">
        <v>45821</v>
      </c>
      <c r="C241" s="363">
        <v>24718.6</v>
      </c>
    </row>
    <row r="242" spans="2:3" x14ac:dyDescent="0.3">
      <c r="B242" s="440">
        <v>45820</v>
      </c>
      <c r="C242" s="363">
        <v>24888.2</v>
      </c>
    </row>
    <row r="243" spans="2:3" x14ac:dyDescent="0.3">
      <c r="B243" s="440">
        <v>45819</v>
      </c>
      <c r="C243" s="363">
        <v>25141.4</v>
      </c>
    </row>
    <row r="244" spans="2:3" x14ac:dyDescent="0.3">
      <c r="B244" s="440">
        <v>45818</v>
      </c>
      <c r="C244" s="363">
        <v>25104.25</v>
      </c>
    </row>
    <row r="245" spans="2:3" x14ac:dyDescent="0.3">
      <c r="B245" s="440">
        <v>45817</v>
      </c>
      <c r="C245" s="363">
        <v>25103.200000000001</v>
      </c>
    </row>
    <row r="246" spans="2:3" x14ac:dyDescent="0.3">
      <c r="B246" s="440">
        <v>45814</v>
      </c>
      <c r="C246" s="363">
        <v>25003.05</v>
      </c>
    </row>
    <row r="247" spans="2:3" x14ac:dyDescent="0.3">
      <c r="B247" s="440">
        <v>45813</v>
      </c>
      <c r="C247" s="363">
        <v>24750.9</v>
      </c>
    </row>
    <row r="248" spans="2:3" x14ac:dyDescent="0.3">
      <c r="B248" s="440">
        <v>45812</v>
      </c>
      <c r="C248" s="363">
        <v>24620.2</v>
      </c>
    </row>
    <row r="249" spans="2:3" x14ac:dyDescent="0.3">
      <c r="B249" s="440">
        <v>45811</v>
      </c>
      <c r="C249" s="363">
        <v>24542.5</v>
      </c>
    </row>
    <row r="250" spans="2:3" x14ac:dyDescent="0.3">
      <c r="B250" s="440">
        <v>45810</v>
      </c>
      <c r="C250" s="363">
        <v>24716.6</v>
      </c>
    </row>
    <row r="251" spans="2:3" x14ac:dyDescent="0.3">
      <c r="B251" s="440">
        <v>45807</v>
      </c>
      <c r="C251" s="363">
        <v>24750.7</v>
      </c>
    </row>
    <row r="252" spans="2:3" x14ac:dyDescent="0.3">
      <c r="B252" s="440">
        <v>45806</v>
      </c>
      <c r="C252" s="363">
        <v>24833.599999999999</v>
      </c>
    </row>
    <row r="253" spans="2:3" x14ac:dyDescent="0.3">
      <c r="B253" s="440">
        <v>45805</v>
      </c>
      <c r="C253" s="363">
        <v>24752.45</v>
      </c>
    </row>
    <row r="254" spans="2:3" x14ac:dyDescent="0.3">
      <c r="B254" s="440">
        <v>45804</v>
      </c>
      <c r="C254" s="363">
        <v>24826.2</v>
      </c>
    </row>
    <row r="255" spans="2:3" x14ac:dyDescent="0.3">
      <c r="B255" s="440">
        <v>45803</v>
      </c>
      <c r="C255" s="363">
        <v>25001.15</v>
      </c>
    </row>
    <row r="256" spans="2:3" x14ac:dyDescent="0.3">
      <c r="B256" s="440">
        <v>45800</v>
      </c>
      <c r="C256" s="363">
        <v>24853.15</v>
      </c>
    </row>
    <row r="257" spans="2:3" x14ac:dyDescent="0.3">
      <c r="B257" s="440">
        <v>45799</v>
      </c>
      <c r="C257" s="363">
        <v>24609.7</v>
      </c>
    </row>
    <row r="258" spans="2:3" x14ac:dyDescent="0.3">
      <c r="B258" s="440">
        <v>45798</v>
      </c>
      <c r="C258" s="363">
        <v>24813.45</v>
      </c>
    </row>
    <row r="259" spans="2:3" x14ac:dyDescent="0.3">
      <c r="B259" s="440">
        <v>45797</v>
      </c>
      <c r="C259" s="363">
        <v>24683.9</v>
      </c>
    </row>
    <row r="260" spans="2:3" x14ac:dyDescent="0.3">
      <c r="B260" s="440">
        <v>45796</v>
      </c>
      <c r="C260" s="363">
        <v>24945.45</v>
      </c>
    </row>
    <row r="261" spans="2:3" x14ac:dyDescent="0.3">
      <c r="B261" s="440">
        <v>45793</v>
      </c>
      <c r="C261" s="363">
        <v>25019.8</v>
      </c>
    </row>
    <row r="262" spans="2:3" x14ac:dyDescent="0.3">
      <c r="B262" s="440">
        <v>45792</v>
      </c>
      <c r="C262" s="363">
        <v>25062.1</v>
      </c>
    </row>
    <row r="263" spans="2:3" x14ac:dyDescent="0.3">
      <c r="B263" s="440">
        <v>45791</v>
      </c>
      <c r="C263" s="363">
        <v>24666.9</v>
      </c>
    </row>
    <row r="264" spans="2:3" x14ac:dyDescent="0.3">
      <c r="B264" s="440">
        <v>45790</v>
      </c>
      <c r="C264" s="363">
        <v>24578.35</v>
      </c>
    </row>
    <row r="265" spans="2:3" x14ac:dyDescent="0.3">
      <c r="B265" s="440">
        <v>45789</v>
      </c>
      <c r="C265" s="363">
        <v>24924.7</v>
      </c>
    </row>
    <row r="266" spans="2:3" x14ac:dyDescent="0.3">
      <c r="B266" s="440">
        <v>45786</v>
      </c>
      <c r="C266" s="363">
        <v>24008</v>
      </c>
    </row>
    <row r="267" spans="2:3" x14ac:dyDescent="0.3">
      <c r="B267" s="440">
        <v>45785</v>
      </c>
      <c r="C267" s="363">
        <v>24273.8</v>
      </c>
    </row>
    <row r="268" spans="2:3" x14ac:dyDescent="0.3">
      <c r="B268" s="440">
        <v>45784</v>
      </c>
      <c r="C268" s="363">
        <v>24414.400000000001</v>
      </c>
    </row>
    <row r="269" spans="2:3" x14ac:dyDescent="0.3">
      <c r="B269" s="440">
        <v>45783</v>
      </c>
      <c r="C269" s="363">
        <v>24379.599999999999</v>
      </c>
    </row>
    <row r="270" spans="2:3" x14ac:dyDescent="0.3">
      <c r="B270" s="440">
        <v>45782</v>
      </c>
      <c r="C270" s="363">
        <v>24461.15</v>
      </c>
    </row>
    <row r="271" spans="2:3" x14ac:dyDescent="0.3">
      <c r="B271" s="440">
        <v>45779</v>
      </c>
      <c r="C271" s="363">
        <v>24346.7</v>
      </c>
    </row>
    <row r="272" spans="2:3" x14ac:dyDescent="0.3">
      <c r="B272" s="440">
        <v>45777</v>
      </c>
      <c r="C272" s="363">
        <v>24334.2</v>
      </c>
    </row>
    <row r="273" spans="2:3" x14ac:dyDescent="0.3">
      <c r="B273" s="440">
        <v>45776</v>
      </c>
      <c r="C273" s="363">
        <v>24335.95</v>
      </c>
    </row>
    <row r="274" spans="2:3" x14ac:dyDescent="0.3">
      <c r="B274" s="440">
        <v>45775</v>
      </c>
      <c r="C274" s="363">
        <v>24328.5</v>
      </c>
    </row>
    <row r="275" spans="2:3" x14ac:dyDescent="0.3">
      <c r="B275" s="440">
        <v>45772</v>
      </c>
      <c r="C275" s="363">
        <v>24039.35</v>
      </c>
    </row>
    <row r="276" spans="2:3" x14ac:dyDescent="0.3">
      <c r="B276" s="440">
        <v>45771</v>
      </c>
      <c r="C276" s="363">
        <v>24246.7</v>
      </c>
    </row>
    <row r="277" spans="2:3" x14ac:dyDescent="0.3">
      <c r="B277" s="440">
        <v>45770</v>
      </c>
      <c r="C277" s="363">
        <v>24328.95</v>
      </c>
    </row>
    <row r="278" spans="2:3" x14ac:dyDescent="0.3">
      <c r="B278" s="440">
        <v>45769</v>
      </c>
      <c r="C278" s="363">
        <v>24167.25</v>
      </c>
    </row>
    <row r="279" spans="2:3" x14ac:dyDescent="0.3">
      <c r="B279" s="440">
        <v>45768</v>
      </c>
      <c r="C279" s="363">
        <v>24125.55</v>
      </c>
    </row>
    <row r="280" spans="2:3" x14ac:dyDescent="0.3">
      <c r="B280" s="440">
        <v>45764</v>
      </c>
      <c r="C280" s="363">
        <v>23851.65</v>
      </c>
    </row>
    <row r="281" spans="2:3" x14ac:dyDescent="0.3">
      <c r="B281" s="440">
        <v>45763</v>
      </c>
      <c r="C281" s="363">
        <v>23437.200000000001</v>
      </c>
    </row>
    <row r="282" spans="2:3" x14ac:dyDescent="0.3">
      <c r="B282" s="440">
        <v>45762</v>
      </c>
      <c r="C282" s="363">
        <v>23328.55</v>
      </c>
    </row>
    <row r="283" spans="2:3" x14ac:dyDescent="0.3">
      <c r="B283" s="440">
        <v>45758</v>
      </c>
      <c r="C283" s="363">
        <v>22828.55</v>
      </c>
    </row>
    <row r="284" spans="2:3" x14ac:dyDescent="0.3">
      <c r="B284" s="440">
        <v>45756</v>
      </c>
      <c r="C284" s="363">
        <v>22399.15</v>
      </c>
    </row>
    <row r="285" spans="2:3" x14ac:dyDescent="0.3">
      <c r="B285" s="440">
        <v>45755</v>
      </c>
      <c r="C285" s="363">
        <v>22535.85</v>
      </c>
    </row>
    <row r="286" spans="2:3" x14ac:dyDescent="0.3">
      <c r="B286" s="440">
        <v>45754</v>
      </c>
      <c r="C286" s="363">
        <v>22161.599999999999</v>
      </c>
    </row>
    <row r="287" spans="2:3" x14ac:dyDescent="0.3">
      <c r="B287" s="440">
        <v>45751</v>
      </c>
      <c r="C287" s="363">
        <v>22904.45</v>
      </c>
    </row>
    <row r="288" spans="2:3" x14ac:dyDescent="0.3">
      <c r="B288" s="440">
        <v>45750</v>
      </c>
      <c r="C288" s="363">
        <v>23250.1</v>
      </c>
    </row>
    <row r="289" spans="2:3" x14ac:dyDescent="0.3">
      <c r="B289" s="440">
        <v>45749</v>
      </c>
      <c r="C289" s="363">
        <v>23332.35</v>
      </c>
    </row>
    <row r="290" spans="2:3" x14ac:dyDescent="0.3">
      <c r="B290" s="440">
        <v>45748</v>
      </c>
      <c r="C290" s="363">
        <v>23165.7</v>
      </c>
    </row>
    <row r="291" spans="2:3" x14ac:dyDescent="0.3">
      <c r="B291" s="440">
        <v>45744</v>
      </c>
      <c r="C291" s="363">
        <v>23519.35</v>
      </c>
    </row>
    <row r="292" spans="2:3" x14ac:dyDescent="0.3">
      <c r="B292" s="440">
        <v>45743</v>
      </c>
      <c r="C292" s="363">
        <v>23591.95</v>
      </c>
    </row>
    <row r="293" spans="2:3" x14ac:dyDescent="0.3">
      <c r="B293" s="440">
        <v>45742</v>
      </c>
      <c r="C293" s="363">
        <v>23486.85</v>
      </c>
    </row>
    <row r="294" spans="2:3" x14ac:dyDescent="0.3">
      <c r="B294" s="440">
        <v>45741</v>
      </c>
      <c r="C294" s="363">
        <v>23668.65</v>
      </c>
    </row>
    <row r="295" spans="2:3" x14ac:dyDescent="0.3">
      <c r="B295" s="440">
        <v>45740</v>
      </c>
      <c r="C295" s="363">
        <v>23658.35</v>
      </c>
    </row>
    <row r="296" spans="2:3" x14ac:dyDescent="0.3">
      <c r="B296" s="440">
        <v>45737</v>
      </c>
      <c r="C296" s="363">
        <v>23350.400000000001</v>
      </c>
    </row>
    <row r="297" spans="2:3" x14ac:dyDescent="0.3">
      <c r="B297" s="440">
        <v>45736</v>
      </c>
      <c r="C297" s="363">
        <v>23190.65</v>
      </c>
    </row>
    <row r="298" spans="2:3" x14ac:dyDescent="0.3">
      <c r="B298" s="440">
        <v>45735</v>
      </c>
      <c r="C298" s="363">
        <v>22907.599999999999</v>
      </c>
    </row>
    <row r="299" spans="2:3" x14ac:dyDescent="0.3">
      <c r="B299" s="440">
        <v>45734</v>
      </c>
      <c r="C299" s="363">
        <v>22834.3</v>
      </c>
    </row>
    <row r="300" spans="2:3" x14ac:dyDescent="0.3">
      <c r="B300" s="440">
        <v>45733</v>
      </c>
      <c r="C300" s="363">
        <v>22508.75</v>
      </c>
    </row>
    <row r="301" spans="2:3" x14ac:dyDescent="0.3">
      <c r="B301" s="440">
        <v>45729</v>
      </c>
      <c r="C301" s="363">
        <v>22397.200000000001</v>
      </c>
    </row>
    <row r="302" spans="2:3" x14ac:dyDescent="0.3">
      <c r="B302" s="440">
        <v>45728</v>
      </c>
      <c r="C302" s="363">
        <v>22470.5</v>
      </c>
    </row>
    <row r="303" spans="2:3" x14ac:dyDescent="0.3">
      <c r="B303" s="440">
        <v>45727</v>
      </c>
      <c r="C303" s="363">
        <v>22497.9</v>
      </c>
    </row>
    <row r="304" spans="2:3" x14ac:dyDescent="0.3">
      <c r="B304" s="440">
        <v>45726</v>
      </c>
      <c r="C304" s="363">
        <v>22460.3</v>
      </c>
    </row>
    <row r="305" spans="2:3" x14ac:dyDescent="0.3">
      <c r="B305" s="440">
        <v>45723</v>
      </c>
      <c r="C305" s="363">
        <v>22552.5</v>
      </c>
    </row>
    <row r="306" spans="2:3" x14ac:dyDescent="0.3">
      <c r="B306" s="440">
        <v>45722</v>
      </c>
      <c r="C306" s="363">
        <v>22544.7</v>
      </c>
    </row>
    <row r="307" spans="2:3" x14ac:dyDescent="0.3">
      <c r="B307" s="440">
        <v>45721</v>
      </c>
      <c r="C307" s="363">
        <v>22337.3</v>
      </c>
    </row>
    <row r="308" spans="2:3" x14ac:dyDescent="0.3">
      <c r="B308" s="440">
        <v>45720</v>
      </c>
      <c r="C308" s="363">
        <v>22082.65</v>
      </c>
    </row>
    <row r="309" spans="2:3" x14ac:dyDescent="0.3">
      <c r="B309" s="440">
        <v>45719</v>
      </c>
      <c r="C309" s="363">
        <v>22119.3</v>
      </c>
    </row>
    <row r="310" spans="2:3" x14ac:dyDescent="0.3">
      <c r="B310" s="440">
        <v>45716</v>
      </c>
      <c r="C310" s="363">
        <v>22124.7</v>
      </c>
    </row>
    <row r="311" spans="2:3" x14ac:dyDescent="0.3">
      <c r="B311" s="440">
        <v>45715</v>
      </c>
      <c r="C311" s="363">
        <v>22545.05</v>
      </c>
    </row>
    <row r="312" spans="2:3" x14ac:dyDescent="0.3">
      <c r="B312" s="440">
        <v>45713</v>
      </c>
      <c r="C312" s="363">
        <v>22547.55</v>
      </c>
    </row>
    <row r="313" spans="2:3" x14ac:dyDescent="0.3">
      <c r="B313" s="440">
        <v>45712</v>
      </c>
      <c r="C313" s="363">
        <v>22553.35</v>
      </c>
    </row>
    <row r="314" spans="2:3" x14ac:dyDescent="0.3">
      <c r="B314" s="440">
        <v>45709</v>
      </c>
      <c r="C314" s="363">
        <v>22795.9</v>
      </c>
    </row>
    <row r="315" spans="2:3" x14ac:dyDescent="0.3">
      <c r="B315" s="440">
        <v>45708</v>
      </c>
      <c r="C315" s="363">
        <v>22913.15</v>
      </c>
    </row>
    <row r="316" spans="2:3" x14ac:dyDescent="0.3">
      <c r="B316" s="440">
        <v>45707</v>
      </c>
      <c r="C316" s="363">
        <v>22932.9</v>
      </c>
    </row>
    <row r="317" spans="2:3" x14ac:dyDescent="0.3">
      <c r="B317" s="440">
        <v>45706</v>
      </c>
      <c r="C317" s="363">
        <v>22945.3</v>
      </c>
    </row>
    <row r="318" spans="2:3" x14ac:dyDescent="0.3">
      <c r="B318" s="440">
        <v>45705</v>
      </c>
      <c r="C318" s="363">
        <v>22959.5</v>
      </c>
    </row>
    <row r="319" spans="2:3" x14ac:dyDescent="0.3">
      <c r="B319" s="440">
        <v>45702</v>
      </c>
      <c r="C319" s="363">
        <v>22929.25</v>
      </c>
    </row>
    <row r="320" spans="2:3" x14ac:dyDescent="0.3">
      <c r="B320" s="440">
        <v>45701</v>
      </c>
      <c r="C320" s="363">
        <v>23031.4</v>
      </c>
    </row>
    <row r="321" spans="2:3" x14ac:dyDescent="0.3">
      <c r="B321" s="440">
        <v>45700</v>
      </c>
      <c r="C321" s="363">
        <v>23045.25</v>
      </c>
    </row>
    <row r="322" spans="2:3" x14ac:dyDescent="0.3">
      <c r="B322" s="440">
        <v>45699</v>
      </c>
      <c r="C322" s="363">
        <v>23071.8</v>
      </c>
    </row>
    <row r="323" spans="2:3" x14ac:dyDescent="0.3">
      <c r="B323" s="440">
        <v>45698</v>
      </c>
      <c r="C323" s="363">
        <v>23381.599999999999</v>
      </c>
    </row>
    <row r="324" spans="2:3" x14ac:dyDescent="0.3">
      <c r="B324" s="440">
        <v>45695</v>
      </c>
      <c r="C324" s="363">
        <v>23559.95</v>
      </c>
    </row>
    <row r="325" spans="2:3" x14ac:dyDescent="0.3">
      <c r="B325" s="440">
        <v>45694</v>
      </c>
      <c r="C325" s="363">
        <v>23603.35</v>
      </c>
    </row>
    <row r="326" spans="2:3" x14ac:dyDescent="0.3">
      <c r="B326" s="440">
        <v>45693</v>
      </c>
      <c r="C326" s="363">
        <v>23696.3</v>
      </c>
    </row>
    <row r="327" spans="2:3" x14ac:dyDescent="0.3">
      <c r="B327" s="440">
        <v>45692</v>
      </c>
      <c r="C327" s="363">
        <v>23739.25</v>
      </c>
    </row>
    <row r="328" spans="2:3" x14ac:dyDescent="0.3">
      <c r="B328" s="440">
        <v>45691</v>
      </c>
      <c r="C328" s="363">
        <v>23361.05</v>
      </c>
    </row>
    <row r="329" spans="2:3" x14ac:dyDescent="0.3">
      <c r="B329" s="440">
        <v>45689</v>
      </c>
      <c r="C329" s="363">
        <v>23482.15</v>
      </c>
    </row>
    <row r="330" spans="2:3" x14ac:dyDescent="0.3">
      <c r="B330" s="440">
        <v>45688</v>
      </c>
      <c r="C330" s="363">
        <v>23508.400000000001</v>
      </c>
    </row>
    <row r="331" spans="2:3" x14ac:dyDescent="0.3">
      <c r="B331" s="440">
        <v>45687</v>
      </c>
      <c r="C331" s="363">
        <v>23249.5</v>
      </c>
    </row>
    <row r="332" spans="2:3" x14ac:dyDescent="0.3">
      <c r="B332" s="440">
        <v>45686</v>
      </c>
      <c r="C332" s="363">
        <v>23163.1</v>
      </c>
    </row>
    <row r="333" spans="2:3" x14ac:dyDescent="0.3">
      <c r="B333" s="440">
        <v>45685</v>
      </c>
      <c r="C333" s="363">
        <v>22957.25</v>
      </c>
    </row>
    <row r="334" spans="2:3" x14ac:dyDescent="0.3">
      <c r="B334" s="440">
        <v>45684</v>
      </c>
      <c r="C334" s="363">
        <v>22829.15</v>
      </c>
    </row>
    <row r="335" spans="2:3" x14ac:dyDescent="0.3">
      <c r="B335" s="440">
        <v>45681</v>
      </c>
      <c r="C335" s="363">
        <v>23092.2</v>
      </c>
    </row>
    <row r="336" spans="2:3" x14ac:dyDescent="0.3">
      <c r="B336" s="440">
        <v>45680</v>
      </c>
      <c r="C336" s="363">
        <v>23205.35</v>
      </c>
    </row>
    <row r="337" spans="2:3" x14ac:dyDescent="0.3">
      <c r="B337" s="440">
        <v>45679</v>
      </c>
      <c r="C337" s="363">
        <v>23155.35</v>
      </c>
    </row>
    <row r="338" spans="2:3" x14ac:dyDescent="0.3">
      <c r="B338" s="440">
        <v>45678</v>
      </c>
      <c r="C338" s="363">
        <v>23024.65</v>
      </c>
    </row>
    <row r="339" spans="2:3" x14ac:dyDescent="0.3">
      <c r="B339" s="440">
        <v>45677</v>
      </c>
      <c r="C339" s="363">
        <v>23344.75</v>
      </c>
    </row>
    <row r="340" spans="2:3" x14ac:dyDescent="0.3">
      <c r="B340" s="440">
        <v>45674</v>
      </c>
      <c r="C340" s="363">
        <v>23203.200000000001</v>
      </c>
    </row>
    <row r="341" spans="2:3" x14ac:dyDescent="0.3">
      <c r="B341" s="440">
        <v>45673</v>
      </c>
      <c r="C341" s="363">
        <v>23311.8</v>
      </c>
    </row>
    <row r="342" spans="2:3" x14ac:dyDescent="0.3">
      <c r="B342" s="440">
        <v>45672</v>
      </c>
      <c r="C342" s="363">
        <v>23213.200000000001</v>
      </c>
    </row>
    <row r="343" spans="2:3" x14ac:dyDescent="0.3">
      <c r="B343" s="440">
        <v>45671</v>
      </c>
      <c r="C343" s="363">
        <v>23176.05</v>
      </c>
    </row>
    <row r="344" spans="2:3" x14ac:dyDescent="0.3">
      <c r="B344" s="440">
        <v>45670</v>
      </c>
      <c r="C344" s="363">
        <v>23085.95</v>
      </c>
    </row>
    <row r="345" spans="2:3" x14ac:dyDescent="0.3">
      <c r="B345" s="440">
        <v>45667</v>
      </c>
      <c r="C345" s="363">
        <v>23431.5</v>
      </c>
    </row>
    <row r="346" spans="2:3" x14ac:dyDescent="0.3">
      <c r="B346" s="440">
        <v>45666</v>
      </c>
      <c r="C346" s="363">
        <v>23526.5</v>
      </c>
    </row>
    <row r="347" spans="2:3" x14ac:dyDescent="0.3">
      <c r="B347" s="440">
        <v>45665</v>
      </c>
      <c r="C347" s="363">
        <v>23688.95</v>
      </c>
    </row>
    <row r="348" spans="2:3" x14ac:dyDescent="0.3">
      <c r="B348" s="440">
        <v>45664</v>
      </c>
      <c r="C348" s="363">
        <v>23707.9</v>
      </c>
    </row>
    <row r="349" spans="2:3" x14ac:dyDescent="0.3">
      <c r="B349" s="440">
        <v>45663</v>
      </c>
      <c r="C349" s="363">
        <v>23616.05</v>
      </c>
    </row>
    <row r="350" spans="2:3" x14ac:dyDescent="0.3">
      <c r="B350" s="440">
        <v>45660</v>
      </c>
      <c r="C350" s="363">
        <v>24004.75</v>
      </c>
    </row>
    <row r="351" spans="2:3" x14ac:dyDescent="0.3">
      <c r="B351" s="440">
        <v>45659</v>
      </c>
      <c r="C351" s="363">
        <v>24188.65</v>
      </c>
    </row>
    <row r="352" spans="2:3" x14ac:dyDescent="0.3">
      <c r="B352" s="440">
        <v>45658</v>
      </c>
      <c r="C352" s="363">
        <v>23742.9</v>
      </c>
    </row>
    <row r="353" spans="2:3" x14ac:dyDescent="0.3">
      <c r="B353" s="440">
        <v>45657</v>
      </c>
      <c r="C353" s="363">
        <v>23644.799999999999</v>
      </c>
    </row>
    <row r="354" spans="2:3" x14ac:dyDescent="0.3">
      <c r="B354" s="440">
        <v>45656</v>
      </c>
      <c r="C354" s="363">
        <v>23644.9</v>
      </c>
    </row>
    <row r="355" spans="2:3" x14ac:dyDescent="0.3">
      <c r="B355" s="440">
        <v>45653</v>
      </c>
      <c r="C355" s="363">
        <v>23813.4</v>
      </c>
    </row>
    <row r="356" spans="2:3" x14ac:dyDescent="0.3">
      <c r="B356" s="440">
        <v>45652</v>
      </c>
      <c r="C356" s="363">
        <v>23750.2</v>
      </c>
    </row>
    <row r="357" spans="2:3" x14ac:dyDescent="0.3">
      <c r="B357" s="440">
        <v>45650</v>
      </c>
      <c r="C357" s="363">
        <v>23727.65</v>
      </c>
    </row>
    <row r="358" spans="2:3" x14ac:dyDescent="0.3">
      <c r="B358" s="440">
        <v>45649</v>
      </c>
      <c r="C358" s="363">
        <v>23753.45</v>
      </c>
    </row>
    <row r="359" spans="2:3" x14ac:dyDescent="0.3">
      <c r="B359" s="440">
        <v>45646</v>
      </c>
      <c r="C359" s="363">
        <v>23587.5</v>
      </c>
    </row>
    <row r="360" spans="2:3" x14ac:dyDescent="0.3">
      <c r="B360" s="440">
        <v>45645</v>
      </c>
      <c r="C360" s="363">
        <v>23951.7</v>
      </c>
    </row>
    <row r="361" spans="2:3" x14ac:dyDescent="0.3">
      <c r="B361" s="440">
        <v>45644</v>
      </c>
      <c r="C361" s="363">
        <v>24198.85</v>
      </c>
    </row>
    <row r="362" spans="2:3" x14ac:dyDescent="0.3">
      <c r="B362" s="440">
        <v>45643</v>
      </c>
      <c r="C362" s="363">
        <v>24336</v>
      </c>
    </row>
    <row r="363" spans="2:3" x14ac:dyDescent="0.3">
      <c r="B363" s="440">
        <v>45642</v>
      </c>
      <c r="C363" s="363">
        <v>24668.25</v>
      </c>
    </row>
    <row r="364" spans="2:3" x14ac:dyDescent="0.3">
      <c r="B364" s="440">
        <v>45639</v>
      </c>
      <c r="C364" s="363">
        <v>24768.3</v>
      </c>
    </row>
    <row r="365" spans="2:3" x14ac:dyDescent="0.3">
      <c r="B365" s="440">
        <v>45638</v>
      </c>
      <c r="C365" s="363">
        <v>24548.7</v>
      </c>
    </row>
    <row r="366" spans="2:3" x14ac:dyDescent="0.3">
      <c r="B366" s="440">
        <v>45637</v>
      </c>
      <c r="C366" s="363">
        <v>24641.8</v>
      </c>
    </row>
    <row r="367" spans="2:3" x14ac:dyDescent="0.3">
      <c r="B367" s="440">
        <v>45636</v>
      </c>
      <c r="C367" s="363">
        <v>24610.05</v>
      </c>
    </row>
    <row r="368" spans="2:3" x14ac:dyDescent="0.3">
      <c r="B368" s="440">
        <v>45635</v>
      </c>
      <c r="C368" s="363">
        <v>24619</v>
      </c>
    </row>
    <row r="369" spans="2:3" x14ac:dyDescent="0.3">
      <c r="B369" s="440">
        <v>45632</v>
      </c>
      <c r="C369" s="363">
        <v>24677.8</v>
      </c>
    </row>
    <row r="370" spans="2:3" x14ac:dyDescent="0.3">
      <c r="B370" s="440">
        <v>45631</v>
      </c>
      <c r="C370" s="363">
        <v>24708.400000000001</v>
      </c>
    </row>
    <row r="371" spans="2:3" x14ac:dyDescent="0.3">
      <c r="B371" s="440">
        <v>45630</v>
      </c>
      <c r="C371" s="363">
        <v>24467.45</v>
      </c>
    </row>
    <row r="372" spans="2:3" x14ac:dyDescent="0.3">
      <c r="B372" s="440">
        <v>45629</v>
      </c>
      <c r="C372" s="363">
        <v>24457.15</v>
      </c>
    </row>
    <row r="373" spans="2:3" x14ac:dyDescent="0.3">
      <c r="B373" s="440">
        <v>45628</v>
      </c>
      <c r="C373" s="363">
        <v>24276.05</v>
      </c>
    </row>
    <row r="374" spans="2:3" x14ac:dyDescent="0.3">
      <c r="B374" s="440">
        <v>45625</v>
      </c>
      <c r="C374" s="363">
        <v>24131.1</v>
      </c>
    </row>
    <row r="375" spans="2:3" x14ac:dyDescent="0.3">
      <c r="B375" s="440">
        <v>45624</v>
      </c>
      <c r="C375" s="363">
        <v>23914.15</v>
      </c>
    </row>
    <row r="376" spans="2:3" x14ac:dyDescent="0.3">
      <c r="B376" s="440">
        <v>45623</v>
      </c>
      <c r="C376" s="363">
        <v>24274.9</v>
      </c>
    </row>
    <row r="377" spans="2:3" x14ac:dyDescent="0.3">
      <c r="B377" s="440">
        <v>45622</v>
      </c>
      <c r="C377" s="363">
        <v>24194.5</v>
      </c>
    </row>
    <row r="378" spans="2:3" x14ac:dyDescent="0.3">
      <c r="B378" s="440">
        <v>45621</v>
      </c>
      <c r="C378" s="363">
        <v>24221.9</v>
      </c>
    </row>
    <row r="379" spans="2:3" x14ac:dyDescent="0.3">
      <c r="B379" s="440">
        <v>45618</v>
      </c>
      <c r="C379" s="363">
        <v>23907.25</v>
      </c>
    </row>
    <row r="380" spans="2:3" x14ac:dyDescent="0.3">
      <c r="B380" s="440">
        <v>45617</v>
      </c>
      <c r="C380" s="363">
        <v>23349.9</v>
      </c>
    </row>
    <row r="381" spans="2:3" x14ac:dyDescent="0.3">
      <c r="B381" s="440">
        <v>45615</v>
      </c>
      <c r="C381" s="363">
        <v>23518.5</v>
      </c>
    </row>
    <row r="382" spans="2:3" x14ac:dyDescent="0.3">
      <c r="B382" s="440">
        <v>45614</v>
      </c>
      <c r="C382" s="363">
        <v>23453.8</v>
      </c>
    </row>
    <row r="383" spans="2:3" x14ac:dyDescent="0.3">
      <c r="B383" s="440">
        <v>45610</v>
      </c>
      <c r="C383" s="363">
        <v>23532.7</v>
      </c>
    </row>
    <row r="384" spans="2:3" x14ac:dyDescent="0.3">
      <c r="B384" s="440">
        <v>45609</v>
      </c>
      <c r="C384" s="363">
        <v>23559.05</v>
      </c>
    </row>
    <row r="385" spans="2:3" x14ac:dyDescent="0.3">
      <c r="B385" s="440">
        <v>45608</v>
      </c>
      <c r="C385" s="363">
        <v>23883.45</v>
      </c>
    </row>
    <row r="386" spans="2:3" x14ac:dyDescent="0.3">
      <c r="B386" s="440">
        <v>45607</v>
      </c>
      <c r="C386" s="363">
        <v>24141.3</v>
      </c>
    </row>
    <row r="387" spans="2:3" x14ac:dyDescent="0.3">
      <c r="B387" s="440">
        <v>45604</v>
      </c>
      <c r="C387" s="363">
        <v>24148.2</v>
      </c>
    </row>
    <row r="388" spans="2:3" x14ac:dyDescent="0.3">
      <c r="B388" s="440">
        <v>45603</v>
      </c>
      <c r="C388" s="363">
        <v>24199.35</v>
      </c>
    </row>
    <row r="389" spans="2:3" x14ac:dyDescent="0.3">
      <c r="B389" s="440">
        <v>45602</v>
      </c>
      <c r="C389" s="363">
        <v>24484.05</v>
      </c>
    </row>
    <row r="390" spans="2:3" x14ac:dyDescent="0.3">
      <c r="B390" s="440">
        <v>45601</v>
      </c>
      <c r="C390" s="363">
        <v>24213.3</v>
      </c>
    </row>
    <row r="391" spans="2:3" x14ac:dyDescent="0.3">
      <c r="B391" s="440">
        <v>45600</v>
      </c>
      <c r="C391" s="363">
        <v>23995.35</v>
      </c>
    </row>
    <row r="392" spans="2:3" x14ac:dyDescent="0.3">
      <c r="B392" s="440">
        <v>45597</v>
      </c>
      <c r="C392" s="363">
        <v>24304.35</v>
      </c>
    </row>
    <row r="393" spans="2:3" x14ac:dyDescent="0.3">
      <c r="B393" s="440">
        <v>45596</v>
      </c>
      <c r="C393" s="363">
        <v>24205.35</v>
      </c>
    </row>
    <row r="394" spans="2:3" x14ac:dyDescent="0.3">
      <c r="B394" s="440">
        <v>45595</v>
      </c>
      <c r="C394" s="363">
        <v>24340.85</v>
      </c>
    </row>
    <row r="395" spans="2:3" x14ac:dyDescent="0.3">
      <c r="B395" s="440">
        <v>45594</v>
      </c>
      <c r="C395" s="363">
        <v>24466.85</v>
      </c>
    </row>
    <row r="396" spans="2:3" x14ac:dyDescent="0.3">
      <c r="B396" s="440">
        <v>45593</v>
      </c>
      <c r="C396" s="363">
        <v>24339.15</v>
      </c>
    </row>
    <row r="397" spans="2:3" x14ac:dyDescent="0.3">
      <c r="B397" s="440">
        <v>45590</v>
      </c>
      <c r="C397" s="363">
        <v>24180.799999999999</v>
      </c>
    </row>
    <row r="398" spans="2:3" x14ac:dyDescent="0.3">
      <c r="B398" s="440">
        <v>45589</v>
      </c>
      <c r="C398" s="363">
        <v>24399.4</v>
      </c>
    </row>
    <row r="399" spans="2:3" x14ac:dyDescent="0.3">
      <c r="B399" s="440">
        <v>45588</v>
      </c>
      <c r="C399" s="363">
        <v>24435.5</v>
      </c>
    </row>
    <row r="400" spans="2:3" x14ac:dyDescent="0.3">
      <c r="B400" s="440">
        <v>45587</v>
      </c>
      <c r="C400" s="363">
        <v>24472.1</v>
      </c>
    </row>
    <row r="401" spans="2:3" x14ac:dyDescent="0.3">
      <c r="B401" s="440">
        <v>45586</v>
      </c>
      <c r="C401" s="363">
        <v>24781.1</v>
      </c>
    </row>
    <row r="402" spans="2:3" x14ac:dyDescent="0.3">
      <c r="B402" s="440">
        <v>45583</v>
      </c>
      <c r="C402" s="363">
        <v>24854.05</v>
      </c>
    </row>
    <row r="403" spans="2:3" x14ac:dyDescent="0.3">
      <c r="B403" s="440">
        <v>45582</v>
      </c>
      <c r="C403" s="363">
        <v>24749.85</v>
      </c>
    </row>
    <row r="404" spans="2:3" x14ac:dyDescent="0.3">
      <c r="B404" s="440">
        <v>45581</v>
      </c>
      <c r="C404" s="363">
        <v>24971.3</v>
      </c>
    </row>
    <row r="405" spans="2:3" x14ac:dyDescent="0.3">
      <c r="B405" s="440">
        <v>45580</v>
      </c>
      <c r="C405" s="363">
        <v>25057.35</v>
      </c>
    </row>
    <row r="406" spans="2:3" x14ac:dyDescent="0.3">
      <c r="B406" s="440">
        <v>45579</v>
      </c>
      <c r="C406" s="363">
        <v>25127.95</v>
      </c>
    </row>
    <row r="407" spans="2:3" x14ac:dyDescent="0.3">
      <c r="B407" s="440">
        <v>45576</v>
      </c>
      <c r="C407" s="363">
        <v>24964.25</v>
      </c>
    </row>
    <row r="408" spans="2:3" x14ac:dyDescent="0.3">
      <c r="B408" s="440">
        <v>45575</v>
      </c>
      <c r="C408" s="363">
        <v>24998.45</v>
      </c>
    </row>
    <row r="409" spans="2:3" x14ac:dyDescent="0.3">
      <c r="B409" s="440">
        <v>45574</v>
      </c>
      <c r="C409" s="363">
        <v>24981.95</v>
      </c>
    </row>
    <row r="410" spans="2:3" x14ac:dyDescent="0.3">
      <c r="B410" s="440">
        <v>45573</v>
      </c>
      <c r="C410" s="363">
        <v>25013.15</v>
      </c>
    </row>
    <row r="411" spans="2:3" x14ac:dyDescent="0.3">
      <c r="B411" s="440">
        <v>45572</v>
      </c>
      <c r="C411" s="363">
        <v>24795.75</v>
      </c>
    </row>
    <row r="412" spans="2:3" x14ac:dyDescent="0.3">
      <c r="B412" s="440">
        <v>45569</v>
      </c>
      <c r="C412" s="363">
        <v>25014.6</v>
      </c>
    </row>
    <row r="413" spans="2:3" x14ac:dyDescent="0.3">
      <c r="B413" s="440">
        <v>45568</v>
      </c>
      <c r="C413" s="363">
        <v>25250.1</v>
      </c>
    </row>
    <row r="414" spans="2:3" x14ac:dyDescent="0.3">
      <c r="B414" s="440">
        <v>45566</v>
      </c>
      <c r="C414" s="363">
        <v>25796.9</v>
      </c>
    </row>
    <row r="415" spans="2:3" x14ac:dyDescent="0.3">
      <c r="B415" s="440">
        <v>45565</v>
      </c>
      <c r="C415" s="363">
        <v>25810.85</v>
      </c>
    </row>
    <row r="416" spans="2:3" x14ac:dyDescent="0.3">
      <c r="B416" s="440">
        <v>45562</v>
      </c>
      <c r="C416" s="363">
        <v>26178.95</v>
      </c>
    </row>
    <row r="417" spans="2:3" x14ac:dyDescent="0.3">
      <c r="B417" s="440">
        <v>45561</v>
      </c>
      <c r="C417" s="363">
        <v>26216.05</v>
      </c>
    </row>
    <row r="418" spans="2:3" x14ac:dyDescent="0.3">
      <c r="B418" s="440">
        <v>45560</v>
      </c>
      <c r="C418" s="363">
        <v>26004.15</v>
      </c>
    </row>
    <row r="419" spans="2:3" x14ac:dyDescent="0.3">
      <c r="B419" s="440">
        <v>45559</v>
      </c>
      <c r="C419" s="363">
        <v>25940.400000000001</v>
      </c>
    </row>
    <row r="420" spans="2:3" x14ac:dyDescent="0.3">
      <c r="B420" s="440">
        <v>45558</v>
      </c>
      <c r="C420" s="363">
        <v>25939.05</v>
      </c>
    </row>
    <row r="421" spans="2:3" x14ac:dyDescent="0.3">
      <c r="B421" s="440">
        <v>45555</v>
      </c>
      <c r="C421" s="363">
        <v>25790.95</v>
      </c>
    </row>
    <row r="422" spans="2:3" x14ac:dyDescent="0.3">
      <c r="B422" s="440">
        <v>45554</v>
      </c>
      <c r="C422" s="363">
        <v>25415.8</v>
      </c>
    </row>
    <row r="423" spans="2:3" x14ac:dyDescent="0.3">
      <c r="B423" s="440">
        <v>45553</v>
      </c>
      <c r="C423" s="363">
        <v>25377.55</v>
      </c>
    </row>
    <row r="424" spans="2:3" x14ac:dyDescent="0.3">
      <c r="B424" s="440">
        <v>45552</v>
      </c>
      <c r="C424" s="363">
        <v>25418.55</v>
      </c>
    </row>
    <row r="425" spans="2:3" x14ac:dyDescent="0.3">
      <c r="B425" s="440">
        <v>45551</v>
      </c>
      <c r="C425" s="363">
        <v>25383.75</v>
      </c>
    </row>
    <row r="426" spans="2:3" x14ac:dyDescent="0.3">
      <c r="B426" s="440">
        <v>45548</v>
      </c>
      <c r="C426" s="363">
        <v>25356.5</v>
      </c>
    </row>
    <row r="427" spans="2:3" x14ac:dyDescent="0.3">
      <c r="B427" s="440">
        <v>45547</v>
      </c>
      <c r="C427" s="363">
        <v>25388.9</v>
      </c>
    </row>
    <row r="428" spans="2:3" x14ac:dyDescent="0.3">
      <c r="B428" s="440">
        <v>45546</v>
      </c>
      <c r="C428" s="363">
        <v>24918.45</v>
      </c>
    </row>
    <row r="429" spans="2:3" x14ac:dyDescent="0.3">
      <c r="B429" s="440">
        <v>45545</v>
      </c>
      <c r="C429" s="363">
        <v>25041.1</v>
      </c>
    </row>
    <row r="430" spans="2:3" x14ac:dyDescent="0.3">
      <c r="B430" s="440">
        <v>45544</v>
      </c>
      <c r="C430" s="363">
        <v>24936.400000000001</v>
      </c>
    </row>
    <row r="431" spans="2:3" x14ac:dyDescent="0.3">
      <c r="B431" s="440">
        <v>45541</v>
      </c>
      <c r="C431" s="363">
        <v>24852.15</v>
      </c>
    </row>
    <row r="432" spans="2:3" x14ac:dyDescent="0.3">
      <c r="B432" s="440">
        <v>45540</v>
      </c>
      <c r="C432" s="363">
        <v>25145.1</v>
      </c>
    </row>
    <row r="433" spans="2:3" x14ac:dyDescent="0.3">
      <c r="B433" s="440">
        <v>45539</v>
      </c>
      <c r="C433" s="363">
        <v>25198.7</v>
      </c>
    </row>
    <row r="434" spans="2:3" x14ac:dyDescent="0.3">
      <c r="B434" s="440">
        <v>45538</v>
      </c>
      <c r="C434" s="363">
        <v>25279.85</v>
      </c>
    </row>
    <row r="435" spans="2:3" x14ac:dyDescent="0.3">
      <c r="B435" s="440">
        <v>45537</v>
      </c>
      <c r="C435" s="363">
        <v>25278.7</v>
      </c>
    </row>
    <row r="436" spans="2:3" x14ac:dyDescent="0.3">
      <c r="B436" s="440">
        <v>45534</v>
      </c>
      <c r="C436" s="363">
        <v>25235.9</v>
      </c>
    </row>
    <row r="437" spans="2:3" x14ac:dyDescent="0.3">
      <c r="B437" s="440">
        <v>45533</v>
      </c>
      <c r="C437" s="363">
        <v>25151.95</v>
      </c>
    </row>
    <row r="438" spans="2:3" x14ac:dyDescent="0.3">
      <c r="B438" s="440">
        <v>45532</v>
      </c>
      <c r="C438" s="363">
        <v>25052.35</v>
      </c>
    </row>
    <row r="439" spans="2:3" x14ac:dyDescent="0.3">
      <c r="B439" s="440">
        <v>45531</v>
      </c>
      <c r="C439" s="363">
        <v>25017.75</v>
      </c>
    </row>
    <row r="440" spans="2:3" x14ac:dyDescent="0.3">
      <c r="B440" s="440">
        <v>45530</v>
      </c>
      <c r="C440" s="363">
        <v>25010.6</v>
      </c>
    </row>
    <row r="441" spans="2:3" x14ac:dyDescent="0.3">
      <c r="B441" s="440">
        <v>45527</v>
      </c>
      <c r="C441" s="363">
        <v>24823.15</v>
      </c>
    </row>
    <row r="442" spans="2:3" x14ac:dyDescent="0.3">
      <c r="B442" s="440">
        <v>45526</v>
      </c>
      <c r="C442" s="363">
        <v>24811.5</v>
      </c>
    </row>
    <row r="443" spans="2:3" x14ac:dyDescent="0.3">
      <c r="B443" s="440">
        <v>45525</v>
      </c>
      <c r="C443" s="363">
        <v>24770.2</v>
      </c>
    </row>
    <row r="444" spans="2:3" x14ac:dyDescent="0.3">
      <c r="B444" s="440">
        <v>45524</v>
      </c>
      <c r="C444" s="363">
        <v>24698.85</v>
      </c>
    </row>
    <row r="445" spans="2:3" x14ac:dyDescent="0.3">
      <c r="B445" s="440">
        <v>45523</v>
      </c>
      <c r="C445" s="363">
        <v>24572.65</v>
      </c>
    </row>
    <row r="446" spans="2:3" x14ac:dyDescent="0.3">
      <c r="B446" s="440">
        <v>45520</v>
      </c>
      <c r="C446" s="363">
        <v>24541.15</v>
      </c>
    </row>
    <row r="447" spans="2:3" x14ac:dyDescent="0.3">
      <c r="B447" s="440">
        <v>45518</v>
      </c>
      <c r="C447" s="363">
        <v>24143.75</v>
      </c>
    </row>
    <row r="448" spans="2:3" x14ac:dyDescent="0.3">
      <c r="B448" s="440">
        <v>45517</v>
      </c>
      <c r="C448" s="363">
        <v>24139</v>
      </c>
    </row>
    <row r="449" spans="2:3" x14ac:dyDescent="0.3">
      <c r="B449" s="440">
        <v>45516</v>
      </c>
      <c r="C449" s="363">
        <v>24347</v>
      </c>
    </row>
    <row r="450" spans="2:3" x14ac:dyDescent="0.3">
      <c r="B450" s="440">
        <v>45513</v>
      </c>
      <c r="C450" s="363">
        <v>24367.5</v>
      </c>
    </row>
    <row r="451" spans="2:3" x14ac:dyDescent="0.3">
      <c r="B451" s="440">
        <v>45512</v>
      </c>
      <c r="C451" s="363">
        <v>24117</v>
      </c>
    </row>
    <row r="452" spans="2:3" x14ac:dyDescent="0.3">
      <c r="B452" s="440">
        <v>45511</v>
      </c>
      <c r="C452" s="363">
        <v>24297.5</v>
      </c>
    </row>
    <row r="453" spans="2:3" x14ac:dyDescent="0.3">
      <c r="B453" s="440">
        <v>45510</v>
      </c>
      <c r="C453" s="363">
        <v>23992.55</v>
      </c>
    </row>
    <row r="454" spans="2:3" x14ac:dyDescent="0.3">
      <c r="B454" s="440">
        <v>45509</v>
      </c>
      <c r="C454" s="363">
        <v>24055.599999999999</v>
      </c>
    </row>
    <row r="455" spans="2:3" x14ac:dyDescent="0.3">
      <c r="B455" s="440">
        <v>45506</v>
      </c>
      <c r="C455" s="363">
        <v>24717.7</v>
      </c>
    </row>
    <row r="456" spans="2:3" x14ac:dyDescent="0.3">
      <c r="B456" s="440">
        <v>45505</v>
      </c>
      <c r="C456" s="363">
        <v>25010.9</v>
      </c>
    </row>
    <row r="457" spans="2:3" x14ac:dyDescent="0.3">
      <c r="B457" s="440">
        <v>45504</v>
      </c>
      <c r="C457" s="363">
        <v>24951.15</v>
      </c>
    </row>
    <row r="458" spans="2:3" x14ac:dyDescent="0.3">
      <c r="B458" s="440">
        <v>45503</v>
      </c>
      <c r="C458" s="363">
        <v>24857.3</v>
      </c>
    </row>
    <row r="459" spans="2:3" x14ac:dyDescent="0.3">
      <c r="B459" s="440">
        <v>45502</v>
      </c>
      <c r="C459" s="363">
        <v>24836.1</v>
      </c>
    </row>
    <row r="460" spans="2:3" x14ac:dyDescent="0.3">
      <c r="B460" s="440">
        <v>45499</v>
      </c>
      <c r="C460" s="363">
        <v>24834.85</v>
      </c>
    </row>
    <row r="461" spans="2:3" x14ac:dyDescent="0.3">
      <c r="B461" s="440">
        <v>45498</v>
      </c>
      <c r="C461" s="363">
        <v>24406.1</v>
      </c>
    </row>
    <row r="462" spans="2:3" x14ac:dyDescent="0.3">
      <c r="B462" s="440">
        <v>45497</v>
      </c>
      <c r="C462" s="363">
        <v>24413.5</v>
      </c>
    </row>
    <row r="463" spans="2:3" x14ac:dyDescent="0.3">
      <c r="B463" s="440">
        <v>45496</v>
      </c>
      <c r="C463" s="363">
        <v>24479.05</v>
      </c>
    </row>
    <row r="464" spans="2:3" x14ac:dyDescent="0.3">
      <c r="B464" s="440">
        <v>45495</v>
      </c>
      <c r="C464" s="363">
        <v>24509.25</v>
      </c>
    </row>
    <row r="465" spans="2:3" x14ac:dyDescent="0.3">
      <c r="B465" s="440">
        <v>45492</v>
      </c>
      <c r="C465" s="363">
        <v>24530.9</v>
      </c>
    </row>
    <row r="466" spans="2:3" x14ac:dyDescent="0.3">
      <c r="B466" s="440">
        <v>45491</v>
      </c>
      <c r="C466" s="363">
        <v>24800.85</v>
      </c>
    </row>
    <row r="467" spans="2:3" x14ac:dyDescent="0.3">
      <c r="B467" s="440">
        <v>45489</v>
      </c>
      <c r="C467" s="363">
        <v>24613</v>
      </c>
    </row>
    <row r="468" spans="2:3" x14ac:dyDescent="0.3">
      <c r="B468" s="440">
        <v>45488</v>
      </c>
      <c r="C468" s="363">
        <v>24586.7</v>
      </c>
    </row>
    <row r="469" spans="2:3" x14ac:dyDescent="0.3">
      <c r="B469" s="440">
        <v>45485</v>
      </c>
      <c r="C469" s="363">
        <v>24502.15</v>
      </c>
    </row>
    <row r="470" spans="2:3" x14ac:dyDescent="0.3">
      <c r="B470" s="440">
        <v>45484</v>
      </c>
      <c r="C470" s="363">
        <v>24315.95</v>
      </c>
    </row>
    <row r="471" spans="2:3" x14ac:dyDescent="0.3">
      <c r="B471" s="440">
        <v>45483</v>
      </c>
      <c r="C471" s="363">
        <v>24324.45</v>
      </c>
    </row>
    <row r="472" spans="2:3" x14ac:dyDescent="0.3">
      <c r="B472" s="440">
        <v>45482</v>
      </c>
      <c r="C472" s="363">
        <v>24433.200000000001</v>
      </c>
    </row>
    <row r="473" spans="2:3" x14ac:dyDescent="0.3">
      <c r="B473" s="440">
        <v>45481</v>
      </c>
      <c r="C473" s="363">
        <v>24320.55</v>
      </c>
    </row>
    <row r="474" spans="2:3" x14ac:dyDescent="0.3">
      <c r="B474" s="440">
        <v>45478</v>
      </c>
      <c r="C474" s="363">
        <v>24323.85</v>
      </c>
    </row>
    <row r="475" spans="2:3" x14ac:dyDescent="0.3">
      <c r="B475" s="440">
        <v>45477</v>
      </c>
      <c r="C475" s="363">
        <v>24302.15</v>
      </c>
    </row>
    <row r="476" spans="2:3" x14ac:dyDescent="0.3">
      <c r="B476" s="440">
        <v>45476</v>
      </c>
      <c r="C476" s="363">
        <v>24286.5</v>
      </c>
    </row>
    <row r="477" spans="2:3" x14ac:dyDescent="0.3">
      <c r="B477" s="440">
        <v>45475</v>
      </c>
      <c r="C477" s="363">
        <v>24123.85</v>
      </c>
    </row>
    <row r="478" spans="2:3" x14ac:dyDescent="0.3">
      <c r="B478" s="440">
        <v>45474</v>
      </c>
      <c r="C478" s="363">
        <v>24141.95</v>
      </c>
    </row>
    <row r="479" spans="2:3" x14ac:dyDescent="0.3">
      <c r="B479" s="440">
        <v>45471</v>
      </c>
      <c r="C479" s="363">
        <v>24010.6</v>
      </c>
    </row>
    <row r="480" spans="2:3" x14ac:dyDescent="0.3">
      <c r="B480" s="440">
        <v>45470</v>
      </c>
      <c r="C480" s="363">
        <v>24044.5</v>
      </c>
    </row>
    <row r="481" spans="2:3" x14ac:dyDescent="0.3">
      <c r="B481" s="440">
        <v>45469</v>
      </c>
      <c r="C481" s="363">
        <v>23868.799999999999</v>
      </c>
    </row>
    <row r="482" spans="2:3" x14ac:dyDescent="0.3">
      <c r="B482" s="440">
        <v>45468</v>
      </c>
      <c r="C482" s="363">
        <v>23721.3</v>
      </c>
    </row>
    <row r="483" spans="2:3" x14ac:dyDescent="0.3">
      <c r="B483" s="440">
        <v>45467</v>
      </c>
      <c r="C483" s="363">
        <v>23537.85</v>
      </c>
    </row>
    <row r="484" spans="2:3" x14ac:dyDescent="0.3">
      <c r="B484" s="440">
        <v>45464</v>
      </c>
      <c r="C484" s="363">
        <v>23501.1</v>
      </c>
    </row>
    <row r="485" spans="2:3" x14ac:dyDescent="0.3">
      <c r="B485" s="440">
        <v>45463</v>
      </c>
      <c r="C485" s="363">
        <v>23567</v>
      </c>
    </row>
    <row r="486" spans="2:3" x14ac:dyDescent="0.3">
      <c r="B486" s="440">
        <v>45462</v>
      </c>
      <c r="C486" s="363">
        <v>23516</v>
      </c>
    </row>
    <row r="487" spans="2:3" x14ac:dyDescent="0.3">
      <c r="B487" s="440">
        <v>45461</v>
      </c>
      <c r="C487" s="363">
        <v>23557.9</v>
      </c>
    </row>
    <row r="488" spans="2:3" x14ac:dyDescent="0.3">
      <c r="B488" s="440">
        <v>45457</v>
      </c>
      <c r="C488" s="363">
        <v>23465.599999999999</v>
      </c>
    </row>
    <row r="489" spans="2:3" x14ac:dyDescent="0.3">
      <c r="B489" s="440">
        <v>45456</v>
      </c>
      <c r="C489" s="363">
        <v>23398.9</v>
      </c>
    </row>
    <row r="490" spans="2:3" x14ac:dyDescent="0.3">
      <c r="B490" s="440">
        <v>45455</v>
      </c>
      <c r="C490" s="363">
        <v>23322.95</v>
      </c>
    </row>
    <row r="491" spans="2:3" x14ac:dyDescent="0.3">
      <c r="B491" s="440">
        <v>45454</v>
      </c>
      <c r="C491" s="363">
        <v>23264.85</v>
      </c>
    </row>
    <row r="492" spans="2:3" x14ac:dyDescent="0.3">
      <c r="B492" s="440">
        <v>45453</v>
      </c>
      <c r="C492" s="363">
        <v>23259.200000000001</v>
      </c>
    </row>
    <row r="493" spans="2:3" x14ac:dyDescent="0.3">
      <c r="B493" s="440">
        <v>45450</v>
      </c>
      <c r="C493" s="363">
        <v>23290.15</v>
      </c>
    </row>
    <row r="494" spans="2:3" x14ac:dyDescent="0.3">
      <c r="B494" s="440">
        <v>45449</v>
      </c>
      <c r="C494" s="363">
        <v>22821.4</v>
      </c>
    </row>
    <row r="495" spans="2:3" x14ac:dyDescent="0.3">
      <c r="B495" s="440">
        <v>45448</v>
      </c>
      <c r="C495" s="363">
        <v>22620.35</v>
      </c>
    </row>
    <row r="496" spans="2:3" x14ac:dyDescent="0.3">
      <c r="B496" s="440">
        <v>45447</v>
      </c>
      <c r="C496" s="363">
        <v>21884.5</v>
      </c>
    </row>
    <row r="497" spans="2:3" x14ac:dyDescent="0.3">
      <c r="B497" s="440">
        <v>45446</v>
      </c>
      <c r="C497" s="363">
        <v>23263.9</v>
      </c>
    </row>
    <row r="498" spans="2:3" x14ac:dyDescent="0.3">
      <c r="B498" s="440">
        <v>45443</v>
      </c>
      <c r="C498" s="363">
        <v>22530.7</v>
      </c>
    </row>
    <row r="499" spans="2:3" x14ac:dyDescent="0.3">
      <c r="B499" s="440">
        <v>45442</v>
      </c>
      <c r="C499" s="363">
        <v>22488.65</v>
      </c>
    </row>
    <row r="500" spans="2:3" x14ac:dyDescent="0.3">
      <c r="B500" s="440">
        <v>45441</v>
      </c>
      <c r="C500" s="363">
        <v>22704.7</v>
      </c>
    </row>
    <row r="501" spans="2:3" x14ac:dyDescent="0.3">
      <c r="B501" s="440">
        <v>45440</v>
      </c>
      <c r="C501" s="363">
        <v>22888.15</v>
      </c>
    </row>
    <row r="502" spans="2:3" x14ac:dyDescent="0.3">
      <c r="B502" s="440">
        <v>45439</v>
      </c>
      <c r="C502" s="363">
        <v>22932.45</v>
      </c>
    </row>
    <row r="503" spans="2:3" x14ac:dyDescent="0.3">
      <c r="B503" s="440">
        <v>45436</v>
      </c>
      <c r="C503" s="363">
        <v>22957.1</v>
      </c>
    </row>
    <row r="504" spans="2:3" x14ac:dyDescent="0.3">
      <c r="B504" s="440">
        <v>45435</v>
      </c>
      <c r="C504" s="363">
        <v>22967.65</v>
      </c>
    </row>
    <row r="505" spans="2:3" x14ac:dyDescent="0.3">
      <c r="B505" s="440">
        <v>45434</v>
      </c>
      <c r="C505" s="363">
        <v>22597.8</v>
      </c>
    </row>
    <row r="506" spans="2:3" x14ac:dyDescent="0.3">
      <c r="B506" s="440">
        <v>45433</v>
      </c>
      <c r="C506" s="363">
        <v>22529.05</v>
      </c>
    </row>
    <row r="507" spans="2:3" x14ac:dyDescent="0.3">
      <c r="B507" s="440">
        <v>45430</v>
      </c>
      <c r="C507" s="363">
        <v>22502</v>
      </c>
    </row>
    <row r="508" spans="2:3" x14ac:dyDescent="0.3">
      <c r="B508" s="440">
        <v>45429</v>
      </c>
      <c r="C508" s="363">
        <v>22466.1</v>
      </c>
    </row>
    <row r="509" spans="2:3" x14ac:dyDescent="0.3">
      <c r="B509" s="440">
        <v>45428</v>
      </c>
      <c r="C509" s="363">
        <v>22403.85</v>
      </c>
    </row>
    <row r="510" spans="2:3" x14ac:dyDescent="0.3">
      <c r="B510" s="440">
        <v>45427</v>
      </c>
      <c r="C510" s="363">
        <v>22200.55</v>
      </c>
    </row>
    <row r="511" spans="2:3" x14ac:dyDescent="0.3">
      <c r="B511" s="440">
        <v>45426</v>
      </c>
      <c r="C511" s="363">
        <v>22217.85</v>
      </c>
    </row>
    <row r="512" spans="2:3" x14ac:dyDescent="0.3">
      <c r="B512" s="440">
        <v>45425</v>
      </c>
      <c r="C512" s="363">
        <v>22104.05</v>
      </c>
    </row>
    <row r="513" spans="2:3" x14ac:dyDescent="0.3">
      <c r="B513" s="440">
        <v>45422</v>
      </c>
      <c r="C513" s="363">
        <v>22055.200000000001</v>
      </c>
    </row>
    <row r="514" spans="2:3" x14ac:dyDescent="0.3">
      <c r="B514" s="440">
        <v>45421</v>
      </c>
      <c r="C514" s="363">
        <v>21957.5</v>
      </c>
    </row>
    <row r="515" spans="2:3" x14ac:dyDescent="0.3">
      <c r="B515" s="440">
        <v>45420</v>
      </c>
      <c r="C515" s="363">
        <v>22302.5</v>
      </c>
    </row>
    <row r="516" spans="2:3" x14ac:dyDescent="0.3">
      <c r="B516" s="440">
        <v>45419</v>
      </c>
      <c r="C516" s="363">
        <v>22302.5</v>
      </c>
    </row>
    <row r="517" spans="2:3" x14ac:dyDescent="0.3">
      <c r="B517" s="440">
        <v>45418</v>
      </c>
      <c r="C517" s="363">
        <v>22442.7</v>
      </c>
    </row>
    <row r="518" spans="2:3" x14ac:dyDescent="0.3">
      <c r="B518" s="440">
        <v>45415</v>
      </c>
      <c r="C518" s="363">
        <v>22475.85</v>
      </c>
    </row>
    <row r="519" spans="2:3" x14ac:dyDescent="0.3">
      <c r="B519" s="440">
        <v>45414</v>
      </c>
      <c r="C519" s="363">
        <v>22648.2</v>
      </c>
    </row>
    <row r="520" spans="2:3" x14ac:dyDescent="0.3">
      <c r="B520" s="440">
        <v>45412</v>
      </c>
      <c r="C520" s="363">
        <v>22604.85</v>
      </c>
    </row>
    <row r="521" spans="2:3" x14ac:dyDescent="0.3">
      <c r="B521" s="440">
        <v>45411</v>
      </c>
      <c r="C521" s="363">
        <v>22643.4</v>
      </c>
    </row>
    <row r="522" spans="2:3" x14ac:dyDescent="0.3">
      <c r="B522" s="440">
        <v>45408</v>
      </c>
      <c r="C522" s="363">
        <v>22419.95</v>
      </c>
    </row>
    <row r="523" spans="2:3" x14ac:dyDescent="0.3">
      <c r="B523" s="440">
        <v>45407</v>
      </c>
      <c r="C523" s="363">
        <v>22570.35</v>
      </c>
    </row>
    <row r="524" spans="2:3" x14ac:dyDescent="0.3">
      <c r="B524" s="440">
        <v>45406</v>
      </c>
      <c r="C524" s="363">
        <v>22402.400000000001</v>
      </c>
    </row>
    <row r="525" spans="2:3" x14ac:dyDescent="0.3">
      <c r="B525" s="440">
        <v>45405</v>
      </c>
      <c r="C525" s="363">
        <v>22368</v>
      </c>
    </row>
    <row r="526" spans="2:3" x14ac:dyDescent="0.3">
      <c r="B526" s="440">
        <v>45404</v>
      </c>
      <c r="C526" s="363">
        <v>22336.400000000001</v>
      </c>
    </row>
    <row r="527" spans="2:3" x14ac:dyDescent="0.3">
      <c r="B527" s="440">
        <v>45401</v>
      </c>
      <c r="C527" s="363">
        <v>22147</v>
      </c>
    </row>
    <row r="528" spans="2:3" x14ac:dyDescent="0.3">
      <c r="B528" s="440">
        <v>45400</v>
      </c>
      <c r="C528" s="363">
        <v>21995.85</v>
      </c>
    </row>
    <row r="529" spans="2:3" x14ac:dyDescent="0.3">
      <c r="B529" s="440">
        <v>45398</v>
      </c>
      <c r="C529" s="363">
        <v>22147.9</v>
      </c>
    </row>
    <row r="530" spans="2:3" x14ac:dyDescent="0.3">
      <c r="B530" s="440">
        <v>45397</v>
      </c>
      <c r="C530" s="363">
        <v>22272.5</v>
      </c>
    </row>
    <row r="531" spans="2:3" x14ac:dyDescent="0.3">
      <c r="B531" s="440">
        <v>45394</v>
      </c>
      <c r="C531" s="363">
        <v>22519.4</v>
      </c>
    </row>
    <row r="532" spans="2:3" x14ac:dyDescent="0.3">
      <c r="B532" s="440">
        <v>45392</v>
      </c>
      <c r="C532" s="363">
        <v>22753.8</v>
      </c>
    </row>
    <row r="533" spans="2:3" x14ac:dyDescent="0.3">
      <c r="B533" s="440">
        <v>45391</v>
      </c>
      <c r="C533" s="363">
        <v>22642.75</v>
      </c>
    </row>
    <row r="534" spans="2:3" x14ac:dyDescent="0.3">
      <c r="B534" s="440">
        <v>45390</v>
      </c>
      <c r="C534" s="363">
        <v>22666.3</v>
      </c>
    </row>
    <row r="535" spans="2:3" x14ac:dyDescent="0.3">
      <c r="B535" s="440">
        <v>45387</v>
      </c>
      <c r="C535" s="363">
        <v>22513.7</v>
      </c>
    </row>
    <row r="536" spans="2:3" x14ac:dyDescent="0.3">
      <c r="B536" s="440">
        <v>45386</v>
      </c>
      <c r="C536" s="363">
        <v>22514.65</v>
      </c>
    </row>
    <row r="537" spans="2:3" x14ac:dyDescent="0.3">
      <c r="B537" s="440">
        <v>45385</v>
      </c>
      <c r="C537" s="363">
        <v>22434.65</v>
      </c>
    </row>
    <row r="538" spans="2:3" x14ac:dyDescent="0.3">
      <c r="B538" s="440">
        <v>45384</v>
      </c>
      <c r="C538" s="363">
        <v>22453.3</v>
      </c>
    </row>
    <row r="539" spans="2:3" x14ac:dyDescent="0.3">
      <c r="B539" s="440">
        <v>45383</v>
      </c>
      <c r="C539" s="363">
        <v>22462</v>
      </c>
    </row>
    <row r="540" spans="2:3" x14ac:dyDescent="0.3">
      <c r="B540" s="440">
        <v>45379</v>
      </c>
      <c r="C540" s="363">
        <v>22326.9</v>
      </c>
    </row>
    <row r="541" spans="2:3" x14ac:dyDescent="0.3">
      <c r="B541" s="440">
        <v>45378</v>
      </c>
      <c r="C541" s="363">
        <v>22123.65</v>
      </c>
    </row>
    <row r="542" spans="2:3" x14ac:dyDescent="0.3">
      <c r="B542" s="440">
        <v>45377</v>
      </c>
      <c r="C542" s="363">
        <v>22004.7</v>
      </c>
    </row>
    <row r="543" spans="2:3" x14ac:dyDescent="0.3">
      <c r="B543" s="440">
        <v>45373</v>
      </c>
      <c r="C543" s="363">
        <v>22096.75</v>
      </c>
    </row>
    <row r="544" spans="2:3" x14ac:dyDescent="0.3">
      <c r="B544" s="440">
        <v>45372</v>
      </c>
      <c r="C544" s="363">
        <v>22011.95</v>
      </c>
    </row>
    <row r="545" spans="2:3" x14ac:dyDescent="0.3">
      <c r="B545" s="440">
        <v>45371</v>
      </c>
      <c r="C545" s="363">
        <v>21839.1</v>
      </c>
    </row>
    <row r="546" spans="2:3" x14ac:dyDescent="0.3">
      <c r="B546" s="440">
        <v>45370</v>
      </c>
      <c r="C546" s="363">
        <v>21817.45</v>
      </c>
    </row>
    <row r="547" spans="2:3" x14ac:dyDescent="0.3">
      <c r="B547" s="440">
        <v>45369</v>
      </c>
      <c r="C547" s="363">
        <v>22055.7</v>
      </c>
    </row>
    <row r="548" spans="2:3" x14ac:dyDescent="0.3">
      <c r="B548" s="440">
        <v>45366</v>
      </c>
      <c r="C548" s="363">
        <v>22023.35</v>
      </c>
    </row>
    <row r="549" spans="2:3" x14ac:dyDescent="0.3">
      <c r="B549" s="440">
        <v>45365</v>
      </c>
      <c r="C549" s="363">
        <v>22146.65</v>
      </c>
    </row>
    <row r="550" spans="2:3" x14ac:dyDescent="0.3">
      <c r="B550" s="440">
        <v>45364</v>
      </c>
      <c r="C550" s="363">
        <v>21997.7</v>
      </c>
    </row>
    <row r="551" spans="2:3" x14ac:dyDescent="0.3">
      <c r="B551" s="440">
        <v>45363</v>
      </c>
      <c r="C551" s="363">
        <v>22335.7</v>
      </c>
    </row>
    <row r="552" spans="2:3" x14ac:dyDescent="0.3">
      <c r="B552" s="440">
        <v>45362</v>
      </c>
      <c r="C552" s="363">
        <v>22332.65</v>
      </c>
    </row>
    <row r="553" spans="2:3" x14ac:dyDescent="0.3">
      <c r="B553" s="440">
        <v>45358</v>
      </c>
      <c r="C553" s="363">
        <v>22493.55</v>
      </c>
    </row>
    <row r="554" spans="2:3" x14ac:dyDescent="0.3">
      <c r="B554" s="440">
        <v>45357</v>
      </c>
      <c r="C554" s="363">
        <v>22474.05</v>
      </c>
    </row>
    <row r="555" spans="2:3" x14ac:dyDescent="0.3">
      <c r="B555" s="440">
        <v>45356</v>
      </c>
      <c r="C555" s="363">
        <v>22356.3</v>
      </c>
    </row>
    <row r="556" spans="2:3" x14ac:dyDescent="0.3">
      <c r="B556" s="440">
        <v>45355</v>
      </c>
      <c r="C556" s="363">
        <v>22405.599999999999</v>
      </c>
    </row>
    <row r="557" spans="2:3" x14ac:dyDescent="0.3">
      <c r="B557" s="440">
        <v>45353</v>
      </c>
      <c r="C557" s="363">
        <v>22378.400000000001</v>
      </c>
    </row>
    <row r="558" spans="2:3" x14ac:dyDescent="0.3">
      <c r="B558" s="440">
        <v>45352</v>
      </c>
      <c r="C558" s="363">
        <v>22338.75</v>
      </c>
    </row>
    <row r="559" spans="2:3" x14ac:dyDescent="0.3">
      <c r="B559" s="440">
        <v>45351</v>
      </c>
      <c r="C559" s="363">
        <v>21982.799999999999</v>
      </c>
    </row>
    <row r="560" spans="2:3" x14ac:dyDescent="0.3">
      <c r="B560" s="440">
        <v>45350</v>
      </c>
      <c r="C560" s="363">
        <v>21951.15</v>
      </c>
    </row>
    <row r="561" spans="2:3" x14ac:dyDescent="0.3">
      <c r="B561" s="440">
        <v>45349</v>
      </c>
      <c r="C561" s="363">
        <v>22198.35</v>
      </c>
    </row>
    <row r="562" spans="2:3" x14ac:dyDescent="0.3">
      <c r="B562" s="440">
        <v>45348</v>
      </c>
      <c r="C562" s="363">
        <v>22122.05</v>
      </c>
    </row>
    <row r="563" spans="2:3" x14ac:dyDescent="0.3">
      <c r="B563" s="440">
        <v>45345</v>
      </c>
      <c r="C563" s="363">
        <v>22212.7</v>
      </c>
    </row>
    <row r="564" spans="2:3" x14ac:dyDescent="0.3">
      <c r="B564" s="440">
        <v>45344</v>
      </c>
      <c r="C564" s="363">
        <v>22217.45</v>
      </c>
    </row>
    <row r="565" spans="2:3" x14ac:dyDescent="0.3">
      <c r="B565" s="440">
        <v>45343</v>
      </c>
      <c r="C565" s="363">
        <v>22055.05</v>
      </c>
    </row>
    <row r="566" spans="2:3" x14ac:dyDescent="0.3">
      <c r="B566" s="440">
        <v>45342</v>
      </c>
      <c r="C566" s="363">
        <v>22196.95</v>
      </c>
    </row>
    <row r="567" spans="2:3" x14ac:dyDescent="0.3">
      <c r="B567" s="440">
        <v>45341</v>
      </c>
      <c r="C567" s="363">
        <v>22122.25</v>
      </c>
    </row>
    <row r="568" spans="2:3" x14ac:dyDescent="0.3">
      <c r="B568" s="440">
        <v>45338</v>
      </c>
      <c r="C568" s="363">
        <v>22040.7</v>
      </c>
    </row>
    <row r="569" spans="2:3" x14ac:dyDescent="0.3">
      <c r="B569" s="440">
        <v>45337</v>
      </c>
      <c r="C569" s="363">
        <v>21910.75</v>
      </c>
    </row>
    <row r="570" spans="2:3" x14ac:dyDescent="0.3">
      <c r="B570" s="440">
        <v>45336</v>
      </c>
      <c r="C570" s="363">
        <v>21840.05</v>
      </c>
    </row>
    <row r="571" spans="2:3" x14ac:dyDescent="0.3">
      <c r="B571" s="440">
        <v>45335</v>
      </c>
      <c r="C571" s="363">
        <v>21743.25</v>
      </c>
    </row>
    <row r="572" spans="2:3" x14ac:dyDescent="0.3">
      <c r="B572" s="440">
        <v>45334</v>
      </c>
      <c r="C572" s="363">
        <v>21616.05</v>
      </c>
    </row>
    <row r="573" spans="2:3" x14ac:dyDescent="0.3">
      <c r="B573" s="440">
        <v>45331</v>
      </c>
      <c r="C573" s="363">
        <v>21782.5</v>
      </c>
    </row>
    <row r="574" spans="2:3" x14ac:dyDescent="0.3">
      <c r="B574" s="440">
        <v>45330</v>
      </c>
      <c r="C574" s="363">
        <v>21717.95</v>
      </c>
    </row>
    <row r="575" spans="2:3" x14ac:dyDescent="0.3">
      <c r="B575" s="440">
        <v>45329</v>
      </c>
      <c r="C575" s="363">
        <v>21930.5</v>
      </c>
    </row>
    <row r="576" spans="2:3" x14ac:dyDescent="0.3">
      <c r="B576" s="440">
        <v>45328</v>
      </c>
      <c r="C576" s="363">
        <v>21929.4</v>
      </c>
    </row>
    <row r="577" spans="2:3" x14ac:dyDescent="0.3">
      <c r="B577" s="440">
        <v>45327</v>
      </c>
      <c r="C577" s="363">
        <v>21771.7</v>
      </c>
    </row>
    <row r="578" spans="2:3" x14ac:dyDescent="0.3">
      <c r="B578" s="440">
        <v>45324</v>
      </c>
      <c r="C578" s="363">
        <v>21853.8</v>
      </c>
    </row>
    <row r="579" spans="2:3" x14ac:dyDescent="0.3">
      <c r="B579" s="440">
        <v>45323</v>
      </c>
      <c r="C579" s="363">
        <v>21697.45</v>
      </c>
    </row>
    <row r="580" spans="2:3" x14ac:dyDescent="0.3">
      <c r="B580" s="440">
        <v>45322</v>
      </c>
      <c r="C580" s="363">
        <v>21725.7</v>
      </c>
    </row>
    <row r="581" spans="2:3" x14ac:dyDescent="0.3">
      <c r="B581" s="440">
        <v>45321</v>
      </c>
      <c r="C581" s="363">
        <v>21522.1</v>
      </c>
    </row>
    <row r="582" spans="2:3" x14ac:dyDescent="0.3">
      <c r="B582" s="440">
        <v>45320</v>
      </c>
      <c r="C582" s="363">
        <v>21737.599999999999</v>
      </c>
    </row>
    <row r="583" spans="2:3" x14ac:dyDescent="0.3">
      <c r="B583" s="440">
        <v>45316</v>
      </c>
      <c r="C583" s="363">
        <v>21352.6</v>
      </c>
    </row>
    <row r="584" spans="2:3" x14ac:dyDescent="0.3">
      <c r="B584" s="440">
        <v>45315</v>
      </c>
      <c r="C584" s="363">
        <v>21453.95</v>
      </c>
    </row>
    <row r="585" spans="2:3" x14ac:dyDescent="0.3">
      <c r="B585" s="440">
        <v>45314</v>
      </c>
      <c r="C585" s="363">
        <v>21238.799999999999</v>
      </c>
    </row>
    <row r="586" spans="2:3" x14ac:dyDescent="0.3">
      <c r="B586" s="440">
        <v>45311</v>
      </c>
      <c r="C586" s="363">
        <v>21571.8</v>
      </c>
    </row>
    <row r="587" spans="2:3" x14ac:dyDescent="0.3">
      <c r="B587" s="440">
        <v>45310</v>
      </c>
      <c r="C587" s="363">
        <v>21622.400000000001</v>
      </c>
    </row>
    <row r="588" spans="2:3" x14ac:dyDescent="0.3">
      <c r="B588" s="440">
        <v>45309</v>
      </c>
      <c r="C588" s="363">
        <v>21462.25</v>
      </c>
    </row>
    <row r="589" spans="2:3" x14ac:dyDescent="0.3">
      <c r="B589" s="440">
        <v>45308</v>
      </c>
      <c r="C589" s="363">
        <v>21571.95</v>
      </c>
    </row>
    <row r="590" spans="2:3" x14ac:dyDescent="0.3">
      <c r="B590" s="440">
        <v>45307</v>
      </c>
      <c r="C590" s="363">
        <v>22032.3</v>
      </c>
    </row>
    <row r="591" spans="2:3" x14ac:dyDescent="0.3">
      <c r="B591" s="440">
        <v>45306</v>
      </c>
      <c r="C591" s="363">
        <v>22097.45</v>
      </c>
    </row>
    <row r="592" spans="2:3" x14ac:dyDescent="0.3">
      <c r="B592" s="440">
        <v>45303</v>
      </c>
      <c r="C592" s="363">
        <v>21894.55</v>
      </c>
    </row>
    <row r="593" spans="2:3" x14ac:dyDescent="0.3">
      <c r="B593" s="440">
        <v>45302</v>
      </c>
      <c r="C593" s="363">
        <v>21647.200000000001</v>
      </c>
    </row>
    <row r="594" spans="2:3" x14ac:dyDescent="0.3">
      <c r="B594" s="440">
        <v>45301</v>
      </c>
      <c r="C594" s="363">
        <v>21618.7</v>
      </c>
    </row>
    <row r="595" spans="2:3" x14ac:dyDescent="0.3">
      <c r="B595" s="440">
        <v>45300</v>
      </c>
      <c r="C595" s="363">
        <v>21544.85</v>
      </c>
    </row>
    <row r="596" spans="2:3" x14ac:dyDescent="0.3">
      <c r="B596" s="440">
        <v>45299</v>
      </c>
      <c r="C596" s="363">
        <v>21513</v>
      </c>
    </row>
    <row r="597" spans="2:3" x14ac:dyDescent="0.3">
      <c r="B597" s="440">
        <v>45296</v>
      </c>
      <c r="C597" s="363">
        <v>21710.799999999999</v>
      </c>
    </row>
    <row r="598" spans="2:3" x14ac:dyDescent="0.3">
      <c r="B598" s="440">
        <v>45295</v>
      </c>
      <c r="C598" s="363">
        <v>21658.6</v>
      </c>
    </row>
    <row r="599" spans="2:3" x14ac:dyDescent="0.3">
      <c r="B599" s="440">
        <v>45294</v>
      </c>
      <c r="C599" s="363">
        <v>21517.35</v>
      </c>
    </row>
    <row r="600" spans="2:3" x14ac:dyDescent="0.3">
      <c r="B600" s="440">
        <v>45293</v>
      </c>
      <c r="C600" s="363">
        <v>21665.8</v>
      </c>
    </row>
    <row r="601" spans="2:3" x14ac:dyDescent="0.3">
      <c r="B601" s="440">
        <v>45292</v>
      </c>
      <c r="C601" s="363">
        <v>21741.9</v>
      </c>
    </row>
    <row r="602" spans="2:3" x14ac:dyDescent="0.3">
      <c r="B602" s="440">
        <v>45289</v>
      </c>
      <c r="C602" s="363">
        <v>21731.4</v>
      </c>
    </row>
    <row r="603" spans="2:3" x14ac:dyDescent="0.3">
      <c r="B603" s="440">
        <v>45288</v>
      </c>
      <c r="C603" s="363">
        <v>21778.7</v>
      </c>
    </row>
    <row r="604" spans="2:3" x14ac:dyDescent="0.3">
      <c r="B604" s="440">
        <v>45287</v>
      </c>
      <c r="C604" s="363">
        <v>21654.75</v>
      </c>
    </row>
    <row r="605" spans="2:3" x14ac:dyDescent="0.3">
      <c r="B605" s="440">
        <v>45286</v>
      </c>
      <c r="C605" s="363">
        <v>21441.35</v>
      </c>
    </row>
    <row r="606" spans="2:3" x14ac:dyDescent="0.3">
      <c r="B606" s="440">
        <v>45282</v>
      </c>
      <c r="C606" s="363">
        <v>21349.4</v>
      </c>
    </row>
    <row r="607" spans="2:3" x14ac:dyDescent="0.3">
      <c r="B607" s="440">
        <v>45281</v>
      </c>
      <c r="C607" s="363">
        <v>21255.05</v>
      </c>
    </row>
    <row r="608" spans="2:3" x14ac:dyDescent="0.3">
      <c r="B608" s="440">
        <v>45280</v>
      </c>
      <c r="C608" s="363">
        <v>21150.15</v>
      </c>
    </row>
    <row r="609" spans="2:3" x14ac:dyDescent="0.3">
      <c r="B609" s="440">
        <v>45279</v>
      </c>
      <c r="C609" s="363">
        <v>21453.1</v>
      </c>
    </row>
    <row r="610" spans="2:3" x14ac:dyDescent="0.3">
      <c r="B610" s="440">
        <v>45278</v>
      </c>
      <c r="C610" s="363">
        <v>21418.65</v>
      </c>
    </row>
    <row r="611" spans="2:3" x14ac:dyDescent="0.3">
      <c r="B611" s="440">
        <v>45275</v>
      </c>
      <c r="C611" s="363">
        <v>21456.65</v>
      </c>
    </row>
    <row r="612" spans="2:3" x14ac:dyDescent="0.3">
      <c r="B612" s="440">
        <v>45274</v>
      </c>
      <c r="C612" s="363">
        <v>21182.7</v>
      </c>
    </row>
    <row r="613" spans="2:3" x14ac:dyDescent="0.3">
      <c r="B613" s="440">
        <v>45273</v>
      </c>
      <c r="C613" s="363">
        <v>20926.349999999999</v>
      </c>
    </row>
    <row r="614" spans="2:3" x14ac:dyDescent="0.3">
      <c r="B614" s="440">
        <v>45272</v>
      </c>
      <c r="C614" s="363">
        <v>20906.400000000001</v>
      </c>
    </row>
    <row r="615" spans="2:3" x14ac:dyDescent="0.3">
      <c r="B615" s="440">
        <v>45271</v>
      </c>
      <c r="C615" s="363">
        <v>20997.1</v>
      </c>
    </row>
    <row r="616" spans="2:3" x14ac:dyDescent="0.3">
      <c r="B616" s="440">
        <v>45268</v>
      </c>
      <c r="C616" s="363">
        <v>20969.400000000001</v>
      </c>
    </row>
    <row r="617" spans="2:3" x14ac:dyDescent="0.3">
      <c r="B617" s="440">
        <v>45267</v>
      </c>
      <c r="C617" s="363">
        <v>20901.150000000001</v>
      </c>
    </row>
    <row r="618" spans="2:3" x14ac:dyDescent="0.3">
      <c r="B618" s="440">
        <v>45266</v>
      </c>
      <c r="C618" s="363">
        <v>20937.7</v>
      </c>
    </row>
    <row r="619" spans="2:3" x14ac:dyDescent="0.3">
      <c r="B619" s="440">
        <v>45265</v>
      </c>
      <c r="C619" s="363">
        <v>20855.099999999999</v>
      </c>
    </row>
    <row r="620" spans="2:3" x14ac:dyDescent="0.3">
      <c r="B620" s="440">
        <v>45264</v>
      </c>
      <c r="C620" s="363">
        <v>20686.8</v>
      </c>
    </row>
    <row r="621" spans="2:3" x14ac:dyDescent="0.3">
      <c r="B621" s="440">
        <v>45261</v>
      </c>
      <c r="C621" s="363">
        <v>20267.900000000001</v>
      </c>
    </row>
    <row r="622" spans="2:3" x14ac:dyDescent="0.3">
      <c r="B622" s="440">
        <v>45260</v>
      </c>
      <c r="C622" s="363">
        <v>20133.150000000001</v>
      </c>
    </row>
    <row r="623" spans="2:3" x14ac:dyDescent="0.3">
      <c r="B623" s="440">
        <v>45259</v>
      </c>
      <c r="C623" s="363">
        <v>20096.599999999999</v>
      </c>
    </row>
    <row r="624" spans="2:3" x14ac:dyDescent="0.3">
      <c r="B624" s="440">
        <v>45258</v>
      </c>
      <c r="C624" s="363">
        <v>19889.7</v>
      </c>
    </row>
    <row r="625" spans="2:3" x14ac:dyDescent="0.3">
      <c r="B625" s="440">
        <v>45254</v>
      </c>
      <c r="C625" s="363">
        <v>19794.7</v>
      </c>
    </row>
    <row r="626" spans="2:3" x14ac:dyDescent="0.3">
      <c r="B626" s="440">
        <v>45253</v>
      </c>
      <c r="C626" s="363">
        <v>19802</v>
      </c>
    </row>
    <row r="627" spans="2:3" x14ac:dyDescent="0.3">
      <c r="B627" s="440">
        <v>45252</v>
      </c>
      <c r="C627" s="363">
        <v>19811.849999999999</v>
      </c>
    </row>
    <row r="628" spans="2:3" x14ac:dyDescent="0.3">
      <c r="B628" s="440">
        <v>45251</v>
      </c>
      <c r="C628" s="363">
        <v>19783.400000000001</v>
      </c>
    </row>
    <row r="629" spans="2:3" x14ac:dyDescent="0.3">
      <c r="B629" s="440">
        <v>45250</v>
      </c>
      <c r="C629" s="363">
        <v>19694</v>
      </c>
    </row>
    <row r="630" spans="2:3" x14ac:dyDescent="0.3">
      <c r="B630" s="440">
        <v>45247</v>
      </c>
      <c r="C630" s="363">
        <v>19731.8</v>
      </c>
    </row>
    <row r="631" spans="2:3" x14ac:dyDescent="0.3">
      <c r="B631" s="440">
        <v>45246</v>
      </c>
      <c r="C631" s="363">
        <v>19765.2</v>
      </c>
    </row>
    <row r="632" spans="2:3" x14ac:dyDescent="0.3">
      <c r="B632" s="440">
        <v>45245</v>
      </c>
      <c r="C632" s="363">
        <v>19675.45</v>
      </c>
    </row>
    <row r="633" spans="2:3" x14ac:dyDescent="0.3">
      <c r="B633" s="440">
        <v>45243</v>
      </c>
      <c r="C633" s="363">
        <v>19443.55</v>
      </c>
    </row>
    <row r="634" spans="2:3" x14ac:dyDescent="0.3">
      <c r="B634" s="440">
        <v>45242</v>
      </c>
      <c r="C634" s="363">
        <v>19525.55</v>
      </c>
    </row>
    <row r="635" spans="2:3" x14ac:dyDescent="0.3">
      <c r="B635" s="440">
        <v>45240</v>
      </c>
      <c r="C635" s="363">
        <v>19425.349999999999</v>
      </c>
    </row>
    <row r="636" spans="2:3" x14ac:dyDescent="0.3">
      <c r="B636" s="440">
        <v>45239</v>
      </c>
      <c r="C636" s="363">
        <v>19395.3</v>
      </c>
    </row>
    <row r="637" spans="2:3" x14ac:dyDescent="0.3">
      <c r="B637" s="440">
        <v>45238</v>
      </c>
      <c r="C637" s="363">
        <v>19443.5</v>
      </c>
    </row>
    <row r="638" spans="2:3" x14ac:dyDescent="0.3">
      <c r="B638" s="440">
        <v>45237</v>
      </c>
      <c r="C638" s="363">
        <v>19406.7</v>
      </c>
    </row>
    <row r="639" spans="2:3" x14ac:dyDescent="0.3">
      <c r="B639" s="440">
        <v>45236</v>
      </c>
      <c r="C639" s="363">
        <v>19411.75</v>
      </c>
    </row>
    <row r="640" spans="2:3" x14ac:dyDescent="0.3">
      <c r="B640" s="440">
        <v>45233</v>
      </c>
      <c r="C640" s="363">
        <v>19230.599999999999</v>
      </c>
    </row>
    <row r="641" spans="2:3" x14ac:dyDescent="0.3">
      <c r="B641" s="440">
        <v>45232</v>
      </c>
      <c r="C641" s="363">
        <v>19133.25</v>
      </c>
    </row>
    <row r="642" spans="2:3" x14ac:dyDescent="0.3">
      <c r="B642" s="440">
        <v>45231</v>
      </c>
      <c r="C642" s="363">
        <v>18989.150000000001</v>
      </c>
    </row>
    <row r="643" spans="2:3" x14ac:dyDescent="0.3">
      <c r="B643" s="440">
        <v>45230</v>
      </c>
      <c r="C643" s="363">
        <v>19079.599999999999</v>
      </c>
    </row>
    <row r="644" spans="2:3" x14ac:dyDescent="0.3">
      <c r="B644" s="440">
        <v>45229</v>
      </c>
      <c r="C644" s="363">
        <v>19140.900000000001</v>
      </c>
    </row>
    <row r="645" spans="2:3" x14ac:dyDescent="0.3">
      <c r="B645" s="440">
        <v>45226</v>
      </c>
      <c r="C645" s="363">
        <v>19047.25</v>
      </c>
    </row>
    <row r="646" spans="2:3" x14ac:dyDescent="0.3">
      <c r="B646" s="440">
        <v>45225</v>
      </c>
      <c r="C646" s="363">
        <v>18857.25</v>
      </c>
    </row>
    <row r="647" spans="2:3" x14ac:dyDescent="0.3">
      <c r="B647" s="440">
        <v>45224</v>
      </c>
      <c r="C647" s="363">
        <v>19122.150000000001</v>
      </c>
    </row>
    <row r="648" spans="2:3" x14ac:dyDescent="0.3">
      <c r="B648" s="440">
        <v>45222</v>
      </c>
      <c r="C648" s="363">
        <v>19281.75</v>
      </c>
    </row>
    <row r="649" spans="2:3" x14ac:dyDescent="0.3">
      <c r="B649" s="440">
        <v>45219</v>
      </c>
      <c r="C649" s="363">
        <v>19542.650000000001</v>
      </c>
    </row>
    <row r="650" spans="2:3" x14ac:dyDescent="0.3">
      <c r="B650" s="440">
        <v>45218</v>
      </c>
      <c r="C650" s="363">
        <v>19624.7</v>
      </c>
    </row>
    <row r="651" spans="2:3" x14ac:dyDescent="0.3">
      <c r="B651" s="440">
        <v>45217</v>
      </c>
      <c r="C651" s="363">
        <v>19671.099999999999</v>
      </c>
    </row>
    <row r="652" spans="2:3" x14ac:dyDescent="0.3">
      <c r="B652" s="440">
        <v>45216</v>
      </c>
      <c r="C652" s="363">
        <v>19811.5</v>
      </c>
    </row>
    <row r="653" spans="2:3" x14ac:dyDescent="0.3">
      <c r="B653" s="440">
        <v>45215</v>
      </c>
      <c r="C653" s="363">
        <v>19731.75</v>
      </c>
    </row>
    <row r="654" spans="2:3" x14ac:dyDescent="0.3">
      <c r="B654" s="440">
        <v>45212</v>
      </c>
      <c r="C654" s="363">
        <v>19751.05</v>
      </c>
    </row>
    <row r="655" spans="2:3" x14ac:dyDescent="0.3">
      <c r="B655" s="440">
        <v>45211</v>
      </c>
      <c r="C655" s="363">
        <v>19794</v>
      </c>
    </row>
    <row r="656" spans="2:3" x14ac:dyDescent="0.3">
      <c r="B656" s="440">
        <v>45210</v>
      </c>
      <c r="C656" s="363">
        <v>19811.349999999999</v>
      </c>
    </row>
    <row r="657" spans="2:3" x14ac:dyDescent="0.3">
      <c r="B657" s="440">
        <v>45209</v>
      </c>
      <c r="C657" s="363">
        <v>19689.849999999999</v>
      </c>
    </row>
    <row r="658" spans="2:3" x14ac:dyDescent="0.3">
      <c r="B658" s="440">
        <v>45208</v>
      </c>
      <c r="C658" s="363">
        <v>19512.349999999999</v>
      </c>
    </row>
    <row r="659" spans="2:3" x14ac:dyDescent="0.3">
      <c r="B659" s="440">
        <v>45205</v>
      </c>
      <c r="C659" s="363">
        <v>19653.5</v>
      </c>
    </row>
    <row r="660" spans="2:3" x14ac:dyDescent="0.3">
      <c r="B660" s="440">
        <v>45204</v>
      </c>
      <c r="C660" s="363">
        <v>19545.75</v>
      </c>
    </row>
    <row r="661" spans="2:3" x14ac:dyDescent="0.3">
      <c r="B661" s="440">
        <v>45203</v>
      </c>
      <c r="C661" s="363">
        <v>19436.099999999999</v>
      </c>
    </row>
    <row r="662" spans="2:3" x14ac:dyDescent="0.3">
      <c r="B662" s="440">
        <v>45202</v>
      </c>
      <c r="C662" s="363">
        <v>19528.75</v>
      </c>
    </row>
    <row r="663" spans="2:3" x14ac:dyDescent="0.3">
      <c r="B663" s="440">
        <v>45198</v>
      </c>
      <c r="C663" s="363">
        <v>19638.3</v>
      </c>
    </row>
    <row r="664" spans="2:3" x14ac:dyDescent="0.3">
      <c r="B664" s="440">
        <v>45197</v>
      </c>
      <c r="C664" s="363">
        <v>19523.55</v>
      </c>
    </row>
    <row r="665" spans="2:3" x14ac:dyDescent="0.3">
      <c r="B665" s="440">
        <v>45196</v>
      </c>
      <c r="C665" s="363">
        <v>19716.45</v>
      </c>
    </row>
    <row r="666" spans="2:3" x14ac:dyDescent="0.3">
      <c r="B666" s="440">
        <v>45195</v>
      </c>
      <c r="C666" s="363">
        <v>19664.7</v>
      </c>
    </row>
    <row r="667" spans="2:3" x14ac:dyDescent="0.3">
      <c r="B667" s="440">
        <v>45194</v>
      </c>
      <c r="C667" s="363">
        <v>19674.55</v>
      </c>
    </row>
    <row r="668" spans="2:3" x14ac:dyDescent="0.3">
      <c r="B668" s="440">
        <v>45191</v>
      </c>
      <c r="C668" s="363">
        <v>19674.25</v>
      </c>
    </row>
    <row r="669" spans="2:3" x14ac:dyDescent="0.3">
      <c r="B669" s="440">
        <v>45190</v>
      </c>
      <c r="C669" s="363">
        <v>19742.349999999999</v>
      </c>
    </row>
    <row r="670" spans="2:3" x14ac:dyDescent="0.3">
      <c r="B670" s="440">
        <v>45189</v>
      </c>
      <c r="C670" s="363">
        <v>19901.400000000001</v>
      </c>
    </row>
    <row r="671" spans="2:3" x14ac:dyDescent="0.3">
      <c r="B671" s="440">
        <v>45187</v>
      </c>
      <c r="C671" s="363">
        <v>20133.3</v>
      </c>
    </row>
    <row r="672" spans="2:3" x14ac:dyDescent="0.3">
      <c r="B672" s="440">
        <v>45184</v>
      </c>
      <c r="C672" s="363">
        <v>20192.349999999999</v>
      </c>
    </row>
    <row r="673" spans="2:3" x14ac:dyDescent="0.3">
      <c r="B673" s="440">
        <v>45183</v>
      </c>
      <c r="C673" s="363">
        <v>20103.099999999999</v>
      </c>
    </row>
    <row r="674" spans="2:3" x14ac:dyDescent="0.3">
      <c r="B674" s="440">
        <v>45182</v>
      </c>
      <c r="C674" s="363">
        <v>20070</v>
      </c>
    </row>
    <row r="675" spans="2:3" x14ac:dyDescent="0.3">
      <c r="B675" s="440">
        <v>45181</v>
      </c>
      <c r="C675" s="363">
        <v>19993.2</v>
      </c>
    </row>
    <row r="676" spans="2:3" x14ac:dyDescent="0.3">
      <c r="B676" s="440">
        <v>45180</v>
      </c>
      <c r="C676" s="363">
        <v>19996.349999999999</v>
      </c>
    </row>
    <row r="677" spans="2:3" x14ac:dyDescent="0.3">
      <c r="B677" s="440">
        <v>45177</v>
      </c>
      <c r="C677" s="363">
        <v>19819.95</v>
      </c>
    </row>
    <row r="678" spans="2:3" x14ac:dyDescent="0.3">
      <c r="B678" s="440">
        <v>45176</v>
      </c>
      <c r="C678" s="363">
        <v>19727.05</v>
      </c>
    </row>
    <row r="679" spans="2:3" x14ac:dyDescent="0.3">
      <c r="B679" s="440">
        <v>45175</v>
      </c>
      <c r="C679" s="363">
        <v>19611.05</v>
      </c>
    </row>
    <row r="680" spans="2:3" x14ac:dyDescent="0.3">
      <c r="B680" s="440">
        <v>45174</v>
      </c>
      <c r="C680" s="363">
        <v>19574.900000000001</v>
      </c>
    </row>
    <row r="681" spans="2:3" x14ac:dyDescent="0.3">
      <c r="B681" s="440">
        <v>45173</v>
      </c>
      <c r="C681" s="363">
        <v>19528.8</v>
      </c>
    </row>
    <row r="682" spans="2:3" x14ac:dyDescent="0.3">
      <c r="B682" s="440">
        <v>45170</v>
      </c>
      <c r="C682" s="363">
        <v>19435.3</v>
      </c>
    </row>
    <row r="683" spans="2:3" x14ac:dyDescent="0.3">
      <c r="B683" s="440">
        <v>45169</v>
      </c>
      <c r="C683" s="363">
        <v>19253.8</v>
      </c>
    </row>
    <row r="684" spans="2:3" x14ac:dyDescent="0.3">
      <c r="B684" s="440">
        <v>45168</v>
      </c>
      <c r="C684" s="363">
        <v>19347.45</v>
      </c>
    </row>
    <row r="685" spans="2:3" x14ac:dyDescent="0.3">
      <c r="B685" s="440">
        <v>45167</v>
      </c>
      <c r="C685" s="363">
        <v>19342.650000000001</v>
      </c>
    </row>
    <row r="686" spans="2:3" x14ac:dyDescent="0.3">
      <c r="B686" s="440">
        <v>45166</v>
      </c>
      <c r="C686" s="363">
        <v>19306.05</v>
      </c>
    </row>
    <row r="687" spans="2:3" x14ac:dyDescent="0.3">
      <c r="B687" s="440">
        <v>45163</v>
      </c>
      <c r="C687" s="363">
        <v>19265.8</v>
      </c>
    </row>
    <row r="688" spans="2:3" x14ac:dyDescent="0.3">
      <c r="B688" s="440">
        <v>45162</v>
      </c>
      <c r="C688" s="363">
        <v>19386.7</v>
      </c>
    </row>
    <row r="689" spans="2:3" x14ac:dyDescent="0.3">
      <c r="B689" s="440">
        <v>45161</v>
      </c>
      <c r="C689" s="363">
        <v>19444</v>
      </c>
    </row>
    <row r="690" spans="2:3" x14ac:dyDescent="0.3">
      <c r="B690" s="440">
        <v>45160</v>
      </c>
      <c r="C690" s="363">
        <v>19396.45</v>
      </c>
    </row>
    <row r="691" spans="2:3" x14ac:dyDescent="0.3">
      <c r="B691" s="440">
        <v>45159</v>
      </c>
      <c r="C691" s="363">
        <v>19393.599999999999</v>
      </c>
    </row>
    <row r="692" spans="2:3" x14ac:dyDescent="0.3">
      <c r="B692" s="440">
        <v>45156</v>
      </c>
      <c r="C692" s="363">
        <v>19310.150000000001</v>
      </c>
    </row>
    <row r="693" spans="2:3" x14ac:dyDescent="0.3">
      <c r="B693" s="440">
        <v>45155</v>
      </c>
      <c r="C693" s="363">
        <v>19365.25</v>
      </c>
    </row>
    <row r="694" spans="2:3" x14ac:dyDescent="0.3">
      <c r="B694" s="440">
        <v>45154</v>
      </c>
      <c r="C694" s="363">
        <v>19465</v>
      </c>
    </row>
    <row r="695" spans="2:3" x14ac:dyDescent="0.3">
      <c r="B695" s="440">
        <v>45152</v>
      </c>
      <c r="C695" s="363">
        <v>19434.55</v>
      </c>
    </row>
    <row r="696" spans="2:3" x14ac:dyDescent="0.3">
      <c r="B696" s="440">
        <v>45149</v>
      </c>
      <c r="C696" s="363">
        <v>19428.3</v>
      </c>
    </row>
    <row r="697" spans="2:3" x14ac:dyDescent="0.3">
      <c r="B697" s="440">
        <v>45148</v>
      </c>
      <c r="C697" s="363">
        <v>19543.099999999999</v>
      </c>
    </row>
    <row r="698" spans="2:3" x14ac:dyDescent="0.3">
      <c r="B698" s="440">
        <v>45147</v>
      </c>
      <c r="C698" s="363">
        <v>19632.55</v>
      </c>
    </row>
    <row r="699" spans="2:3" x14ac:dyDescent="0.3">
      <c r="B699" s="440">
        <v>45146</v>
      </c>
      <c r="C699" s="363">
        <v>19570.849999999999</v>
      </c>
    </row>
    <row r="700" spans="2:3" x14ac:dyDescent="0.3">
      <c r="B700" s="440">
        <v>45145</v>
      </c>
      <c r="C700" s="363">
        <v>19597.3</v>
      </c>
    </row>
    <row r="701" spans="2:3" x14ac:dyDescent="0.3">
      <c r="B701" s="440">
        <v>45142</v>
      </c>
      <c r="C701" s="363">
        <v>19517</v>
      </c>
    </row>
    <row r="702" spans="2:3" x14ac:dyDescent="0.3">
      <c r="B702" s="440">
        <v>45141</v>
      </c>
      <c r="C702" s="363">
        <v>19381.650000000001</v>
      </c>
    </row>
    <row r="703" spans="2:3" x14ac:dyDescent="0.3">
      <c r="B703" s="440">
        <v>45140</v>
      </c>
      <c r="C703" s="363">
        <v>19526.55</v>
      </c>
    </row>
    <row r="704" spans="2:3" x14ac:dyDescent="0.3">
      <c r="B704" s="440">
        <v>45139</v>
      </c>
      <c r="C704" s="363">
        <v>19733.55</v>
      </c>
    </row>
    <row r="705" spans="2:3" x14ac:dyDescent="0.3">
      <c r="B705" s="440">
        <v>45138</v>
      </c>
      <c r="C705" s="363">
        <v>19753.8</v>
      </c>
    </row>
    <row r="706" spans="2:3" x14ac:dyDescent="0.3">
      <c r="B706" s="440">
        <v>45135</v>
      </c>
      <c r="C706" s="363">
        <v>19646.05</v>
      </c>
    </row>
    <row r="707" spans="2:3" x14ac:dyDescent="0.3">
      <c r="B707" s="440">
        <v>45134</v>
      </c>
      <c r="C707" s="363">
        <v>19659.900000000001</v>
      </c>
    </row>
    <row r="708" spans="2:3" x14ac:dyDescent="0.3">
      <c r="B708" s="440">
        <v>45133</v>
      </c>
      <c r="C708" s="363">
        <v>19778.3</v>
      </c>
    </row>
    <row r="709" spans="2:3" x14ac:dyDescent="0.3">
      <c r="B709" s="440">
        <v>45132</v>
      </c>
      <c r="C709" s="363">
        <v>19680.599999999999</v>
      </c>
    </row>
    <row r="710" spans="2:3" x14ac:dyDescent="0.3">
      <c r="B710" s="440">
        <v>45131</v>
      </c>
      <c r="C710" s="363">
        <v>19672.349999999999</v>
      </c>
    </row>
    <row r="711" spans="2:3" x14ac:dyDescent="0.3">
      <c r="B711" s="440">
        <v>45128</v>
      </c>
      <c r="C711" s="363">
        <v>19745</v>
      </c>
    </row>
    <row r="712" spans="2:3" x14ac:dyDescent="0.3">
      <c r="B712" s="440">
        <v>45127</v>
      </c>
      <c r="C712" s="363">
        <v>19979.150000000001</v>
      </c>
    </row>
    <row r="713" spans="2:3" x14ac:dyDescent="0.3">
      <c r="B713" s="440">
        <v>45126</v>
      </c>
      <c r="C713" s="363">
        <v>19833.150000000001</v>
      </c>
    </row>
    <row r="714" spans="2:3" x14ac:dyDescent="0.3">
      <c r="B714" s="440">
        <v>45125</v>
      </c>
      <c r="C714" s="363">
        <v>19749.25</v>
      </c>
    </row>
    <row r="715" spans="2:3" x14ac:dyDescent="0.3">
      <c r="B715" s="440">
        <v>45124</v>
      </c>
      <c r="C715" s="363">
        <v>19711.45</v>
      </c>
    </row>
    <row r="716" spans="2:3" x14ac:dyDescent="0.3">
      <c r="B716" s="440">
        <v>45121</v>
      </c>
      <c r="C716" s="363">
        <v>19564.5</v>
      </c>
    </row>
    <row r="717" spans="2:3" x14ac:dyDescent="0.3">
      <c r="B717" s="440">
        <v>45120</v>
      </c>
      <c r="C717" s="363">
        <v>19413.75</v>
      </c>
    </row>
    <row r="718" spans="2:3" x14ac:dyDescent="0.3">
      <c r="B718" s="440">
        <v>45119</v>
      </c>
      <c r="C718" s="363">
        <v>19384.3</v>
      </c>
    </row>
    <row r="719" spans="2:3" x14ac:dyDescent="0.3">
      <c r="B719" s="440">
        <v>45118</v>
      </c>
      <c r="C719" s="363">
        <v>19439.400000000001</v>
      </c>
    </row>
    <row r="720" spans="2:3" x14ac:dyDescent="0.3">
      <c r="B720" s="440">
        <v>45117</v>
      </c>
      <c r="C720" s="363">
        <v>19355.900000000001</v>
      </c>
    </row>
    <row r="721" spans="2:3" x14ac:dyDescent="0.3">
      <c r="B721" s="440">
        <v>45114</v>
      </c>
      <c r="C721" s="363">
        <v>19331.8</v>
      </c>
    </row>
    <row r="722" spans="2:3" x14ac:dyDescent="0.3">
      <c r="B722" s="440">
        <v>45113</v>
      </c>
      <c r="C722" s="363">
        <v>19497.3</v>
      </c>
    </row>
    <row r="723" spans="2:3" x14ac:dyDescent="0.3">
      <c r="B723" s="440">
        <v>45112</v>
      </c>
      <c r="C723" s="363">
        <v>19398.5</v>
      </c>
    </row>
    <row r="724" spans="2:3" x14ac:dyDescent="0.3">
      <c r="B724" s="440">
        <v>45111</v>
      </c>
      <c r="C724" s="363">
        <v>19389</v>
      </c>
    </row>
    <row r="725" spans="2:3" x14ac:dyDescent="0.3">
      <c r="B725" s="440">
        <v>45110</v>
      </c>
      <c r="C725" s="363">
        <v>19322.55</v>
      </c>
    </row>
    <row r="726" spans="2:3" x14ac:dyDescent="0.3">
      <c r="B726" s="440">
        <v>45107</v>
      </c>
      <c r="C726" s="363">
        <v>19189.05</v>
      </c>
    </row>
    <row r="727" spans="2:3" x14ac:dyDescent="0.3">
      <c r="B727" s="440">
        <v>45105</v>
      </c>
      <c r="C727" s="363">
        <v>18972.099999999999</v>
      </c>
    </row>
    <row r="728" spans="2:3" x14ac:dyDescent="0.3">
      <c r="B728" s="440">
        <v>45104</v>
      </c>
      <c r="C728" s="363">
        <v>18817.400000000001</v>
      </c>
    </row>
    <row r="729" spans="2:3" x14ac:dyDescent="0.3">
      <c r="B729" s="440">
        <v>45103</v>
      </c>
      <c r="C729" s="363">
        <v>18691.2</v>
      </c>
    </row>
    <row r="730" spans="2:3" x14ac:dyDescent="0.3">
      <c r="B730" s="440">
        <v>45100</v>
      </c>
      <c r="C730" s="363">
        <v>18665.5</v>
      </c>
    </row>
    <row r="731" spans="2:3" x14ac:dyDescent="0.3">
      <c r="B731" s="440">
        <v>45099</v>
      </c>
      <c r="C731" s="363">
        <v>18771.25</v>
      </c>
    </row>
    <row r="732" spans="2:3" x14ac:dyDescent="0.3">
      <c r="B732" s="440">
        <v>45098</v>
      </c>
      <c r="C732" s="363">
        <v>18856.849999999999</v>
      </c>
    </row>
    <row r="733" spans="2:3" x14ac:dyDescent="0.3">
      <c r="B733" s="440">
        <v>45097</v>
      </c>
      <c r="C733" s="363">
        <v>18816.7</v>
      </c>
    </row>
    <row r="734" spans="2:3" x14ac:dyDescent="0.3">
      <c r="B734" s="440">
        <v>45096</v>
      </c>
      <c r="C734" s="363">
        <v>18755.45</v>
      </c>
    </row>
    <row r="735" spans="2:3" x14ac:dyDescent="0.3">
      <c r="B735" s="440">
        <v>45093</v>
      </c>
      <c r="C735" s="363">
        <v>18826</v>
      </c>
    </row>
    <row r="736" spans="2:3" x14ac:dyDescent="0.3">
      <c r="B736" s="440">
        <v>45092</v>
      </c>
      <c r="C736" s="363">
        <v>18688.099999999999</v>
      </c>
    </row>
    <row r="737" spans="2:3" x14ac:dyDescent="0.3">
      <c r="B737" s="440">
        <v>45091</v>
      </c>
      <c r="C737" s="363">
        <v>18755.900000000001</v>
      </c>
    </row>
    <row r="738" spans="2:3" x14ac:dyDescent="0.3">
      <c r="B738" s="440">
        <v>45090</v>
      </c>
      <c r="C738" s="363">
        <v>18716.150000000001</v>
      </c>
    </row>
    <row r="739" spans="2:3" x14ac:dyDescent="0.3">
      <c r="B739" s="440">
        <v>45089</v>
      </c>
      <c r="C739" s="363">
        <v>18601.5</v>
      </c>
    </row>
    <row r="740" spans="2:3" x14ac:dyDescent="0.3">
      <c r="B740" s="440">
        <v>45086</v>
      </c>
      <c r="C740" s="363">
        <v>18563.400000000001</v>
      </c>
    </row>
    <row r="741" spans="2:3" x14ac:dyDescent="0.3">
      <c r="B741" s="440">
        <v>45085</v>
      </c>
      <c r="C741" s="363">
        <v>18634.55</v>
      </c>
    </row>
    <row r="742" spans="2:3" x14ac:dyDescent="0.3">
      <c r="B742" s="440">
        <v>45084</v>
      </c>
      <c r="C742" s="363">
        <v>18726.400000000001</v>
      </c>
    </row>
    <row r="743" spans="2:3" x14ac:dyDescent="0.3">
      <c r="B743" s="440">
        <v>45083</v>
      </c>
      <c r="C743" s="363">
        <v>18599</v>
      </c>
    </row>
    <row r="744" spans="2:3" x14ac:dyDescent="0.3">
      <c r="B744" s="440">
        <v>45082</v>
      </c>
      <c r="C744" s="363">
        <v>18593.849999999999</v>
      </c>
    </row>
    <row r="745" spans="2:3" x14ac:dyDescent="0.3">
      <c r="B745" s="440">
        <v>45079</v>
      </c>
      <c r="C745" s="363">
        <v>18534.099999999999</v>
      </c>
    </row>
    <row r="746" spans="2:3" x14ac:dyDescent="0.3">
      <c r="B746" s="440">
        <v>45078</v>
      </c>
      <c r="C746" s="363">
        <v>18487.75</v>
      </c>
    </row>
    <row r="747" spans="2:3" x14ac:dyDescent="0.3">
      <c r="B747" s="440">
        <v>45077</v>
      </c>
      <c r="C747" s="363">
        <v>18534.400000000001</v>
      </c>
    </row>
    <row r="748" spans="2:3" x14ac:dyDescent="0.3">
      <c r="B748" s="440">
        <v>45076</v>
      </c>
      <c r="C748" s="363">
        <v>18633.849999999999</v>
      </c>
    </row>
    <row r="749" spans="2:3" x14ac:dyDescent="0.3">
      <c r="B749" s="440">
        <v>45075</v>
      </c>
      <c r="C749" s="363">
        <v>18598.650000000001</v>
      </c>
    </row>
    <row r="750" spans="2:3" x14ac:dyDescent="0.3">
      <c r="B750" s="440">
        <v>45072</v>
      </c>
      <c r="C750" s="363">
        <v>18499.349999999999</v>
      </c>
    </row>
    <row r="751" spans="2:3" x14ac:dyDescent="0.3">
      <c r="B751" s="440">
        <v>45071</v>
      </c>
      <c r="C751" s="363">
        <v>18321.150000000001</v>
      </c>
    </row>
    <row r="752" spans="2:3" x14ac:dyDescent="0.3">
      <c r="B752" s="440">
        <v>45070</v>
      </c>
      <c r="C752" s="363">
        <v>18285.400000000001</v>
      </c>
    </row>
    <row r="753" spans="2:3" x14ac:dyDescent="0.3">
      <c r="B753" s="440">
        <v>45069</v>
      </c>
      <c r="C753" s="363">
        <v>18348</v>
      </c>
    </row>
    <row r="754" spans="2:3" x14ac:dyDescent="0.3">
      <c r="B754" s="440">
        <v>45068</v>
      </c>
      <c r="C754" s="363">
        <v>18314.400000000001</v>
      </c>
    </row>
    <row r="755" spans="2:3" x14ac:dyDescent="0.3">
      <c r="B755" s="440">
        <v>45065</v>
      </c>
      <c r="C755" s="363">
        <v>18203.400000000001</v>
      </c>
    </row>
    <row r="756" spans="2:3" x14ac:dyDescent="0.3">
      <c r="B756" s="440">
        <v>45064</v>
      </c>
      <c r="C756" s="363">
        <v>18129.95</v>
      </c>
    </row>
    <row r="757" spans="2:3" x14ac:dyDescent="0.3">
      <c r="B757" s="440">
        <v>45063</v>
      </c>
      <c r="C757" s="363">
        <v>18181.75</v>
      </c>
    </row>
    <row r="758" spans="2:3" x14ac:dyDescent="0.3">
      <c r="B758" s="440">
        <v>45062</v>
      </c>
      <c r="C758" s="363">
        <v>18286.5</v>
      </c>
    </row>
    <row r="759" spans="2:3" x14ac:dyDescent="0.3">
      <c r="B759" s="440">
        <v>45061</v>
      </c>
      <c r="C759" s="363">
        <v>18398.849999999999</v>
      </c>
    </row>
    <row r="760" spans="2:3" x14ac:dyDescent="0.3">
      <c r="B760" s="440">
        <v>45058</v>
      </c>
      <c r="C760" s="363">
        <v>18314.8</v>
      </c>
    </row>
    <row r="761" spans="2:3" x14ac:dyDescent="0.3">
      <c r="B761" s="440">
        <v>45057</v>
      </c>
      <c r="C761" s="363">
        <v>18297</v>
      </c>
    </row>
    <row r="762" spans="2:3" x14ac:dyDescent="0.3">
      <c r="B762" s="440">
        <v>45056</v>
      </c>
      <c r="C762" s="363">
        <v>18315.099999999999</v>
      </c>
    </row>
    <row r="763" spans="2:3" x14ac:dyDescent="0.3">
      <c r="B763" s="440">
        <v>45055</v>
      </c>
      <c r="C763" s="363">
        <v>18265.95</v>
      </c>
    </row>
    <row r="764" spans="2:3" x14ac:dyDescent="0.3">
      <c r="B764" s="440">
        <v>45054</v>
      </c>
      <c r="C764" s="363">
        <v>18264.400000000001</v>
      </c>
    </row>
    <row r="765" spans="2:3" x14ac:dyDescent="0.3">
      <c r="B765" s="440">
        <v>45051</v>
      </c>
      <c r="C765" s="363">
        <v>18069</v>
      </c>
    </row>
    <row r="766" spans="2:3" x14ac:dyDescent="0.3">
      <c r="B766" s="440">
        <v>45050</v>
      </c>
      <c r="C766" s="363">
        <v>18255.8</v>
      </c>
    </row>
    <row r="767" spans="2:3" x14ac:dyDescent="0.3">
      <c r="B767" s="440">
        <v>45049</v>
      </c>
      <c r="C767" s="363">
        <v>18089.849999999999</v>
      </c>
    </row>
    <row r="768" spans="2:3" x14ac:dyDescent="0.3">
      <c r="B768" s="440">
        <v>45048</v>
      </c>
      <c r="C768" s="363">
        <v>18147.650000000001</v>
      </c>
    </row>
    <row r="769" spans="2:3" x14ac:dyDescent="0.3">
      <c r="B769" s="440">
        <v>45044</v>
      </c>
      <c r="C769" s="363">
        <v>18065</v>
      </c>
    </row>
    <row r="770" spans="2:3" x14ac:dyDescent="0.3">
      <c r="B770" s="440">
        <v>45043</v>
      </c>
      <c r="C770" s="363">
        <v>17915.05</v>
      </c>
    </row>
    <row r="771" spans="2:3" x14ac:dyDescent="0.3">
      <c r="B771" s="440">
        <v>45042</v>
      </c>
      <c r="C771" s="363">
        <v>17813.599999999999</v>
      </c>
    </row>
    <row r="772" spans="2:3" x14ac:dyDescent="0.3">
      <c r="B772" s="440">
        <v>45041</v>
      </c>
      <c r="C772" s="363">
        <v>17769.25</v>
      </c>
    </row>
    <row r="773" spans="2:3" x14ac:dyDescent="0.3">
      <c r="B773" s="440">
        <v>45040</v>
      </c>
      <c r="C773" s="363">
        <v>17743.400000000001</v>
      </c>
    </row>
    <row r="774" spans="2:3" x14ac:dyDescent="0.3">
      <c r="B774" s="440">
        <v>45037</v>
      </c>
      <c r="C774" s="363">
        <v>17624.05</v>
      </c>
    </row>
    <row r="775" spans="2:3" x14ac:dyDescent="0.3">
      <c r="B775" s="440">
        <v>45036</v>
      </c>
      <c r="C775" s="363">
        <v>17624.45</v>
      </c>
    </row>
    <row r="776" spans="2:3" x14ac:dyDescent="0.3">
      <c r="B776" s="440">
        <v>45035</v>
      </c>
      <c r="C776" s="363">
        <v>17618.75</v>
      </c>
    </row>
    <row r="777" spans="2:3" x14ac:dyDescent="0.3">
      <c r="B777" s="440">
        <v>45034</v>
      </c>
      <c r="C777" s="363">
        <v>17660.150000000001</v>
      </c>
    </row>
    <row r="778" spans="2:3" x14ac:dyDescent="0.3">
      <c r="B778" s="440">
        <v>45033</v>
      </c>
      <c r="C778" s="363">
        <v>17706.849999999999</v>
      </c>
    </row>
    <row r="779" spans="2:3" x14ac:dyDescent="0.3">
      <c r="B779" s="440">
        <v>45029</v>
      </c>
      <c r="C779" s="363">
        <v>17828</v>
      </c>
    </row>
    <row r="780" spans="2:3" x14ac:dyDescent="0.3">
      <c r="B780" s="440">
        <v>45028</v>
      </c>
      <c r="C780" s="363">
        <v>17812.400000000001</v>
      </c>
    </row>
    <row r="781" spans="2:3" x14ac:dyDescent="0.3">
      <c r="B781" s="440">
        <v>45027</v>
      </c>
      <c r="C781" s="363">
        <v>17722.3</v>
      </c>
    </row>
    <row r="782" spans="2:3" x14ac:dyDescent="0.3">
      <c r="B782" s="440">
        <v>45026</v>
      </c>
      <c r="C782" s="363">
        <v>17624.05</v>
      </c>
    </row>
    <row r="783" spans="2:3" x14ac:dyDescent="0.3">
      <c r="B783" s="440">
        <v>45022</v>
      </c>
      <c r="C783" s="363">
        <v>17599.150000000001</v>
      </c>
    </row>
    <row r="784" spans="2:3" x14ac:dyDescent="0.3">
      <c r="B784" s="440">
        <v>45021</v>
      </c>
      <c r="C784" s="363">
        <v>17557.05</v>
      </c>
    </row>
    <row r="785" spans="2:3" x14ac:dyDescent="0.3">
      <c r="B785" s="440">
        <v>45019</v>
      </c>
      <c r="C785" s="363">
        <v>17398.05</v>
      </c>
    </row>
    <row r="786" spans="2:3" x14ac:dyDescent="0.3">
      <c r="B786" s="440">
        <v>45016</v>
      </c>
      <c r="C786" s="363">
        <v>17359.75</v>
      </c>
    </row>
    <row r="787" spans="2:3" x14ac:dyDescent="0.3">
      <c r="B787" s="440">
        <v>45014</v>
      </c>
      <c r="C787" s="363">
        <v>17080.7</v>
      </c>
    </row>
    <row r="788" spans="2:3" x14ac:dyDescent="0.3">
      <c r="B788" s="440">
        <v>45013</v>
      </c>
      <c r="C788" s="363">
        <v>16951.7</v>
      </c>
    </row>
    <row r="789" spans="2:3" x14ac:dyDescent="0.3">
      <c r="B789" s="440">
        <v>45012</v>
      </c>
      <c r="C789" s="363">
        <v>16985.7</v>
      </c>
    </row>
    <row r="790" spans="2:3" x14ac:dyDescent="0.3">
      <c r="B790" s="440">
        <v>45009</v>
      </c>
      <c r="C790" s="363">
        <v>16945.05</v>
      </c>
    </row>
    <row r="791" spans="2:3" x14ac:dyDescent="0.3">
      <c r="B791" s="440">
        <v>45008</v>
      </c>
      <c r="C791" s="363">
        <v>17076.900000000001</v>
      </c>
    </row>
    <row r="792" spans="2:3" x14ac:dyDescent="0.3">
      <c r="B792" s="440">
        <v>45007</v>
      </c>
      <c r="C792" s="363">
        <v>17151.900000000001</v>
      </c>
    </row>
    <row r="793" spans="2:3" x14ac:dyDescent="0.3">
      <c r="B793" s="440">
        <v>45006</v>
      </c>
      <c r="C793" s="363">
        <v>17107.5</v>
      </c>
    </row>
    <row r="794" spans="2:3" x14ac:dyDescent="0.3">
      <c r="B794" s="440">
        <v>45005</v>
      </c>
      <c r="C794" s="363">
        <v>16988.400000000001</v>
      </c>
    </row>
    <row r="795" spans="2:3" x14ac:dyDescent="0.3">
      <c r="B795" s="440">
        <v>45002</v>
      </c>
      <c r="C795" s="363">
        <v>17100.05</v>
      </c>
    </row>
    <row r="796" spans="2:3" x14ac:dyDescent="0.3">
      <c r="B796" s="440">
        <v>45001</v>
      </c>
      <c r="C796" s="363">
        <v>16985.599999999999</v>
      </c>
    </row>
    <row r="797" spans="2:3" x14ac:dyDescent="0.3">
      <c r="B797" s="440">
        <v>45000</v>
      </c>
      <c r="C797" s="363">
        <v>16972.150000000001</v>
      </c>
    </row>
    <row r="798" spans="2:3" x14ac:dyDescent="0.3">
      <c r="B798" s="440">
        <v>44999</v>
      </c>
      <c r="C798" s="363">
        <v>17043.3</v>
      </c>
    </row>
    <row r="799" spans="2:3" x14ac:dyDescent="0.3">
      <c r="B799" s="440">
        <v>44998</v>
      </c>
      <c r="C799" s="363">
        <v>17154.3</v>
      </c>
    </row>
    <row r="800" spans="2:3" x14ac:dyDescent="0.3">
      <c r="B800" s="440">
        <v>44995</v>
      </c>
      <c r="C800" s="363">
        <v>17412.900000000001</v>
      </c>
    </row>
    <row r="801" spans="2:3" x14ac:dyDescent="0.3">
      <c r="B801" s="440">
        <v>44994</v>
      </c>
      <c r="C801" s="363">
        <v>17589.599999999999</v>
      </c>
    </row>
    <row r="802" spans="2:3" x14ac:dyDescent="0.3">
      <c r="B802" s="440">
        <v>44993</v>
      </c>
      <c r="C802" s="363">
        <v>17754.400000000001</v>
      </c>
    </row>
    <row r="803" spans="2:3" x14ac:dyDescent="0.3">
      <c r="B803" s="440">
        <v>44991</v>
      </c>
      <c r="C803" s="363">
        <v>17711.45</v>
      </c>
    </row>
    <row r="804" spans="2:3" x14ac:dyDescent="0.3">
      <c r="B804" s="440">
        <v>44988</v>
      </c>
      <c r="C804" s="363">
        <v>17594.349999999999</v>
      </c>
    </row>
    <row r="805" spans="2:3" x14ac:dyDescent="0.3">
      <c r="B805" s="440">
        <v>44987</v>
      </c>
      <c r="C805" s="363">
        <v>17321.900000000001</v>
      </c>
    </row>
    <row r="806" spans="2:3" x14ac:dyDescent="0.3">
      <c r="B806" s="440">
        <v>44986</v>
      </c>
      <c r="C806" s="363">
        <v>17450.900000000001</v>
      </c>
    </row>
    <row r="807" spans="2:3" x14ac:dyDescent="0.3">
      <c r="B807" s="440">
        <v>44985</v>
      </c>
      <c r="C807" s="363">
        <v>17303.95</v>
      </c>
    </row>
    <row r="808" spans="2:3" x14ac:dyDescent="0.3">
      <c r="B808" s="440">
        <v>44984</v>
      </c>
      <c r="C808" s="363">
        <v>17392.7</v>
      </c>
    </row>
    <row r="809" spans="2:3" x14ac:dyDescent="0.3">
      <c r="B809" s="440">
        <v>44981</v>
      </c>
      <c r="C809" s="363">
        <v>17465.8</v>
      </c>
    </row>
    <row r="810" spans="2:3" x14ac:dyDescent="0.3">
      <c r="B810" s="440">
        <v>44980</v>
      </c>
      <c r="C810" s="363">
        <v>17511.25</v>
      </c>
    </row>
    <row r="811" spans="2:3" x14ac:dyDescent="0.3">
      <c r="B811" s="440">
        <v>44979</v>
      </c>
      <c r="C811" s="363">
        <v>17554.3</v>
      </c>
    </row>
    <row r="812" spans="2:3" x14ac:dyDescent="0.3">
      <c r="B812" s="440">
        <v>44978</v>
      </c>
      <c r="C812" s="363">
        <v>17826.7</v>
      </c>
    </row>
    <row r="813" spans="2:3" x14ac:dyDescent="0.3">
      <c r="B813" s="440">
        <v>44977</v>
      </c>
      <c r="C813" s="363">
        <v>17844.599999999999</v>
      </c>
    </row>
    <row r="814" spans="2:3" x14ac:dyDescent="0.3">
      <c r="B814" s="440">
        <v>44974</v>
      </c>
      <c r="C814" s="363">
        <v>17944.2</v>
      </c>
    </row>
    <row r="815" spans="2:3" x14ac:dyDescent="0.3">
      <c r="B815" s="440">
        <v>44973</v>
      </c>
      <c r="C815" s="363">
        <v>18035.849999999999</v>
      </c>
    </row>
    <row r="816" spans="2:3" x14ac:dyDescent="0.3">
      <c r="B816" s="440">
        <v>44972</v>
      </c>
      <c r="C816" s="363">
        <v>18015.849999999999</v>
      </c>
    </row>
    <row r="817" spans="2:3" x14ac:dyDescent="0.3">
      <c r="B817" s="440">
        <v>44971</v>
      </c>
      <c r="C817" s="363">
        <v>17929.849999999999</v>
      </c>
    </row>
    <row r="818" spans="2:3" x14ac:dyDescent="0.3">
      <c r="B818" s="440">
        <v>44970</v>
      </c>
      <c r="C818" s="363">
        <v>17770.900000000001</v>
      </c>
    </row>
    <row r="819" spans="2:3" x14ac:dyDescent="0.3">
      <c r="B819" s="440">
        <v>44967</v>
      </c>
      <c r="C819" s="363">
        <v>17856.5</v>
      </c>
    </row>
    <row r="820" spans="2:3" x14ac:dyDescent="0.3">
      <c r="B820" s="440">
        <v>44966</v>
      </c>
      <c r="C820" s="363">
        <v>17893.45</v>
      </c>
    </row>
    <row r="821" spans="2:3" x14ac:dyDescent="0.3">
      <c r="B821" s="440">
        <v>44965</v>
      </c>
      <c r="C821" s="363">
        <v>17871.7</v>
      </c>
    </row>
    <row r="822" spans="2:3" x14ac:dyDescent="0.3">
      <c r="B822" s="440">
        <v>44964</v>
      </c>
      <c r="C822" s="363">
        <v>17721.5</v>
      </c>
    </row>
    <row r="823" spans="2:3" x14ac:dyDescent="0.3">
      <c r="B823" s="440">
        <v>44963</v>
      </c>
      <c r="C823" s="363">
        <v>17764.599999999999</v>
      </c>
    </row>
    <row r="824" spans="2:3" x14ac:dyDescent="0.3">
      <c r="B824" s="440">
        <v>44960</v>
      </c>
      <c r="C824" s="363">
        <v>17854.05</v>
      </c>
    </row>
    <row r="825" spans="2:3" x14ac:dyDescent="0.3">
      <c r="B825" s="440">
        <v>44959</v>
      </c>
      <c r="C825" s="363">
        <v>17610.400000000001</v>
      </c>
    </row>
    <row r="826" spans="2:3" x14ac:dyDescent="0.3">
      <c r="B826" s="440">
        <v>44958</v>
      </c>
      <c r="C826" s="363">
        <v>17616.3</v>
      </c>
    </row>
    <row r="827" spans="2:3" x14ac:dyDescent="0.3">
      <c r="B827" s="440">
        <v>44957</v>
      </c>
      <c r="C827" s="363">
        <v>17662.150000000001</v>
      </c>
    </row>
    <row r="828" spans="2:3" x14ac:dyDescent="0.3">
      <c r="B828" s="440">
        <v>44956</v>
      </c>
      <c r="C828" s="363">
        <v>17648.95</v>
      </c>
    </row>
    <row r="829" spans="2:3" x14ac:dyDescent="0.3">
      <c r="B829" s="440">
        <v>44953</v>
      </c>
      <c r="C829" s="363">
        <v>17604.349999999999</v>
      </c>
    </row>
    <row r="830" spans="2:3" x14ac:dyDescent="0.3">
      <c r="B830" s="440">
        <v>44951</v>
      </c>
      <c r="C830" s="363">
        <v>17891.95</v>
      </c>
    </row>
    <row r="831" spans="2:3" x14ac:dyDescent="0.3">
      <c r="B831" s="440">
        <v>44950</v>
      </c>
      <c r="C831" s="363">
        <v>18118.3</v>
      </c>
    </row>
    <row r="832" spans="2:3" x14ac:dyDescent="0.3">
      <c r="B832" s="440">
        <v>44949</v>
      </c>
      <c r="C832" s="363">
        <v>18118.55</v>
      </c>
    </row>
    <row r="833" spans="2:3" x14ac:dyDescent="0.3">
      <c r="B833" s="440">
        <v>44946</v>
      </c>
      <c r="C833" s="363">
        <v>18027.650000000001</v>
      </c>
    </row>
    <row r="834" spans="2:3" x14ac:dyDescent="0.3">
      <c r="B834" s="440">
        <v>44945</v>
      </c>
      <c r="C834" s="363">
        <v>18107.849999999999</v>
      </c>
    </row>
    <row r="835" spans="2:3" x14ac:dyDescent="0.3">
      <c r="B835" s="440">
        <v>44944</v>
      </c>
      <c r="C835" s="363">
        <v>18165.349999999999</v>
      </c>
    </row>
    <row r="836" spans="2:3" x14ac:dyDescent="0.3">
      <c r="B836" s="440">
        <v>44943</v>
      </c>
      <c r="C836" s="363">
        <v>18053.3</v>
      </c>
    </row>
    <row r="837" spans="2:3" x14ac:dyDescent="0.3">
      <c r="B837" s="440">
        <v>44942</v>
      </c>
      <c r="C837" s="363">
        <v>17894.849999999999</v>
      </c>
    </row>
    <row r="838" spans="2:3" x14ac:dyDescent="0.3">
      <c r="B838" s="440">
        <v>44939</v>
      </c>
      <c r="C838" s="363">
        <v>17956.599999999999</v>
      </c>
    </row>
    <row r="839" spans="2:3" x14ac:dyDescent="0.3">
      <c r="B839" s="440">
        <v>44938</v>
      </c>
      <c r="C839" s="363">
        <v>17858.2</v>
      </c>
    </row>
    <row r="840" spans="2:3" x14ac:dyDescent="0.3">
      <c r="B840" s="440">
        <v>44937</v>
      </c>
      <c r="C840" s="363">
        <v>17895.7</v>
      </c>
    </row>
    <row r="841" spans="2:3" x14ac:dyDescent="0.3">
      <c r="B841" s="440">
        <v>44936</v>
      </c>
      <c r="C841" s="363">
        <v>17914.150000000001</v>
      </c>
    </row>
    <row r="842" spans="2:3" x14ac:dyDescent="0.3">
      <c r="B842" s="440">
        <v>44935</v>
      </c>
      <c r="C842" s="363">
        <v>18101.2</v>
      </c>
    </row>
    <row r="843" spans="2:3" x14ac:dyDescent="0.3">
      <c r="B843" s="440">
        <v>44932</v>
      </c>
      <c r="C843" s="363">
        <v>17859.45</v>
      </c>
    </row>
    <row r="844" spans="2:3" x14ac:dyDescent="0.3">
      <c r="B844" s="440">
        <v>44931</v>
      </c>
      <c r="C844" s="363">
        <v>17992.150000000001</v>
      </c>
    </row>
    <row r="845" spans="2:3" x14ac:dyDescent="0.3">
      <c r="B845" s="440">
        <v>44930</v>
      </c>
      <c r="C845" s="363">
        <v>18042.95</v>
      </c>
    </row>
    <row r="846" spans="2:3" x14ac:dyDescent="0.3">
      <c r="B846" s="440">
        <v>44929</v>
      </c>
      <c r="C846" s="363">
        <v>18232.55</v>
      </c>
    </row>
    <row r="847" spans="2:3" x14ac:dyDescent="0.3">
      <c r="B847" s="440">
        <v>44928</v>
      </c>
      <c r="C847" s="363">
        <v>18197.45</v>
      </c>
    </row>
    <row r="848" spans="2:3" x14ac:dyDescent="0.3">
      <c r="B848" s="440">
        <v>44925</v>
      </c>
      <c r="C848" s="363">
        <v>18105.3</v>
      </c>
    </row>
    <row r="849" spans="2:3" x14ac:dyDescent="0.3">
      <c r="B849" s="440">
        <v>44924</v>
      </c>
      <c r="C849" s="363">
        <v>18191</v>
      </c>
    </row>
    <row r="850" spans="2:3" x14ac:dyDescent="0.3">
      <c r="B850" s="440">
        <v>44923</v>
      </c>
      <c r="C850" s="363">
        <v>18122.5</v>
      </c>
    </row>
    <row r="851" spans="2:3" x14ac:dyDescent="0.3">
      <c r="B851" s="440">
        <v>44922</v>
      </c>
      <c r="C851" s="363">
        <v>18132.3</v>
      </c>
    </row>
    <row r="852" spans="2:3" x14ac:dyDescent="0.3">
      <c r="B852" s="440">
        <v>44921</v>
      </c>
      <c r="C852" s="363">
        <v>18014.599999999999</v>
      </c>
    </row>
    <row r="853" spans="2:3" x14ac:dyDescent="0.3">
      <c r="B853" s="440">
        <v>44918</v>
      </c>
      <c r="C853" s="363">
        <v>17806.8</v>
      </c>
    </row>
    <row r="854" spans="2:3" x14ac:dyDescent="0.3">
      <c r="B854" s="440">
        <v>44917</v>
      </c>
      <c r="C854" s="363">
        <v>18127.349999999999</v>
      </c>
    </row>
    <row r="855" spans="2:3" x14ac:dyDescent="0.3">
      <c r="B855" s="440">
        <v>44916</v>
      </c>
      <c r="C855" s="363">
        <v>18199.099999999999</v>
      </c>
    </row>
    <row r="856" spans="2:3" x14ac:dyDescent="0.3">
      <c r="B856" s="440">
        <v>44915</v>
      </c>
      <c r="C856" s="363">
        <v>18385.3</v>
      </c>
    </row>
    <row r="857" spans="2:3" x14ac:dyDescent="0.3">
      <c r="B857" s="440">
        <v>44914</v>
      </c>
      <c r="C857" s="363">
        <v>18420.45</v>
      </c>
    </row>
    <row r="858" spans="2:3" x14ac:dyDescent="0.3">
      <c r="B858" s="440">
        <v>44911</v>
      </c>
      <c r="C858" s="363">
        <v>18269</v>
      </c>
    </row>
    <row r="859" spans="2:3" x14ac:dyDescent="0.3">
      <c r="B859" s="440">
        <v>44910</v>
      </c>
      <c r="C859" s="363">
        <v>18414.900000000001</v>
      </c>
    </row>
    <row r="860" spans="2:3" x14ac:dyDescent="0.3">
      <c r="B860" s="440">
        <v>44909</v>
      </c>
      <c r="C860" s="363">
        <v>18660.3</v>
      </c>
    </row>
    <row r="861" spans="2:3" x14ac:dyDescent="0.3">
      <c r="B861" s="440">
        <v>44908</v>
      </c>
      <c r="C861" s="363">
        <v>18608</v>
      </c>
    </row>
    <row r="862" spans="2:3" x14ac:dyDescent="0.3">
      <c r="B862" s="440">
        <v>44907</v>
      </c>
      <c r="C862" s="363">
        <v>18497.150000000001</v>
      </c>
    </row>
    <row r="863" spans="2:3" x14ac:dyDescent="0.3">
      <c r="B863" s="440">
        <v>44904</v>
      </c>
      <c r="C863" s="363">
        <v>18496.599999999999</v>
      </c>
    </row>
    <row r="864" spans="2:3" x14ac:dyDescent="0.3">
      <c r="B864" s="440">
        <v>44903</v>
      </c>
      <c r="C864" s="363">
        <v>18609.349999999999</v>
      </c>
    </row>
    <row r="865" spans="2:3" x14ac:dyDescent="0.3">
      <c r="B865" s="440">
        <v>44902</v>
      </c>
      <c r="C865" s="363">
        <v>18560.5</v>
      </c>
    </row>
    <row r="866" spans="2:3" x14ac:dyDescent="0.3">
      <c r="B866" s="440">
        <v>44901</v>
      </c>
      <c r="C866" s="363">
        <v>18642.75</v>
      </c>
    </row>
    <row r="867" spans="2:3" x14ac:dyDescent="0.3">
      <c r="B867" s="440">
        <v>44900</v>
      </c>
      <c r="C867" s="363">
        <v>18701.05</v>
      </c>
    </row>
    <row r="868" spans="2:3" x14ac:dyDescent="0.3">
      <c r="B868" s="440">
        <v>44897</v>
      </c>
      <c r="C868" s="363">
        <v>18696.099999999999</v>
      </c>
    </row>
    <row r="869" spans="2:3" x14ac:dyDescent="0.3">
      <c r="B869" s="440">
        <v>44896</v>
      </c>
      <c r="C869" s="363">
        <v>18812.5</v>
      </c>
    </row>
    <row r="870" spans="2:3" x14ac:dyDescent="0.3">
      <c r="B870" s="440">
        <v>44895</v>
      </c>
      <c r="C870" s="363">
        <v>18758.349999999999</v>
      </c>
    </row>
    <row r="871" spans="2:3" x14ac:dyDescent="0.3">
      <c r="B871" s="440">
        <v>44894</v>
      </c>
      <c r="C871" s="363">
        <v>18618.05</v>
      </c>
    </row>
    <row r="872" spans="2:3" x14ac:dyDescent="0.3">
      <c r="B872" s="440">
        <v>44893</v>
      </c>
      <c r="C872" s="363">
        <v>18562.75</v>
      </c>
    </row>
    <row r="873" spans="2:3" x14ac:dyDescent="0.3">
      <c r="B873" s="440">
        <v>44890</v>
      </c>
      <c r="C873" s="363">
        <v>18512.75</v>
      </c>
    </row>
    <row r="874" spans="2:3" x14ac:dyDescent="0.3">
      <c r="B874" s="440">
        <v>44889</v>
      </c>
      <c r="C874" s="363">
        <v>18484.099999999999</v>
      </c>
    </row>
    <row r="875" spans="2:3" x14ac:dyDescent="0.3">
      <c r="B875" s="440">
        <v>44888</v>
      </c>
      <c r="C875" s="363">
        <v>18267.25</v>
      </c>
    </row>
    <row r="876" spans="2:3" x14ac:dyDescent="0.3">
      <c r="B876" s="440">
        <v>44887</v>
      </c>
      <c r="C876" s="363">
        <v>18244.2</v>
      </c>
    </row>
    <row r="877" spans="2:3" x14ac:dyDescent="0.3">
      <c r="B877" s="440">
        <v>44886</v>
      </c>
      <c r="C877" s="363">
        <v>18159.95</v>
      </c>
    </row>
    <row r="878" spans="2:3" x14ac:dyDescent="0.3">
      <c r="B878" s="440">
        <v>44883</v>
      </c>
      <c r="C878" s="363">
        <v>18307.650000000001</v>
      </c>
    </row>
    <row r="879" spans="2:3" x14ac:dyDescent="0.3">
      <c r="B879" s="440">
        <v>44882</v>
      </c>
      <c r="C879" s="363">
        <v>18343.900000000001</v>
      </c>
    </row>
    <row r="880" spans="2:3" x14ac:dyDescent="0.3">
      <c r="B880" s="440">
        <v>44881</v>
      </c>
      <c r="C880" s="363">
        <v>18409.650000000001</v>
      </c>
    </row>
    <row r="881" spans="2:3" x14ac:dyDescent="0.3">
      <c r="B881" s="440">
        <v>44880</v>
      </c>
      <c r="C881" s="363">
        <v>18403.400000000001</v>
      </c>
    </row>
    <row r="882" spans="2:3" x14ac:dyDescent="0.3">
      <c r="B882" s="440">
        <v>44879</v>
      </c>
      <c r="C882" s="363">
        <v>18329.150000000001</v>
      </c>
    </row>
    <row r="883" spans="2:3" x14ac:dyDescent="0.3">
      <c r="B883" s="440">
        <v>44876</v>
      </c>
      <c r="C883" s="363">
        <v>18349.7</v>
      </c>
    </row>
    <row r="884" spans="2:3" x14ac:dyDescent="0.3">
      <c r="B884" s="440">
        <v>44875</v>
      </c>
      <c r="C884" s="363">
        <v>18028.2</v>
      </c>
    </row>
    <row r="885" spans="2:3" x14ac:dyDescent="0.3">
      <c r="B885" s="440">
        <v>44874</v>
      </c>
      <c r="C885" s="363">
        <v>18157</v>
      </c>
    </row>
    <row r="886" spans="2:3" x14ac:dyDescent="0.3">
      <c r="B886" s="440">
        <v>44872</v>
      </c>
      <c r="C886" s="363">
        <v>18202.8</v>
      </c>
    </row>
    <row r="887" spans="2:3" x14ac:dyDescent="0.3">
      <c r="B887" s="440">
        <v>44869</v>
      </c>
      <c r="C887" s="363">
        <v>18117.150000000001</v>
      </c>
    </row>
    <row r="888" spans="2:3" x14ac:dyDescent="0.3">
      <c r="B888" s="440">
        <v>44868</v>
      </c>
      <c r="C888" s="363">
        <v>18052.7</v>
      </c>
    </row>
    <row r="889" spans="2:3" x14ac:dyDescent="0.3">
      <c r="B889" s="440">
        <v>44867</v>
      </c>
      <c r="C889" s="363">
        <v>18082.849999999999</v>
      </c>
    </row>
    <row r="890" spans="2:3" x14ac:dyDescent="0.3">
      <c r="B890" s="440">
        <v>44866</v>
      </c>
      <c r="C890" s="363">
        <v>18145.400000000001</v>
      </c>
    </row>
    <row r="891" spans="2:3" x14ac:dyDescent="0.3">
      <c r="B891" s="440">
        <v>44865</v>
      </c>
      <c r="C891" s="363">
        <v>18012.2</v>
      </c>
    </row>
    <row r="892" spans="2:3" x14ac:dyDescent="0.3">
      <c r="B892" s="440">
        <v>44862</v>
      </c>
      <c r="C892" s="363">
        <v>17786.8</v>
      </c>
    </row>
    <row r="893" spans="2:3" x14ac:dyDescent="0.3">
      <c r="B893" s="440">
        <v>44861</v>
      </c>
      <c r="C893" s="363">
        <v>17736.95</v>
      </c>
    </row>
    <row r="894" spans="2:3" x14ac:dyDescent="0.3">
      <c r="B894" s="440">
        <v>44859</v>
      </c>
      <c r="C894" s="363">
        <v>17656.349999999999</v>
      </c>
    </row>
    <row r="895" spans="2:3" x14ac:dyDescent="0.3">
      <c r="B895" s="440">
        <v>44858</v>
      </c>
      <c r="C895" s="363">
        <v>17730.75</v>
      </c>
    </row>
    <row r="896" spans="2:3" x14ac:dyDescent="0.3">
      <c r="B896" s="440">
        <v>44855</v>
      </c>
      <c r="C896" s="363">
        <v>17576.3</v>
      </c>
    </row>
    <row r="897" spans="2:3" x14ac:dyDescent="0.3">
      <c r="B897" s="440">
        <v>44854</v>
      </c>
      <c r="C897" s="363">
        <v>17563.95</v>
      </c>
    </row>
    <row r="898" spans="2:3" x14ac:dyDescent="0.3">
      <c r="B898" s="440">
        <v>44853</v>
      </c>
      <c r="C898" s="363">
        <v>17512.25</v>
      </c>
    </row>
    <row r="899" spans="2:3" x14ac:dyDescent="0.3">
      <c r="B899" s="440">
        <v>44852</v>
      </c>
      <c r="C899" s="363">
        <v>17486.95</v>
      </c>
    </row>
    <row r="900" spans="2:3" x14ac:dyDescent="0.3">
      <c r="B900" s="440">
        <v>44851</v>
      </c>
      <c r="C900" s="363">
        <v>17311.8</v>
      </c>
    </row>
    <row r="901" spans="2:3" x14ac:dyDescent="0.3">
      <c r="B901" s="440">
        <v>44848</v>
      </c>
      <c r="C901" s="363">
        <v>17185.7</v>
      </c>
    </row>
    <row r="902" spans="2:3" x14ac:dyDescent="0.3">
      <c r="B902" s="440">
        <v>44847</v>
      </c>
      <c r="C902" s="363">
        <v>17014.349999999999</v>
      </c>
    </row>
    <row r="903" spans="2:3" x14ac:dyDescent="0.3">
      <c r="B903" s="440">
        <v>44846</v>
      </c>
      <c r="C903" s="363">
        <v>17123.599999999999</v>
      </c>
    </row>
    <row r="904" spans="2:3" x14ac:dyDescent="0.3">
      <c r="B904" s="440">
        <v>44845</v>
      </c>
      <c r="C904" s="363">
        <v>16983.55</v>
      </c>
    </row>
    <row r="905" spans="2:3" x14ac:dyDescent="0.3">
      <c r="B905" s="440">
        <v>44844</v>
      </c>
      <c r="C905" s="363">
        <v>17241</v>
      </c>
    </row>
    <row r="906" spans="2:3" x14ac:dyDescent="0.3">
      <c r="B906" s="440">
        <v>44841</v>
      </c>
      <c r="C906" s="363">
        <v>17314.650000000001</v>
      </c>
    </row>
    <row r="907" spans="2:3" x14ac:dyDescent="0.3">
      <c r="B907" s="440">
        <v>44840</v>
      </c>
      <c r="C907" s="363">
        <v>17331.8</v>
      </c>
    </row>
    <row r="908" spans="2:3" x14ac:dyDescent="0.3">
      <c r="B908" s="440">
        <v>44838</v>
      </c>
      <c r="C908" s="363">
        <v>17274.3</v>
      </c>
    </row>
    <row r="909" spans="2:3" x14ac:dyDescent="0.3">
      <c r="B909" s="440">
        <v>44837</v>
      </c>
      <c r="C909" s="363">
        <v>16887.349999999999</v>
      </c>
    </row>
    <row r="910" spans="2:3" x14ac:dyDescent="0.3">
      <c r="B910" s="440">
        <v>44834</v>
      </c>
      <c r="C910" s="363">
        <v>17094.349999999999</v>
      </c>
    </row>
    <row r="911" spans="2:3" x14ac:dyDescent="0.3">
      <c r="B911" s="440">
        <v>44833</v>
      </c>
      <c r="C911" s="363">
        <v>16818.099999999999</v>
      </c>
    </row>
    <row r="912" spans="2:3" x14ac:dyDescent="0.3">
      <c r="B912" s="440">
        <v>44832</v>
      </c>
      <c r="C912" s="363">
        <v>16858.599999999999</v>
      </c>
    </row>
    <row r="913" spans="2:3" x14ac:dyDescent="0.3">
      <c r="B913" s="440">
        <v>44831</v>
      </c>
      <c r="C913" s="363">
        <v>17007.400000000001</v>
      </c>
    </row>
    <row r="914" spans="2:3" x14ac:dyDescent="0.3">
      <c r="B914" s="440">
        <v>44830</v>
      </c>
      <c r="C914" s="363">
        <v>17016.3</v>
      </c>
    </row>
    <row r="915" spans="2:3" x14ac:dyDescent="0.3">
      <c r="B915" s="440">
        <v>44827</v>
      </c>
      <c r="C915" s="363">
        <v>17327.349999999999</v>
      </c>
    </row>
    <row r="916" spans="2:3" x14ac:dyDescent="0.3">
      <c r="B916" s="440">
        <v>44826</v>
      </c>
      <c r="C916" s="363">
        <v>17629.8</v>
      </c>
    </row>
    <row r="917" spans="2:3" x14ac:dyDescent="0.3">
      <c r="B917" s="440">
        <v>44825</v>
      </c>
      <c r="C917" s="363">
        <v>17718.349999999999</v>
      </c>
    </row>
    <row r="918" spans="2:3" x14ac:dyDescent="0.3">
      <c r="B918" s="440">
        <v>44824</v>
      </c>
      <c r="C918" s="363">
        <v>17816.25</v>
      </c>
    </row>
    <row r="919" spans="2:3" x14ac:dyDescent="0.3">
      <c r="B919" s="440">
        <v>44823</v>
      </c>
      <c r="C919" s="363">
        <v>17622.25</v>
      </c>
    </row>
    <row r="920" spans="2:3" x14ac:dyDescent="0.3">
      <c r="B920" s="440">
        <v>44820</v>
      </c>
      <c r="C920" s="363">
        <v>17530.849999999999</v>
      </c>
    </row>
    <row r="921" spans="2:3" x14ac:dyDescent="0.3">
      <c r="B921" s="440">
        <v>44819</v>
      </c>
      <c r="C921" s="363">
        <v>17877.400000000001</v>
      </c>
    </row>
    <row r="922" spans="2:3" x14ac:dyDescent="0.3">
      <c r="B922" s="440">
        <v>44818</v>
      </c>
      <c r="C922" s="363">
        <v>18003.75</v>
      </c>
    </row>
    <row r="923" spans="2:3" x14ac:dyDescent="0.3">
      <c r="B923" s="440">
        <v>44817</v>
      </c>
      <c r="C923" s="363">
        <v>18070.05</v>
      </c>
    </row>
    <row r="924" spans="2:3" x14ac:dyDescent="0.3">
      <c r="B924" s="440">
        <v>44816</v>
      </c>
      <c r="C924" s="363">
        <v>17936.349999999999</v>
      </c>
    </row>
    <row r="925" spans="2:3" x14ac:dyDescent="0.3">
      <c r="B925" s="440">
        <v>44813</v>
      </c>
      <c r="C925" s="363">
        <v>17833.349999999999</v>
      </c>
    </row>
    <row r="926" spans="2:3" x14ac:dyDescent="0.3">
      <c r="B926" s="440">
        <v>44812</v>
      </c>
      <c r="C926" s="363">
        <v>17798.75</v>
      </c>
    </row>
    <row r="927" spans="2:3" x14ac:dyDescent="0.3">
      <c r="B927" s="440">
        <v>44811</v>
      </c>
      <c r="C927" s="363">
        <v>17624.400000000001</v>
      </c>
    </row>
    <row r="928" spans="2:3" x14ac:dyDescent="0.3">
      <c r="B928" s="440">
        <v>44810</v>
      </c>
      <c r="C928" s="363">
        <v>17655.599999999999</v>
      </c>
    </row>
    <row r="929" spans="2:3" x14ac:dyDescent="0.3">
      <c r="B929" s="440">
        <v>44809</v>
      </c>
      <c r="C929" s="363">
        <v>17665.8</v>
      </c>
    </row>
    <row r="930" spans="2:3" x14ac:dyDescent="0.3">
      <c r="B930" s="440">
        <v>44806</v>
      </c>
      <c r="C930" s="363">
        <v>17539.45</v>
      </c>
    </row>
    <row r="931" spans="2:3" x14ac:dyDescent="0.3">
      <c r="B931" s="440">
        <v>44805</v>
      </c>
      <c r="C931" s="363">
        <v>17542.8</v>
      </c>
    </row>
    <row r="932" spans="2:3" x14ac:dyDescent="0.3">
      <c r="B932" s="440">
        <v>44803</v>
      </c>
      <c r="C932" s="363">
        <v>17759.3</v>
      </c>
    </row>
    <row r="933" spans="2:3" x14ac:dyDescent="0.3">
      <c r="B933" s="440">
        <v>44802</v>
      </c>
      <c r="C933" s="363">
        <v>17312.900000000001</v>
      </c>
    </row>
    <row r="934" spans="2:3" x14ac:dyDescent="0.3">
      <c r="B934" s="440">
        <v>44799</v>
      </c>
      <c r="C934" s="363">
        <v>17558.900000000001</v>
      </c>
    </row>
    <row r="935" spans="2:3" x14ac:dyDescent="0.3">
      <c r="B935" s="440">
        <v>44798</v>
      </c>
      <c r="C935" s="363">
        <v>17522.45</v>
      </c>
    </row>
    <row r="936" spans="2:3" x14ac:dyDescent="0.3">
      <c r="B936" s="440">
        <v>44797</v>
      </c>
      <c r="C936" s="363">
        <v>17604.95</v>
      </c>
    </row>
    <row r="937" spans="2:3" x14ac:dyDescent="0.3">
      <c r="B937" s="440">
        <v>44796</v>
      </c>
      <c r="C937" s="363">
        <v>17577.5</v>
      </c>
    </row>
    <row r="938" spans="2:3" x14ac:dyDescent="0.3">
      <c r="B938" s="440">
        <v>44795</v>
      </c>
      <c r="C938" s="363">
        <v>17490.7</v>
      </c>
    </row>
    <row r="939" spans="2:3" x14ac:dyDescent="0.3">
      <c r="B939" s="440">
        <v>44792</v>
      </c>
      <c r="C939" s="363">
        <v>17758.45</v>
      </c>
    </row>
    <row r="940" spans="2:3" x14ac:dyDescent="0.3">
      <c r="B940" s="440">
        <v>44791</v>
      </c>
      <c r="C940" s="363">
        <v>17956.5</v>
      </c>
    </row>
    <row r="941" spans="2:3" x14ac:dyDescent="0.3">
      <c r="B941" s="440">
        <v>44790</v>
      </c>
      <c r="C941" s="363">
        <v>17944.25</v>
      </c>
    </row>
    <row r="942" spans="2:3" x14ac:dyDescent="0.3">
      <c r="B942" s="440">
        <v>44789</v>
      </c>
      <c r="C942" s="363">
        <v>17825.25</v>
      </c>
    </row>
    <row r="943" spans="2:3" x14ac:dyDescent="0.3">
      <c r="B943" s="440">
        <v>44785</v>
      </c>
      <c r="C943" s="363">
        <v>17698.150000000001</v>
      </c>
    </row>
    <row r="944" spans="2:3" x14ac:dyDescent="0.3">
      <c r="B944" s="440">
        <v>44784</v>
      </c>
      <c r="C944" s="363">
        <v>17659</v>
      </c>
    </row>
    <row r="945" spans="2:3" x14ac:dyDescent="0.3">
      <c r="B945" s="440">
        <v>44783</v>
      </c>
      <c r="C945" s="363">
        <v>17534.75</v>
      </c>
    </row>
    <row r="946" spans="2:3" x14ac:dyDescent="0.3">
      <c r="B946" s="440">
        <v>44781</v>
      </c>
      <c r="C946" s="363">
        <v>17525.099999999999</v>
      </c>
    </row>
    <row r="947" spans="2:3" x14ac:dyDescent="0.3">
      <c r="B947" s="440">
        <v>44778</v>
      </c>
      <c r="C947" s="363">
        <v>17397.5</v>
      </c>
    </row>
    <row r="948" spans="2:3" x14ac:dyDescent="0.3">
      <c r="B948" s="440">
        <v>44777</v>
      </c>
      <c r="C948" s="363">
        <v>17382</v>
      </c>
    </row>
    <row r="949" spans="2:3" x14ac:dyDescent="0.3">
      <c r="B949" s="440">
        <v>44776</v>
      </c>
      <c r="C949" s="363">
        <v>17388.150000000001</v>
      </c>
    </row>
    <row r="950" spans="2:3" x14ac:dyDescent="0.3">
      <c r="B950" s="440">
        <v>44775</v>
      </c>
      <c r="C950" s="363">
        <v>17345.45</v>
      </c>
    </row>
    <row r="951" spans="2:3" x14ac:dyDescent="0.3">
      <c r="B951" s="440">
        <v>44774</v>
      </c>
      <c r="C951" s="363">
        <v>17340.05</v>
      </c>
    </row>
    <row r="952" spans="2:3" x14ac:dyDescent="0.3">
      <c r="B952" s="440">
        <v>44771</v>
      </c>
      <c r="C952" s="363">
        <v>17158.25</v>
      </c>
    </row>
    <row r="953" spans="2:3" x14ac:dyDescent="0.3">
      <c r="B953" s="440">
        <v>44770</v>
      </c>
      <c r="C953" s="363">
        <v>16929.599999999999</v>
      </c>
    </row>
    <row r="954" spans="2:3" x14ac:dyDescent="0.3">
      <c r="B954" s="440">
        <v>44769</v>
      </c>
      <c r="C954" s="363">
        <v>16641.8</v>
      </c>
    </row>
    <row r="955" spans="2:3" x14ac:dyDescent="0.3">
      <c r="B955" s="440">
        <v>44768</v>
      </c>
      <c r="C955" s="363">
        <v>16483.849999999999</v>
      </c>
    </row>
    <row r="956" spans="2:3" x14ac:dyDescent="0.3">
      <c r="B956" s="440">
        <v>44767</v>
      </c>
      <c r="C956" s="363">
        <v>16631</v>
      </c>
    </row>
    <row r="957" spans="2:3" x14ac:dyDescent="0.3">
      <c r="B957" s="440">
        <v>44764</v>
      </c>
      <c r="C957" s="363">
        <v>16719.45</v>
      </c>
    </row>
    <row r="958" spans="2:3" x14ac:dyDescent="0.3">
      <c r="B958" s="440">
        <v>44763</v>
      </c>
      <c r="C958" s="363">
        <v>16605.25</v>
      </c>
    </row>
    <row r="959" spans="2:3" x14ac:dyDescent="0.3">
      <c r="B959" s="440">
        <v>44762</v>
      </c>
      <c r="C959" s="363">
        <v>16520.849999999999</v>
      </c>
    </row>
    <row r="960" spans="2:3" x14ac:dyDescent="0.3">
      <c r="B960" s="440">
        <v>44761</v>
      </c>
      <c r="C960" s="363">
        <v>16340.55</v>
      </c>
    </row>
    <row r="961" spans="2:3" x14ac:dyDescent="0.3">
      <c r="B961" s="440">
        <v>44760</v>
      </c>
      <c r="C961" s="363">
        <v>16278.5</v>
      </c>
    </row>
    <row r="962" spans="2:3" x14ac:dyDescent="0.3">
      <c r="B962" s="440">
        <v>44757</v>
      </c>
      <c r="C962" s="363">
        <v>16049.2</v>
      </c>
    </row>
    <row r="963" spans="2:3" x14ac:dyDescent="0.3">
      <c r="B963" s="440">
        <v>44756</v>
      </c>
      <c r="C963" s="363">
        <v>15938.65</v>
      </c>
    </row>
    <row r="964" spans="2:3" x14ac:dyDescent="0.3">
      <c r="B964" s="440">
        <v>44755</v>
      </c>
      <c r="C964" s="363">
        <v>15966.65</v>
      </c>
    </row>
    <row r="965" spans="2:3" x14ac:dyDescent="0.3">
      <c r="B965" s="440">
        <v>44754</v>
      </c>
      <c r="C965" s="363">
        <v>16058.3</v>
      </c>
    </row>
    <row r="966" spans="2:3" x14ac:dyDescent="0.3">
      <c r="B966" s="440">
        <v>44753</v>
      </c>
      <c r="C966" s="363">
        <v>16216</v>
      </c>
    </row>
    <row r="967" spans="2:3" x14ac:dyDescent="0.3">
      <c r="B967" s="440">
        <v>44750</v>
      </c>
      <c r="C967" s="363">
        <v>16220.6</v>
      </c>
    </row>
    <row r="968" spans="2:3" x14ac:dyDescent="0.3">
      <c r="B968" s="440">
        <v>44749</v>
      </c>
      <c r="C968" s="363">
        <v>16132.9</v>
      </c>
    </row>
    <row r="969" spans="2:3" x14ac:dyDescent="0.3">
      <c r="B969" s="440">
        <v>44748</v>
      </c>
      <c r="C969" s="363">
        <v>15989.8</v>
      </c>
    </row>
    <row r="970" spans="2:3" x14ac:dyDescent="0.3">
      <c r="B970" s="440">
        <v>44747</v>
      </c>
      <c r="C970" s="363">
        <v>15810.85</v>
      </c>
    </row>
    <row r="971" spans="2:3" x14ac:dyDescent="0.3">
      <c r="B971" s="440">
        <v>44746</v>
      </c>
      <c r="C971" s="363">
        <v>15835.35</v>
      </c>
    </row>
    <row r="972" spans="2:3" x14ac:dyDescent="0.3">
      <c r="B972" s="440">
        <v>44743</v>
      </c>
      <c r="C972" s="363">
        <v>15752.05</v>
      </c>
    </row>
    <row r="973" spans="2:3" x14ac:dyDescent="0.3">
      <c r="B973" s="440">
        <v>44742</v>
      </c>
      <c r="C973" s="363">
        <v>15780.25</v>
      </c>
    </row>
    <row r="974" spans="2:3" x14ac:dyDescent="0.3">
      <c r="B974" s="440">
        <v>44741</v>
      </c>
      <c r="C974" s="363">
        <v>15799.1</v>
      </c>
    </row>
    <row r="975" spans="2:3" x14ac:dyDescent="0.3">
      <c r="B975" s="440">
        <v>44740</v>
      </c>
      <c r="C975" s="363">
        <v>15850.2</v>
      </c>
    </row>
    <row r="976" spans="2:3" x14ac:dyDescent="0.3">
      <c r="B976" s="440">
        <v>44739</v>
      </c>
      <c r="C976" s="363">
        <v>15832.05</v>
      </c>
    </row>
    <row r="977" spans="2:3" x14ac:dyDescent="0.3">
      <c r="B977" s="440">
        <v>44736</v>
      </c>
      <c r="C977" s="363">
        <v>15699.25</v>
      </c>
    </row>
    <row r="978" spans="2:3" x14ac:dyDescent="0.3">
      <c r="B978" s="440">
        <v>44735</v>
      </c>
      <c r="C978" s="363">
        <v>15556.65</v>
      </c>
    </row>
    <row r="979" spans="2:3" x14ac:dyDescent="0.3">
      <c r="B979" s="440">
        <v>44734</v>
      </c>
      <c r="C979" s="363">
        <v>15413.3</v>
      </c>
    </row>
    <row r="980" spans="2:3" x14ac:dyDescent="0.3">
      <c r="B980" s="440">
        <v>44733</v>
      </c>
      <c r="C980" s="363">
        <v>15638.8</v>
      </c>
    </row>
    <row r="981" spans="2:3" x14ac:dyDescent="0.3">
      <c r="B981" s="440">
        <v>44732</v>
      </c>
      <c r="C981" s="363">
        <v>15350.15</v>
      </c>
    </row>
    <row r="982" spans="2:3" x14ac:dyDescent="0.3">
      <c r="B982" s="440">
        <v>44729</v>
      </c>
      <c r="C982" s="363">
        <v>15293.5</v>
      </c>
    </row>
    <row r="983" spans="2:3" x14ac:dyDescent="0.3">
      <c r="B983" s="440">
        <v>44728</v>
      </c>
      <c r="C983" s="363">
        <v>15360.6</v>
      </c>
    </row>
    <row r="984" spans="2:3" x14ac:dyDescent="0.3">
      <c r="B984" s="440">
        <v>44727</v>
      </c>
      <c r="C984" s="363">
        <v>15692.15</v>
      </c>
    </row>
    <row r="985" spans="2:3" x14ac:dyDescent="0.3">
      <c r="B985" s="440">
        <v>44726</v>
      </c>
      <c r="C985" s="363">
        <v>15732.1</v>
      </c>
    </row>
    <row r="986" spans="2:3" x14ac:dyDescent="0.3">
      <c r="B986" s="440">
        <v>44725</v>
      </c>
      <c r="C986" s="363">
        <v>15774.4</v>
      </c>
    </row>
    <row r="987" spans="2:3" x14ac:dyDescent="0.3">
      <c r="B987" s="440">
        <v>44722</v>
      </c>
      <c r="C987" s="363">
        <v>16201.8</v>
      </c>
    </row>
    <row r="988" spans="2:3" x14ac:dyDescent="0.3">
      <c r="B988" s="440">
        <v>44721</v>
      </c>
      <c r="C988" s="363">
        <v>16478.099999999999</v>
      </c>
    </row>
    <row r="989" spans="2:3" x14ac:dyDescent="0.3">
      <c r="B989" s="440">
        <v>44720</v>
      </c>
      <c r="C989" s="363">
        <v>16356.25</v>
      </c>
    </row>
    <row r="990" spans="2:3" x14ac:dyDescent="0.3">
      <c r="B990" s="440">
        <v>44719</v>
      </c>
      <c r="C990" s="363">
        <v>16416.349999999999</v>
      </c>
    </row>
    <row r="991" spans="2:3" x14ac:dyDescent="0.3">
      <c r="B991" s="440">
        <v>44718</v>
      </c>
      <c r="C991" s="363">
        <v>16569.55</v>
      </c>
    </row>
    <row r="992" spans="2:3" x14ac:dyDescent="0.3">
      <c r="B992" s="440">
        <v>44715</v>
      </c>
      <c r="C992" s="363">
        <v>16584.3</v>
      </c>
    </row>
    <row r="993" spans="2:3" x14ac:dyDescent="0.3">
      <c r="B993" s="440">
        <v>44714</v>
      </c>
      <c r="C993" s="363">
        <v>16628</v>
      </c>
    </row>
    <row r="994" spans="2:3" x14ac:dyDescent="0.3">
      <c r="B994" s="440">
        <v>44713</v>
      </c>
      <c r="C994" s="363">
        <v>16522.75</v>
      </c>
    </row>
    <row r="995" spans="2:3" x14ac:dyDescent="0.3">
      <c r="B995" s="440">
        <v>44712</v>
      </c>
      <c r="C995" s="363">
        <v>16584.55</v>
      </c>
    </row>
    <row r="996" spans="2:3" x14ac:dyDescent="0.3">
      <c r="B996" s="440">
        <v>44711</v>
      </c>
      <c r="C996" s="363">
        <v>16661.400000000001</v>
      </c>
    </row>
    <row r="997" spans="2:3" x14ac:dyDescent="0.3">
      <c r="B997" s="440">
        <v>44708</v>
      </c>
      <c r="C997" s="363">
        <v>16352.45</v>
      </c>
    </row>
    <row r="998" spans="2:3" x14ac:dyDescent="0.3">
      <c r="B998" s="440">
        <v>44707</v>
      </c>
      <c r="C998" s="363">
        <v>16170.15</v>
      </c>
    </row>
    <row r="999" spans="2:3" x14ac:dyDescent="0.3">
      <c r="B999" s="440">
        <v>44706</v>
      </c>
      <c r="C999" s="363">
        <v>16025.8</v>
      </c>
    </row>
    <row r="1000" spans="2:3" x14ac:dyDescent="0.3">
      <c r="B1000" s="440">
        <v>44705</v>
      </c>
      <c r="C1000" s="363">
        <v>16125.15</v>
      </c>
    </row>
    <row r="1001" spans="2:3" x14ac:dyDescent="0.3">
      <c r="B1001" s="440">
        <v>44704</v>
      </c>
      <c r="C1001" s="363">
        <v>16214.7</v>
      </c>
    </row>
    <row r="1002" spans="2:3" x14ac:dyDescent="0.3">
      <c r="B1002" s="440">
        <v>44701</v>
      </c>
      <c r="C1002" s="363">
        <v>16266.15</v>
      </c>
    </row>
    <row r="1003" spans="2:3" x14ac:dyDescent="0.3">
      <c r="B1003" s="440">
        <v>44700</v>
      </c>
      <c r="C1003" s="363">
        <v>15809.4</v>
      </c>
    </row>
    <row r="1004" spans="2:3" x14ac:dyDescent="0.3">
      <c r="B1004" s="440">
        <v>44699</v>
      </c>
      <c r="C1004" s="363">
        <v>16240.3</v>
      </c>
    </row>
    <row r="1005" spans="2:3" x14ac:dyDescent="0.3">
      <c r="B1005" s="440">
        <v>44698</v>
      </c>
      <c r="C1005" s="363">
        <v>16259.3</v>
      </c>
    </row>
    <row r="1006" spans="2:3" x14ac:dyDescent="0.3">
      <c r="B1006" s="440">
        <v>44697</v>
      </c>
      <c r="C1006" s="363">
        <v>15842.3</v>
      </c>
    </row>
    <row r="1007" spans="2:3" x14ac:dyDescent="0.3">
      <c r="B1007" s="440">
        <v>44694</v>
      </c>
      <c r="C1007" s="363">
        <v>15782.15</v>
      </c>
    </row>
    <row r="1008" spans="2:3" x14ac:dyDescent="0.3">
      <c r="B1008" s="440">
        <v>44693</v>
      </c>
      <c r="C1008" s="363">
        <v>15808</v>
      </c>
    </row>
    <row r="1009" spans="2:3" x14ac:dyDescent="0.3">
      <c r="B1009" s="440">
        <v>44692</v>
      </c>
      <c r="C1009" s="363">
        <v>16167.1</v>
      </c>
    </row>
    <row r="1010" spans="2:3" x14ac:dyDescent="0.3">
      <c r="B1010" s="440">
        <v>44691</v>
      </c>
      <c r="C1010" s="363">
        <v>16240.05</v>
      </c>
    </row>
    <row r="1011" spans="2:3" x14ac:dyDescent="0.3">
      <c r="B1011" s="440">
        <v>44690</v>
      </c>
      <c r="C1011" s="363">
        <v>16301.85</v>
      </c>
    </row>
    <row r="1012" spans="2:3" x14ac:dyDescent="0.3">
      <c r="B1012" s="440">
        <v>44687</v>
      </c>
      <c r="C1012" s="363">
        <v>16411.25</v>
      </c>
    </row>
    <row r="1013" spans="2:3" x14ac:dyDescent="0.3">
      <c r="B1013" s="440">
        <v>44686</v>
      </c>
      <c r="C1013" s="363">
        <v>16682.650000000001</v>
      </c>
    </row>
    <row r="1014" spans="2:3" x14ac:dyDescent="0.3">
      <c r="B1014" s="440">
        <v>44685</v>
      </c>
      <c r="C1014" s="363">
        <v>16677.599999999999</v>
      </c>
    </row>
    <row r="1015" spans="2:3" x14ac:dyDescent="0.3">
      <c r="B1015" s="440">
        <v>44683</v>
      </c>
      <c r="C1015" s="363">
        <v>17069.099999999999</v>
      </c>
    </row>
    <row r="1016" spans="2:3" x14ac:dyDescent="0.3">
      <c r="B1016" s="440">
        <v>44680</v>
      </c>
      <c r="C1016" s="363">
        <v>17102.55</v>
      </c>
    </row>
    <row r="1017" spans="2:3" x14ac:dyDescent="0.3">
      <c r="B1017" s="440">
        <v>44679</v>
      </c>
      <c r="C1017" s="363">
        <v>17245.05</v>
      </c>
    </row>
    <row r="1018" spans="2:3" x14ac:dyDescent="0.3">
      <c r="B1018" s="440">
        <v>44678</v>
      </c>
      <c r="C1018" s="363">
        <v>17038.400000000001</v>
      </c>
    </row>
    <row r="1019" spans="2:3" x14ac:dyDescent="0.3">
      <c r="B1019" s="440">
        <v>44677</v>
      </c>
      <c r="C1019" s="363">
        <v>17200.8</v>
      </c>
    </row>
    <row r="1020" spans="2:3" x14ac:dyDescent="0.3">
      <c r="B1020" s="440">
        <v>44676</v>
      </c>
      <c r="C1020" s="363">
        <v>16953.95</v>
      </c>
    </row>
    <row r="1021" spans="2:3" x14ac:dyDescent="0.3">
      <c r="B1021" s="440">
        <v>44673</v>
      </c>
      <c r="C1021" s="363">
        <v>17171.95</v>
      </c>
    </row>
    <row r="1022" spans="2:3" x14ac:dyDescent="0.3">
      <c r="B1022" s="440">
        <v>44672</v>
      </c>
      <c r="C1022" s="363">
        <v>17392.599999999999</v>
      </c>
    </row>
    <row r="1023" spans="2:3" x14ac:dyDescent="0.3">
      <c r="B1023" s="440">
        <v>44671</v>
      </c>
      <c r="C1023" s="363">
        <v>17136.55</v>
      </c>
    </row>
    <row r="1024" spans="2:3" x14ac:dyDescent="0.3">
      <c r="B1024" s="440">
        <v>44670</v>
      </c>
      <c r="C1024" s="363">
        <v>16958.650000000001</v>
      </c>
    </row>
    <row r="1025" spans="2:3" x14ac:dyDescent="0.3">
      <c r="B1025" s="440">
        <v>44669</v>
      </c>
      <c r="C1025" s="363">
        <v>17173.650000000001</v>
      </c>
    </row>
    <row r="1026" spans="2:3" x14ac:dyDescent="0.3">
      <c r="B1026" s="440">
        <v>44664</v>
      </c>
      <c r="C1026" s="363">
        <v>17475.650000000001</v>
      </c>
    </row>
    <row r="1027" spans="2:3" x14ac:dyDescent="0.3">
      <c r="B1027" s="440">
        <v>44663</v>
      </c>
      <c r="C1027" s="363">
        <v>17530.3</v>
      </c>
    </row>
    <row r="1028" spans="2:3" x14ac:dyDescent="0.3">
      <c r="B1028" s="440">
        <v>44662</v>
      </c>
      <c r="C1028" s="363">
        <v>17674.95</v>
      </c>
    </row>
    <row r="1029" spans="2:3" x14ac:dyDescent="0.3">
      <c r="B1029" s="440">
        <v>44659</v>
      </c>
      <c r="C1029" s="363">
        <v>17784.349999999999</v>
      </c>
    </row>
    <row r="1030" spans="2:3" x14ac:dyDescent="0.3">
      <c r="B1030" s="440">
        <v>44658</v>
      </c>
      <c r="C1030" s="363">
        <v>17639.55</v>
      </c>
    </row>
    <row r="1031" spans="2:3" x14ac:dyDescent="0.3">
      <c r="B1031" s="440">
        <v>44657</v>
      </c>
      <c r="C1031" s="363">
        <v>17807.650000000001</v>
      </c>
    </row>
    <row r="1032" spans="2:3" x14ac:dyDescent="0.3">
      <c r="B1032" s="440">
        <v>44656</v>
      </c>
      <c r="C1032" s="363">
        <v>17957.400000000001</v>
      </c>
    </row>
    <row r="1033" spans="2:3" x14ac:dyDescent="0.3">
      <c r="B1033" s="440">
        <v>44655</v>
      </c>
      <c r="C1033" s="363">
        <v>18053.400000000001</v>
      </c>
    </row>
    <row r="1034" spans="2:3" x14ac:dyDescent="0.3">
      <c r="B1034" s="440">
        <v>44652</v>
      </c>
      <c r="C1034" s="363">
        <v>17670.45</v>
      </c>
    </row>
    <row r="1035" spans="2:3" x14ac:dyDescent="0.3">
      <c r="B1035" s="440">
        <v>44651</v>
      </c>
      <c r="C1035" s="363">
        <v>17464.75</v>
      </c>
    </row>
    <row r="1036" spans="2:3" x14ac:dyDescent="0.3">
      <c r="B1036" s="440">
        <v>44650</v>
      </c>
      <c r="C1036" s="363">
        <v>17498.25</v>
      </c>
    </row>
    <row r="1037" spans="2:3" x14ac:dyDescent="0.3">
      <c r="B1037" s="440">
        <v>44649</v>
      </c>
      <c r="C1037" s="363">
        <v>17325.3</v>
      </c>
    </row>
    <row r="1038" spans="2:3" x14ac:dyDescent="0.3">
      <c r="B1038" s="440">
        <v>44648</v>
      </c>
      <c r="C1038" s="363">
        <v>17222</v>
      </c>
    </row>
    <row r="1039" spans="2:3" x14ac:dyDescent="0.3">
      <c r="B1039" s="440">
        <v>44645</v>
      </c>
      <c r="C1039" s="363">
        <v>17153</v>
      </c>
    </row>
    <row r="1040" spans="2:3" x14ac:dyDescent="0.3">
      <c r="B1040" s="440">
        <v>44644</v>
      </c>
      <c r="C1040" s="363">
        <v>17222.75</v>
      </c>
    </row>
    <row r="1041" spans="2:3" x14ac:dyDescent="0.3">
      <c r="B1041" s="440">
        <v>44643</v>
      </c>
      <c r="C1041" s="363">
        <v>17245.650000000001</v>
      </c>
    </row>
    <row r="1042" spans="2:3" x14ac:dyDescent="0.3">
      <c r="B1042" s="440">
        <v>44642</v>
      </c>
      <c r="C1042" s="363">
        <v>17315.5</v>
      </c>
    </row>
    <row r="1043" spans="2:3" x14ac:dyDescent="0.3">
      <c r="B1043" s="440">
        <v>44641</v>
      </c>
      <c r="C1043" s="363">
        <v>17117.599999999999</v>
      </c>
    </row>
    <row r="1044" spans="2:3" x14ac:dyDescent="0.3">
      <c r="B1044" s="440">
        <v>44637</v>
      </c>
      <c r="C1044" s="363">
        <v>17287.05</v>
      </c>
    </row>
    <row r="1045" spans="2:3" x14ac:dyDescent="0.3">
      <c r="B1045" s="440">
        <v>44636</v>
      </c>
      <c r="C1045" s="363">
        <v>16975.349999999999</v>
      </c>
    </row>
    <row r="1046" spans="2:3" x14ac:dyDescent="0.3">
      <c r="B1046" s="440">
        <v>44635</v>
      </c>
      <c r="C1046" s="363">
        <v>16663</v>
      </c>
    </row>
    <row r="1047" spans="2:3" x14ac:dyDescent="0.3">
      <c r="B1047" s="440">
        <v>44634</v>
      </c>
      <c r="C1047" s="363">
        <v>16871.3</v>
      </c>
    </row>
    <row r="1048" spans="2:3" x14ac:dyDescent="0.3">
      <c r="B1048" s="440">
        <v>44631</v>
      </c>
      <c r="C1048" s="363">
        <v>16630.45</v>
      </c>
    </row>
    <row r="1049" spans="2:3" x14ac:dyDescent="0.3">
      <c r="B1049" s="440">
        <v>44630</v>
      </c>
      <c r="C1049" s="363">
        <v>16594.900000000001</v>
      </c>
    </row>
    <row r="1050" spans="2:3" x14ac:dyDescent="0.3">
      <c r="B1050" s="440">
        <v>44629</v>
      </c>
      <c r="C1050" s="363">
        <v>16345.35</v>
      </c>
    </row>
    <row r="1051" spans="2:3" x14ac:dyDescent="0.3">
      <c r="B1051" s="440">
        <v>44628</v>
      </c>
      <c r="C1051" s="363">
        <v>16013.45</v>
      </c>
    </row>
    <row r="1052" spans="2:3" x14ac:dyDescent="0.3">
      <c r="B1052" s="440">
        <v>44627</v>
      </c>
      <c r="C1052" s="363">
        <v>15863.15</v>
      </c>
    </row>
    <row r="1053" spans="2:3" x14ac:dyDescent="0.3">
      <c r="B1053" s="440">
        <v>44624</v>
      </c>
      <c r="C1053" s="363">
        <v>16245.35</v>
      </c>
    </row>
    <row r="1054" spans="2:3" x14ac:dyDescent="0.3">
      <c r="B1054" s="440">
        <v>44623</v>
      </c>
      <c r="C1054" s="363">
        <v>16498.05</v>
      </c>
    </row>
    <row r="1055" spans="2:3" x14ac:dyDescent="0.3">
      <c r="B1055" s="440">
        <v>44622</v>
      </c>
      <c r="C1055" s="363">
        <v>16605.95</v>
      </c>
    </row>
    <row r="1056" spans="2:3" x14ac:dyDescent="0.3">
      <c r="B1056" s="440">
        <v>44620</v>
      </c>
      <c r="C1056" s="363">
        <v>16793.900000000001</v>
      </c>
    </row>
    <row r="1057" spans="2:3" x14ac:dyDescent="0.3">
      <c r="B1057" s="440">
        <v>44617</v>
      </c>
      <c r="C1057" s="363">
        <v>16658.400000000001</v>
      </c>
    </row>
    <row r="1058" spans="2:3" x14ac:dyDescent="0.3">
      <c r="B1058" s="440">
        <v>44616</v>
      </c>
      <c r="C1058" s="363">
        <v>16247.95</v>
      </c>
    </row>
    <row r="1059" spans="2:3" x14ac:dyDescent="0.3">
      <c r="B1059" s="440">
        <v>44615</v>
      </c>
      <c r="C1059" s="363">
        <v>17063.25</v>
      </c>
    </row>
    <row r="1060" spans="2:3" x14ac:dyDescent="0.3">
      <c r="B1060" s="440">
        <v>44614</v>
      </c>
      <c r="C1060" s="363">
        <v>17092.2</v>
      </c>
    </row>
    <row r="1061" spans="2:3" x14ac:dyDescent="0.3">
      <c r="B1061" s="440">
        <v>44613</v>
      </c>
      <c r="C1061" s="363">
        <v>17206.650000000001</v>
      </c>
    </row>
    <row r="1062" spans="2:3" x14ac:dyDescent="0.3">
      <c r="B1062" s="440">
        <v>44610</v>
      </c>
      <c r="C1062" s="363">
        <v>17276.3</v>
      </c>
    </row>
    <row r="1063" spans="2:3" x14ac:dyDescent="0.3">
      <c r="B1063" s="440">
        <v>44609</v>
      </c>
      <c r="C1063" s="363">
        <v>17304.599999999999</v>
      </c>
    </row>
    <row r="1064" spans="2:3" x14ac:dyDescent="0.3">
      <c r="B1064" s="440">
        <v>44608</v>
      </c>
      <c r="C1064" s="363">
        <v>17322.2</v>
      </c>
    </row>
    <row r="1065" spans="2:3" x14ac:dyDescent="0.3">
      <c r="B1065" s="440">
        <v>44607</v>
      </c>
      <c r="C1065" s="363">
        <v>17352.45</v>
      </c>
    </row>
    <row r="1066" spans="2:3" x14ac:dyDescent="0.3">
      <c r="B1066" s="440">
        <v>44606</v>
      </c>
      <c r="C1066" s="363">
        <v>16842.8</v>
      </c>
    </row>
    <row r="1067" spans="2:3" x14ac:dyDescent="0.3">
      <c r="B1067" s="440">
        <v>44603</v>
      </c>
      <c r="C1067" s="363">
        <v>17374.75</v>
      </c>
    </row>
    <row r="1068" spans="2:3" x14ac:dyDescent="0.3">
      <c r="B1068" s="440">
        <v>44602</v>
      </c>
      <c r="C1068" s="363">
        <v>17605.849999999999</v>
      </c>
    </row>
    <row r="1069" spans="2:3" x14ac:dyDescent="0.3">
      <c r="B1069" s="440">
        <v>44601</v>
      </c>
      <c r="C1069" s="363">
        <v>17463.8</v>
      </c>
    </row>
    <row r="1070" spans="2:3" x14ac:dyDescent="0.3">
      <c r="B1070" s="440">
        <v>44600</v>
      </c>
      <c r="C1070" s="363">
        <v>17266.75</v>
      </c>
    </row>
    <row r="1071" spans="2:3" x14ac:dyDescent="0.3">
      <c r="B1071" s="440">
        <v>44599</v>
      </c>
      <c r="C1071" s="363">
        <v>17213.599999999999</v>
      </c>
    </row>
    <row r="1072" spans="2:3" x14ac:dyDescent="0.3">
      <c r="B1072" s="440">
        <v>44596</v>
      </c>
      <c r="C1072" s="363">
        <v>17516.3</v>
      </c>
    </row>
    <row r="1073" spans="2:3" x14ac:dyDescent="0.3">
      <c r="B1073" s="440">
        <v>44595</v>
      </c>
      <c r="C1073" s="363">
        <v>17560.2</v>
      </c>
    </row>
    <row r="1074" spans="2:3" x14ac:dyDescent="0.3">
      <c r="B1074" s="440">
        <v>44594</v>
      </c>
      <c r="C1074" s="363">
        <v>17780</v>
      </c>
    </row>
    <row r="1075" spans="2:3" x14ac:dyDescent="0.3">
      <c r="B1075" s="440">
        <v>44593</v>
      </c>
      <c r="C1075" s="363">
        <v>17576.849999999999</v>
      </c>
    </row>
    <row r="1076" spans="2:3" x14ac:dyDescent="0.3">
      <c r="B1076" s="440">
        <v>44592</v>
      </c>
      <c r="C1076" s="363">
        <v>17339.849999999999</v>
      </c>
    </row>
    <row r="1077" spans="2:3" x14ac:dyDescent="0.3">
      <c r="B1077" s="440">
        <v>44589</v>
      </c>
      <c r="C1077" s="363">
        <v>17101.95</v>
      </c>
    </row>
    <row r="1078" spans="2:3" x14ac:dyDescent="0.3">
      <c r="B1078" s="440">
        <v>44588</v>
      </c>
      <c r="C1078" s="363">
        <v>17110.150000000001</v>
      </c>
    </row>
    <row r="1079" spans="2:3" x14ac:dyDescent="0.3">
      <c r="B1079" s="440">
        <v>44586</v>
      </c>
      <c r="C1079" s="363">
        <v>17277.95</v>
      </c>
    </row>
    <row r="1080" spans="2:3" x14ac:dyDescent="0.3">
      <c r="B1080" s="440">
        <v>44585</v>
      </c>
      <c r="C1080" s="363">
        <v>17149.099999999999</v>
      </c>
    </row>
    <row r="1081" spans="2:3" x14ac:dyDescent="0.3">
      <c r="B1081" s="440">
        <v>44582</v>
      </c>
      <c r="C1081" s="363">
        <v>17617.150000000001</v>
      </c>
    </row>
    <row r="1082" spans="2:3" x14ac:dyDescent="0.3">
      <c r="B1082" s="440">
        <v>44581</v>
      </c>
      <c r="C1082" s="363">
        <v>17757</v>
      </c>
    </row>
    <row r="1083" spans="2:3" x14ac:dyDescent="0.3">
      <c r="B1083" s="440">
        <v>44580</v>
      </c>
      <c r="C1083" s="363">
        <v>17938.400000000001</v>
      </c>
    </row>
    <row r="1084" spans="2:3" x14ac:dyDescent="0.3">
      <c r="B1084" s="440">
        <v>44579</v>
      </c>
      <c r="C1084" s="363">
        <v>18113.05</v>
      </c>
    </row>
    <row r="1085" spans="2:3" x14ac:dyDescent="0.3">
      <c r="B1085" s="440">
        <v>44578</v>
      </c>
      <c r="C1085" s="363">
        <v>18308.099999999999</v>
      </c>
    </row>
    <row r="1086" spans="2:3" x14ac:dyDescent="0.3">
      <c r="B1086" s="440">
        <v>44575</v>
      </c>
      <c r="C1086" s="363">
        <v>18255.75</v>
      </c>
    </row>
    <row r="1087" spans="2:3" x14ac:dyDescent="0.3">
      <c r="B1087" s="440">
        <v>44574</v>
      </c>
      <c r="C1087" s="363">
        <v>18257.8</v>
      </c>
    </row>
    <row r="1088" spans="2:3" x14ac:dyDescent="0.3">
      <c r="B1088" s="440">
        <v>44573</v>
      </c>
      <c r="C1088" s="363">
        <v>18212.349999999999</v>
      </c>
    </row>
    <row r="1089" spans="2:3" x14ac:dyDescent="0.3">
      <c r="B1089" s="440">
        <v>44572</v>
      </c>
      <c r="C1089" s="363">
        <v>18055.75</v>
      </c>
    </row>
    <row r="1090" spans="2:3" x14ac:dyDescent="0.3">
      <c r="B1090" s="440">
        <v>44571</v>
      </c>
      <c r="C1090" s="363">
        <v>18003.3</v>
      </c>
    </row>
    <row r="1091" spans="2:3" x14ac:dyDescent="0.3">
      <c r="B1091" s="440">
        <v>44568</v>
      </c>
      <c r="C1091" s="363">
        <v>17812.7</v>
      </c>
    </row>
    <row r="1092" spans="2:3" x14ac:dyDescent="0.3">
      <c r="B1092" s="440">
        <v>44567</v>
      </c>
      <c r="C1092" s="363">
        <v>17745.900000000001</v>
      </c>
    </row>
    <row r="1093" spans="2:3" x14ac:dyDescent="0.3">
      <c r="B1093" s="440">
        <v>44566</v>
      </c>
      <c r="C1093" s="363">
        <v>17925.25</v>
      </c>
    </row>
    <row r="1094" spans="2:3" x14ac:dyDescent="0.3">
      <c r="B1094" s="440">
        <v>44565</v>
      </c>
      <c r="C1094" s="363">
        <v>17805.25</v>
      </c>
    </row>
    <row r="1095" spans="2:3" x14ac:dyDescent="0.3">
      <c r="B1095" s="440">
        <v>44564</v>
      </c>
      <c r="C1095" s="363">
        <v>17625.7</v>
      </c>
    </row>
    <row r="1096" spans="2:3" x14ac:dyDescent="0.3">
      <c r="B1096" s="440">
        <v>44561</v>
      </c>
      <c r="C1096" s="363">
        <v>17354.05</v>
      </c>
    </row>
    <row r="1097" spans="2:3" x14ac:dyDescent="0.3">
      <c r="B1097" s="440">
        <v>44560</v>
      </c>
      <c r="C1097" s="363">
        <v>17203.95</v>
      </c>
    </row>
    <row r="1098" spans="2:3" x14ac:dyDescent="0.3">
      <c r="B1098" s="440">
        <v>44559</v>
      </c>
      <c r="C1098" s="363">
        <v>17213.599999999999</v>
      </c>
    </row>
    <row r="1099" spans="2:3" x14ac:dyDescent="0.3">
      <c r="B1099" s="440">
        <v>44558</v>
      </c>
      <c r="C1099" s="363">
        <v>17233.25</v>
      </c>
    </row>
    <row r="1100" spans="2:3" x14ac:dyDescent="0.3">
      <c r="B1100" s="440">
        <v>44557</v>
      </c>
      <c r="C1100" s="363">
        <v>17086.25</v>
      </c>
    </row>
    <row r="1101" spans="2:3" x14ac:dyDescent="0.3">
      <c r="B1101" s="440">
        <v>44554</v>
      </c>
      <c r="C1101" s="363">
        <v>17003.75</v>
      </c>
    </row>
    <row r="1102" spans="2:3" x14ac:dyDescent="0.3">
      <c r="B1102" s="440">
        <v>44553</v>
      </c>
      <c r="C1102" s="363">
        <v>17072.599999999999</v>
      </c>
    </row>
    <row r="1103" spans="2:3" x14ac:dyDescent="0.3">
      <c r="B1103" s="440">
        <v>44552</v>
      </c>
      <c r="C1103" s="363">
        <v>16955.45</v>
      </c>
    </row>
    <row r="1104" spans="2:3" x14ac:dyDescent="0.3">
      <c r="B1104" s="440">
        <v>44551</v>
      </c>
      <c r="C1104" s="363">
        <v>16770.849999999999</v>
      </c>
    </row>
    <row r="1105" spans="2:3" x14ac:dyDescent="0.3">
      <c r="B1105" s="440">
        <v>44550</v>
      </c>
      <c r="C1105" s="363">
        <v>16614.2</v>
      </c>
    </row>
    <row r="1106" spans="2:3" x14ac:dyDescent="0.3">
      <c r="B1106" s="440">
        <v>44547</v>
      </c>
      <c r="C1106" s="363">
        <v>16985.2</v>
      </c>
    </row>
    <row r="1107" spans="2:3" x14ac:dyDescent="0.3">
      <c r="B1107" s="440">
        <v>44546</v>
      </c>
      <c r="C1107" s="363">
        <v>17248.400000000001</v>
      </c>
    </row>
    <row r="1108" spans="2:3" x14ac:dyDescent="0.3">
      <c r="B1108" s="440">
        <v>44545</v>
      </c>
      <c r="C1108" s="363">
        <v>17221.400000000001</v>
      </c>
    </row>
    <row r="1109" spans="2:3" x14ac:dyDescent="0.3">
      <c r="B1109" s="440">
        <v>44544</v>
      </c>
      <c r="C1109" s="363">
        <v>17324.900000000001</v>
      </c>
    </row>
    <row r="1110" spans="2:3" x14ac:dyDescent="0.3">
      <c r="B1110" s="440">
        <v>44543</v>
      </c>
      <c r="C1110" s="363">
        <v>17368.25</v>
      </c>
    </row>
    <row r="1111" spans="2:3" x14ac:dyDescent="0.3">
      <c r="B1111" s="440">
        <v>44540</v>
      </c>
      <c r="C1111" s="363">
        <v>17511.3</v>
      </c>
    </row>
    <row r="1112" spans="2:3" x14ac:dyDescent="0.3">
      <c r="B1112" s="440">
        <v>44539</v>
      </c>
      <c r="C1112" s="363">
        <v>17516.849999999999</v>
      </c>
    </row>
    <row r="1113" spans="2:3" x14ac:dyDescent="0.3">
      <c r="B1113" s="440">
        <v>44538</v>
      </c>
      <c r="C1113" s="363">
        <v>17469.75</v>
      </c>
    </row>
    <row r="1114" spans="2:3" x14ac:dyDescent="0.3">
      <c r="B1114" s="440">
        <v>44537</v>
      </c>
      <c r="C1114" s="363">
        <v>17176.7</v>
      </c>
    </row>
    <row r="1115" spans="2:3" x14ac:dyDescent="0.3">
      <c r="B1115" s="440">
        <v>44536</v>
      </c>
      <c r="C1115" s="363">
        <v>16912.25</v>
      </c>
    </row>
    <row r="1116" spans="2:3" x14ac:dyDescent="0.3">
      <c r="B1116" s="440">
        <v>44533</v>
      </c>
      <c r="C1116" s="363">
        <v>17196.7</v>
      </c>
    </row>
    <row r="1117" spans="2:3" x14ac:dyDescent="0.3">
      <c r="B1117" s="440">
        <v>44532</v>
      </c>
      <c r="C1117" s="363">
        <v>17401.650000000001</v>
      </c>
    </row>
    <row r="1118" spans="2:3" x14ac:dyDescent="0.3">
      <c r="B1118" s="440">
        <v>44531</v>
      </c>
      <c r="C1118" s="363">
        <v>17166.900000000001</v>
      </c>
    </row>
    <row r="1119" spans="2:3" x14ac:dyDescent="0.3">
      <c r="B1119" s="440">
        <v>44530</v>
      </c>
      <c r="C1119" s="363">
        <v>16983.2</v>
      </c>
    </row>
    <row r="1120" spans="2:3" x14ac:dyDescent="0.3">
      <c r="B1120" s="440">
        <v>44529</v>
      </c>
      <c r="C1120" s="363">
        <v>17053.95</v>
      </c>
    </row>
    <row r="1121" spans="2:3" x14ac:dyDescent="0.3">
      <c r="B1121" s="440">
        <v>44526</v>
      </c>
      <c r="C1121" s="363">
        <v>17026.45</v>
      </c>
    </row>
    <row r="1122" spans="2:3" x14ac:dyDescent="0.3">
      <c r="B1122" s="440">
        <v>44525</v>
      </c>
      <c r="C1122" s="363">
        <v>17536.25</v>
      </c>
    </row>
    <row r="1123" spans="2:3" x14ac:dyDescent="0.3">
      <c r="B1123" s="440">
        <v>44524</v>
      </c>
      <c r="C1123" s="363">
        <v>17415.05</v>
      </c>
    </row>
    <row r="1124" spans="2:3" x14ac:dyDescent="0.3">
      <c r="B1124" s="440">
        <v>44523</v>
      </c>
      <c r="C1124" s="363">
        <v>17503.349999999999</v>
      </c>
    </row>
    <row r="1125" spans="2:3" x14ac:dyDescent="0.3">
      <c r="B1125" s="440">
        <v>44522</v>
      </c>
      <c r="C1125" s="363">
        <v>17416.55</v>
      </c>
    </row>
    <row r="1126" spans="2:3" x14ac:dyDescent="0.3">
      <c r="B1126" s="440">
        <v>44518</v>
      </c>
      <c r="C1126" s="363">
        <v>17764.8</v>
      </c>
    </row>
    <row r="1127" spans="2:3" x14ac:dyDescent="0.3">
      <c r="B1127" s="440">
        <v>44517</v>
      </c>
      <c r="C1127" s="363">
        <v>17898.650000000001</v>
      </c>
    </row>
    <row r="1128" spans="2:3" x14ac:dyDescent="0.3">
      <c r="B1128" s="440">
        <v>44516</v>
      </c>
      <c r="C1128" s="363">
        <v>17999.2</v>
      </c>
    </row>
    <row r="1129" spans="2:3" x14ac:dyDescent="0.3">
      <c r="B1129" s="440">
        <v>44515</v>
      </c>
      <c r="C1129" s="363">
        <v>18109.45</v>
      </c>
    </row>
    <row r="1130" spans="2:3" x14ac:dyDescent="0.3">
      <c r="B1130" s="440">
        <v>44512</v>
      </c>
      <c r="C1130" s="363">
        <v>18102.75</v>
      </c>
    </row>
    <row r="1131" spans="2:3" x14ac:dyDescent="0.3">
      <c r="B1131" s="440">
        <v>44511</v>
      </c>
      <c r="C1131" s="363">
        <v>17873.599999999999</v>
      </c>
    </row>
    <row r="1132" spans="2:3" x14ac:dyDescent="0.3">
      <c r="B1132" s="440">
        <v>44510</v>
      </c>
      <c r="C1132" s="363">
        <v>18017.2</v>
      </c>
    </row>
    <row r="1133" spans="2:3" x14ac:dyDescent="0.3">
      <c r="B1133" s="440">
        <v>44509</v>
      </c>
      <c r="C1133" s="363">
        <v>18044.25</v>
      </c>
    </row>
    <row r="1134" spans="2:3" x14ac:dyDescent="0.3">
      <c r="B1134" s="440">
        <v>44508</v>
      </c>
      <c r="C1134" s="363">
        <v>18068.55</v>
      </c>
    </row>
    <row r="1135" spans="2:3" x14ac:dyDescent="0.3">
      <c r="B1135" s="440">
        <v>44504</v>
      </c>
      <c r="C1135" s="363">
        <v>17916.8</v>
      </c>
    </row>
    <row r="1136" spans="2:3" x14ac:dyDescent="0.3">
      <c r="B1136" s="440">
        <v>44503</v>
      </c>
      <c r="C1136" s="363">
        <v>17829.2</v>
      </c>
    </row>
    <row r="1137" spans="2:3" x14ac:dyDescent="0.3">
      <c r="B1137" s="440">
        <v>44502</v>
      </c>
      <c r="C1137" s="363">
        <v>17888.95</v>
      </c>
    </row>
    <row r="1138" spans="2:3" x14ac:dyDescent="0.3">
      <c r="B1138" s="440">
        <v>44501</v>
      </c>
      <c r="C1138" s="363">
        <v>17929.650000000001</v>
      </c>
    </row>
    <row r="1139" spans="2:3" x14ac:dyDescent="0.3">
      <c r="B1139" s="440">
        <v>44498</v>
      </c>
      <c r="C1139" s="363">
        <v>17671.650000000001</v>
      </c>
    </row>
    <row r="1140" spans="2:3" x14ac:dyDescent="0.3">
      <c r="B1140" s="440">
        <v>44497</v>
      </c>
      <c r="C1140" s="363">
        <v>17857.25</v>
      </c>
    </row>
    <row r="1141" spans="2:3" x14ac:dyDescent="0.3">
      <c r="B1141" s="440">
        <v>44496</v>
      </c>
      <c r="C1141" s="363">
        <v>18210.95</v>
      </c>
    </row>
    <row r="1142" spans="2:3" x14ac:dyDescent="0.3">
      <c r="B1142" s="440">
        <v>44495</v>
      </c>
      <c r="C1142" s="363">
        <v>18268.400000000001</v>
      </c>
    </row>
    <row r="1143" spans="2:3" x14ac:dyDescent="0.3">
      <c r="B1143" s="440">
        <v>44494</v>
      </c>
      <c r="C1143" s="363">
        <v>18125.400000000001</v>
      </c>
    </row>
    <row r="1144" spans="2:3" x14ac:dyDescent="0.3">
      <c r="B1144" s="440">
        <v>44491</v>
      </c>
      <c r="C1144" s="363">
        <v>18114.900000000001</v>
      </c>
    </row>
    <row r="1145" spans="2:3" x14ac:dyDescent="0.3">
      <c r="B1145" s="440">
        <v>44490</v>
      </c>
      <c r="C1145" s="363">
        <v>18178.099999999999</v>
      </c>
    </row>
    <row r="1146" spans="2:3" x14ac:dyDescent="0.3">
      <c r="B1146" s="440">
        <v>44489</v>
      </c>
      <c r="C1146" s="363">
        <v>18266.599999999999</v>
      </c>
    </row>
    <row r="1147" spans="2:3" x14ac:dyDescent="0.3">
      <c r="B1147" s="440">
        <v>44488</v>
      </c>
      <c r="C1147" s="363">
        <v>18418.75</v>
      </c>
    </row>
    <row r="1148" spans="2:3" x14ac:dyDescent="0.3">
      <c r="B1148" s="440">
        <v>44487</v>
      </c>
      <c r="C1148" s="363">
        <v>18477.05</v>
      </c>
    </row>
    <row r="1149" spans="2:3" x14ac:dyDescent="0.3">
      <c r="B1149" s="440">
        <v>44483</v>
      </c>
      <c r="C1149" s="363">
        <v>18338.55</v>
      </c>
    </row>
    <row r="1150" spans="2:3" x14ac:dyDescent="0.3">
      <c r="B1150" s="440">
        <v>44482</v>
      </c>
      <c r="C1150" s="363">
        <v>18161.75</v>
      </c>
    </row>
    <row r="1151" spans="2:3" x14ac:dyDescent="0.3">
      <c r="B1151" s="440">
        <v>44481</v>
      </c>
      <c r="C1151" s="363">
        <v>17991.95</v>
      </c>
    </row>
    <row r="1152" spans="2:3" x14ac:dyDescent="0.3">
      <c r="B1152" s="440">
        <v>44480</v>
      </c>
      <c r="C1152" s="363">
        <v>17945.95</v>
      </c>
    </row>
    <row r="1153" spans="2:3" x14ac:dyDescent="0.3">
      <c r="B1153" s="440">
        <v>44477</v>
      </c>
      <c r="C1153" s="363">
        <v>17895.2</v>
      </c>
    </row>
    <row r="1154" spans="2:3" x14ac:dyDescent="0.3">
      <c r="B1154" s="440">
        <v>44476</v>
      </c>
      <c r="C1154" s="363">
        <v>17790.349999999999</v>
      </c>
    </row>
    <row r="1155" spans="2:3" x14ac:dyDescent="0.3">
      <c r="B1155" s="440">
        <v>44475</v>
      </c>
      <c r="C1155" s="363">
        <v>17646</v>
      </c>
    </row>
    <row r="1156" spans="2:3" x14ac:dyDescent="0.3">
      <c r="B1156" s="440">
        <v>44474</v>
      </c>
      <c r="C1156" s="363">
        <v>17822.3</v>
      </c>
    </row>
    <row r="1157" spans="2:3" x14ac:dyDescent="0.3">
      <c r="B1157" s="440">
        <v>44473</v>
      </c>
      <c r="C1157" s="363">
        <v>17691.25</v>
      </c>
    </row>
    <row r="1158" spans="2:3" x14ac:dyDescent="0.3">
      <c r="B1158" s="440">
        <v>44470</v>
      </c>
      <c r="C1158" s="363">
        <v>17532.05</v>
      </c>
    </row>
    <row r="1159" spans="2:3" x14ac:dyDescent="0.3">
      <c r="B1159" s="440">
        <v>44469</v>
      </c>
      <c r="C1159" s="363">
        <v>17618.150000000001</v>
      </c>
    </row>
    <row r="1160" spans="2:3" x14ac:dyDescent="0.3">
      <c r="B1160" s="440">
        <v>44468</v>
      </c>
      <c r="C1160" s="363">
        <v>17711.3</v>
      </c>
    </row>
    <row r="1161" spans="2:3" x14ac:dyDescent="0.3">
      <c r="B1161" s="440">
        <v>44467</v>
      </c>
      <c r="C1161" s="363">
        <v>17748.599999999999</v>
      </c>
    </row>
    <row r="1162" spans="2:3" x14ac:dyDescent="0.3">
      <c r="B1162" s="440">
        <v>44466</v>
      </c>
      <c r="C1162" s="363">
        <v>17855.099999999999</v>
      </c>
    </row>
    <row r="1163" spans="2:3" x14ac:dyDescent="0.3">
      <c r="B1163" s="440">
        <v>44463</v>
      </c>
      <c r="C1163" s="363">
        <v>17853.2</v>
      </c>
    </row>
    <row r="1164" spans="2:3" x14ac:dyDescent="0.3">
      <c r="B1164" s="440">
        <v>44462</v>
      </c>
      <c r="C1164" s="363">
        <v>17822.95</v>
      </c>
    </row>
    <row r="1165" spans="2:3" x14ac:dyDescent="0.3">
      <c r="B1165" s="440">
        <v>44461</v>
      </c>
      <c r="C1165" s="363">
        <v>17546.650000000001</v>
      </c>
    </row>
    <row r="1166" spans="2:3" x14ac:dyDescent="0.3">
      <c r="B1166" s="440">
        <v>44460</v>
      </c>
      <c r="C1166" s="363">
        <v>17562</v>
      </c>
    </row>
    <row r="1167" spans="2:3" x14ac:dyDescent="0.3">
      <c r="B1167" s="440">
        <v>44459</v>
      </c>
      <c r="C1167" s="363">
        <v>17396.900000000001</v>
      </c>
    </row>
    <row r="1168" spans="2:3" x14ac:dyDescent="0.3">
      <c r="B1168" s="440">
        <v>44456</v>
      </c>
      <c r="C1168" s="363">
        <v>17585.150000000001</v>
      </c>
    </row>
    <row r="1169" spans="2:3" x14ac:dyDescent="0.3">
      <c r="B1169" s="440">
        <v>44455</v>
      </c>
      <c r="C1169" s="363">
        <v>17629.5</v>
      </c>
    </row>
    <row r="1170" spans="2:3" x14ac:dyDescent="0.3">
      <c r="B1170" s="440">
        <v>44454</v>
      </c>
      <c r="C1170" s="363">
        <v>17519.45</v>
      </c>
    </row>
    <row r="1171" spans="2:3" x14ac:dyDescent="0.3">
      <c r="B1171" s="440">
        <v>44453</v>
      </c>
      <c r="C1171" s="363">
        <v>17380</v>
      </c>
    </row>
    <row r="1172" spans="2:3" x14ac:dyDescent="0.3">
      <c r="B1172" s="440">
        <v>44452</v>
      </c>
      <c r="C1172" s="363">
        <v>17355.3</v>
      </c>
    </row>
    <row r="1173" spans="2:3" x14ac:dyDescent="0.3">
      <c r="B1173" s="440">
        <v>44448</v>
      </c>
      <c r="C1173" s="363">
        <v>17369.25</v>
      </c>
    </row>
    <row r="1174" spans="2:3" x14ac:dyDescent="0.3">
      <c r="B1174" s="440">
        <v>44447</v>
      </c>
      <c r="C1174" s="363">
        <v>17353.5</v>
      </c>
    </row>
    <row r="1175" spans="2:3" x14ac:dyDescent="0.3">
      <c r="B1175" s="440">
        <v>44446</v>
      </c>
      <c r="C1175" s="363">
        <v>17362.099999999999</v>
      </c>
    </row>
    <row r="1176" spans="2:3" x14ac:dyDescent="0.3">
      <c r="B1176" s="440">
        <v>44445</v>
      </c>
      <c r="C1176" s="363">
        <v>17377.8</v>
      </c>
    </row>
    <row r="1177" spans="2:3" x14ac:dyDescent="0.3">
      <c r="B1177" s="440">
        <v>44442</v>
      </c>
      <c r="C1177" s="363">
        <v>17323.599999999999</v>
      </c>
    </row>
    <row r="1178" spans="2:3" x14ac:dyDescent="0.3">
      <c r="B1178" s="440">
        <v>44441</v>
      </c>
      <c r="C1178" s="363">
        <v>17234.150000000001</v>
      </c>
    </row>
    <row r="1179" spans="2:3" x14ac:dyDescent="0.3">
      <c r="B1179" s="440">
        <v>44440</v>
      </c>
      <c r="C1179" s="363">
        <v>17076.25</v>
      </c>
    </row>
    <row r="1180" spans="2:3" x14ac:dyDescent="0.3">
      <c r="B1180" s="440">
        <v>44439</v>
      </c>
      <c r="C1180" s="363">
        <v>17132.2</v>
      </c>
    </row>
    <row r="1181" spans="2:3" x14ac:dyDescent="0.3">
      <c r="B1181" s="440">
        <v>44438</v>
      </c>
      <c r="C1181" s="363">
        <v>16931.05</v>
      </c>
    </row>
    <row r="1182" spans="2:3" x14ac:dyDescent="0.3">
      <c r="B1182" s="440">
        <v>44435</v>
      </c>
      <c r="C1182" s="363">
        <v>16705.2</v>
      </c>
    </row>
    <row r="1183" spans="2:3" x14ac:dyDescent="0.3">
      <c r="B1183" s="440">
        <v>44434</v>
      </c>
      <c r="C1183" s="363">
        <v>16636.900000000001</v>
      </c>
    </row>
    <row r="1184" spans="2:3" x14ac:dyDescent="0.3">
      <c r="B1184" s="440">
        <v>44433</v>
      </c>
      <c r="C1184" s="363">
        <v>16634.650000000001</v>
      </c>
    </row>
    <row r="1185" spans="2:3" x14ac:dyDescent="0.3">
      <c r="B1185" s="440">
        <v>44432</v>
      </c>
      <c r="C1185" s="363">
        <v>16624.599999999999</v>
      </c>
    </row>
    <row r="1186" spans="2:3" x14ac:dyDescent="0.3">
      <c r="B1186" s="440">
        <v>44431</v>
      </c>
      <c r="C1186" s="363">
        <v>16496.45</v>
      </c>
    </row>
    <row r="1187" spans="2:3" x14ac:dyDescent="0.3">
      <c r="B1187" s="440">
        <v>44428</v>
      </c>
      <c r="C1187" s="363">
        <v>16450.5</v>
      </c>
    </row>
    <row r="1188" spans="2:3" x14ac:dyDescent="0.3">
      <c r="B1188" s="440">
        <v>44426</v>
      </c>
      <c r="C1188" s="363">
        <v>16568.849999999999</v>
      </c>
    </row>
    <row r="1189" spans="2:3" x14ac:dyDescent="0.3">
      <c r="B1189" s="440">
        <v>44425</v>
      </c>
      <c r="C1189" s="363">
        <v>16614.599999999999</v>
      </c>
    </row>
    <row r="1190" spans="2:3" x14ac:dyDescent="0.3">
      <c r="B1190" s="440">
        <v>44424</v>
      </c>
      <c r="C1190" s="363">
        <v>16563.05</v>
      </c>
    </row>
    <row r="1191" spans="2:3" x14ac:dyDescent="0.3">
      <c r="B1191" s="440">
        <v>44421</v>
      </c>
      <c r="C1191" s="363">
        <v>16529.099999999999</v>
      </c>
    </row>
    <row r="1192" spans="2:3" x14ac:dyDescent="0.3">
      <c r="B1192" s="440">
        <v>44420</v>
      </c>
      <c r="C1192" s="363">
        <v>16364.4</v>
      </c>
    </row>
    <row r="1193" spans="2:3" x14ac:dyDescent="0.3">
      <c r="B1193" s="440">
        <v>44419</v>
      </c>
      <c r="C1193" s="363">
        <v>16282.25</v>
      </c>
    </row>
    <row r="1194" spans="2:3" x14ac:dyDescent="0.3">
      <c r="B1194" s="440">
        <v>44418</v>
      </c>
      <c r="C1194" s="363">
        <v>16280.1</v>
      </c>
    </row>
    <row r="1195" spans="2:3" x14ac:dyDescent="0.3">
      <c r="B1195" s="440">
        <v>44417</v>
      </c>
      <c r="C1195" s="363">
        <v>16258.25</v>
      </c>
    </row>
    <row r="1196" spans="2:3" x14ac:dyDescent="0.3">
      <c r="B1196" s="440">
        <v>44414</v>
      </c>
      <c r="C1196" s="363">
        <v>16238.2</v>
      </c>
    </row>
    <row r="1197" spans="2:3" x14ac:dyDescent="0.3">
      <c r="B1197" s="440">
        <v>44413</v>
      </c>
      <c r="C1197" s="363">
        <v>16294.6</v>
      </c>
    </row>
    <row r="1198" spans="2:3" x14ac:dyDescent="0.3">
      <c r="B1198" s="440">
        <v>44412</v>
      </c>
      <c r="C1198" s="363">
        <v>16258.8</v>
      </c>
    </row>
    <row r="1199" spans="2:3" x14ac:dyDescent="0.3">
      <c r="B1199" s="440">
        <v>44411</v>
      </c>
      <c r="C1199" s="363">
        <v>16130.75</v>
      </c>
    </row>
    <row r="1200" spans="2:3" x14ac:dyDescent="0.3">
      <c r="B1200" s="440">
        <v>44410</v>
      </c>
      <c r="C1200" s="363">
        <v>15885.15</v>
      </c>
    </row>
    <row r="1201" spans="2:3" x14ac:dyDescent="0.3">
      <c r="B1201" s="440">
        <v>44407</v>
      </c>
      <c r="C1201" s="363">
        <v>15763.05</v>
      </c>
    </row>
    <row r="1202" spans="2:3" x14ac:dyDescent="0.3">
      <c r="B1202" s="440">
        <v>44406</v>
      </c>
      <c r="C1202" s="363">
        <v>15778.45</v>
      </c>
    </row>
    <row r="1203" spans="2:3" x14ac:dyDescent="0.3">
      <c r="B1203" s="440">
        <v>44405</v>
      </c>
      <c r="C1203" s="363">
        <v>15709.4</v>
      </c>
    </row>
    <row r="1204" spans="2:3" x14ac:dyDescent="0.3">
      <c r="B1204" s="440">
        <v>44404</v>
      </c>
      <c r="C1204" s="363">
        <v>15746.45</v>
      </c>
    </row>
    <row r="1205" spans="2:3" x14ac:dyDescent="0.3">
      <c r="B1205" s="440">
        <v>44403</v>
      </c>
      <c r="C1205" s="363">
        <v>15824.45</v>
      </c>
    </row>
    <row r="1206" spans="2:3" x14ac:dyDescent="0.3">
      <c r="B1206" s="440">
        <v>44400</v>
      </c>
      <c r="C1206" s="363">
        <v>15856.05</v>
      </c>
    </row>
    <row r="1207" spans="2:3" x14ac:dyDescent="0.3">
      <c r="B1207" s="440">
        <v>44399</v>
      </c>
      <c r="C1207" s="363">
        <v>15824.05</v>
      </c>
    </row>
    <row r="1208" spans="2:3" x14ac:dyDescent="0.3">
      <c r="B1208" s="440">
        <v>44397</v>
      </c>
      <c r="C1208" s="363">
        <v>15632.1</v>
      </c>
    </row>
    <row r="1209" spans="2:3" x14ac:dyDescent="0.3">
      <c r="B1209" s="440">
        <v>44396</v>
      </c>
      <c r="C1209" s="363">
        <v>15752.4</v>
      </c>
    </row>
    <row r="1210" spans="2:3" x14ac:dyDescent="0.3">
      <c r="B1210" s="440">
        <v>44393</v>
      </c>
      <c r="C1210" s="363">
        <v>15923.4</v>
      </c>
    </row>
    <row r="1211" spans="2:3" x14ac:dyDescent="0.3">
      <c r="B1211" s="440">
        <v>44392</v>
      </c>
      <c r="C1211" s="363">
        <v>15924.2</v>
      </c>
    </row>
    <row r="1212" spans="2:3" x14ac:dyDescent="0.3">
      <c r="B1212" s="440">
        <v>44391</v>
      </c>
      <c r="C1212" s="363">
        <v>15853.95</v>
      </c>
    </row>
    <row r="1213" spans="2:3" x14ac:dyDescent="0.3">
      <c r="B1213" s="440">
        <v>44390</v>
      </c>
      <c r="C1213" s="363">
        <v>15812.35</v>
      </c>
    </row>
    <row r="1214" spans="2:3" x14ac:dyDescent="0.3">
      <c r="B1214" s="440">
        <v>44389</v>
      </c>
      <c r="C1214" s="363">
        <v>15692.6</v>
      </c>
    </row>
    <row r="1215" spans="2:3" x14ac:dyDescent="0.3">
      <c r="B1215" s="440">
        <v>44386</v>
      </c>
      <c r="C1215" s="363">
        <v>15689.8</v>
      </c>
    </row>
    <row r="1216" spans="2:3" x14ac:dyDescent="0.3">
      <c r="B1216" s="440">
        <v>44385</v>
      </c>
      <c r="C1216" s="363">
        <v>15727.9</v>
      </c>
    </row>
    <row r="1217" spans="2:3" x14ac:dyDescent="0.3">
      <c r="B1217" s="440">
        <v>44384</v>
      </c>
      <c r="C1217" s="363">
        <v>15879.65</v>
      </c>
    </row>
    <row r="1218" spans="2:3" x14ac:dyDescent="0.3">
      <c r="B1218" s="440">
        <v>44383</v>
      </c>
      <c r="C1218" s="363">
        <v>15818.25</v>
      </c>
    </row>
    <row r="1219" spans="2:3" x14ac:dyDescent="0.3">
      <c r="B1219" s="440">
        <v>44382</v>
      </c>
      <c r="C1219" s="363">
        <v>15834.35</v>
      </c>
    </row>
    <row r="1220" spans="2:3" x14ac:dyDescent="0.3">
      <c r="B1220" s="440">
        <v>44379</v>
      </c>
      <c r="C1220" s="363">
        <v>15722.2</v>
      </c>
    </row>
    <row r="1221" spans="2:3" x14ac:dyDescent="0.3">
      <c r="B1221" s="440">
        <v>44378</v>
      </c>
      <c r="C1221" s="363">
        <v>15680</v>
      </c>
    </row>
    <row r="1222" spans="2:3" x14ac:dyDescent="0.3">
      <c r="B1222" s="440">
        <v>44377</v>
      </c>
      <c r="C1222" s="363">
        <v>15721.5</v>
      </c>
    </row>
    <row r="1223" spans="2:3" x14ac:dyDescent="0.3">
      <c r="B1223" s="440">
        <v>44376</v>
      </c>
      <c r="C1223" s="363">
        <v>15748.45</v>
      </c>
    </row>
    <row r="1224" spans="2:3" x14ac:dyDescent="0.3">
      <c r="B1224" s="440">
        <v>44375</v>
      </c>
      <c r="C1224" s="363">
        <v>15814.7</v>
      </c>
    </row>
    <row r="1225" spans="2:3" x14ac:dyDescent="0.3">
      <c r="B1225" s="440">
        <v>44372</v>
      </c>
      <c r="C1225" s="363">
        <v>15860.35</v>
      </c>
    </row>
    <row r="1226" spans="2:3" x14ac:dyDescent="0.3">
      <c r="B1226" s="440">
        <v>44371</v>
      </c>
      <c r="C1226" s="363">
        <v>15790.45</v>
      </c>
    </row>
    <row r="1227" spans="2:3" x14ac:dyDescent="0.3">
      <c r="B1227" s="440">
        <v>44370</v>
      </c>
      <c r="C1227" s="363">
        <v>15686.95</v>
      </c>
    </row>
    <row r="1228" spans="2:3" x14ac:dyDescent="0.3">
      <c r="B1228" s="440">
        <v>44369</v>
      </c>
      <c r="C1228" s="363">
        <v>15772.75</v>
      </c>
    </row>
    <row r="1229" spans="2:3" x14ac:dyDescent="0.3">
      <c r="B1229" s="440">
        <v>44368</v>
      </c>
      <c r="C1229" s="363">
        <v>15746.5</v>
      </c>
    </row>
    <row r="1230" spans="2:3" x14ac:dyDescent="0.3">
      <c r="B1230" s="440">
        <v>44365</v>
      </c>
      <c r="C1230" s="363">
        <v>15683.35</v>
      </c>
    </row>
    <row r="1231" spans="2:3" x14ac:dyDescent="0.3">
      <c r="B1231" s="440">
        <v>44364</v>
      </c>
      <c r="C1231" s="363">
        <v>15691.4</v>
      </c>
    </row>
    <row r="1232" spans="2:3" x14ac:dyDescent="0.3">
      <c r="B1232" s="440">
        <v>44363</v>
      </c>
      <c r="C1232" s="363">
        <v>15767.55</v>
      </c>
    </row>
    <row r="1233" spans="2:3" x14ac:dyDescent="0.3">
      <c r="B1233" s="440">
        <v>44362</v>
      </c>
      <c r="C1233" s="363">
        <v>15869.25</v>
      </c>
    </row>
    <row r="1234" spans="2:3" x14ac:dyDescent="0.3">
      <c r="B1234" s="440">
        <v>44361</v>
      </c>
      <c r="C1234" s="363">
        <v>15811.85</v>
      </c>
    </row>
    <row r="1235" spans="2:3" x14ac:dyDescent="0.3">
      <c r="B1235" s="440">
        <v>44358</v>
      </c>
      <c r="C1235" s="363">
        <v>15799.35</v>
      </c>
    </row>
    <row r="1236" spans="2:3" x14ac:dyDescent="0.3">
      <c r="B1236" s="440">
        <v>44357</v>
      </c>
      <c r="C1236" s="363">
        <v>15737.75</v>
      </c>
    </row>
    <row r="1237" spans="2:3" x14ac:dyDescent="0.3">
      <c r="B1237" s="440">
        <v>44356</v>
      </c>
      <c r="C1237" s="363">
        <v>15635.35</v>
      </c>
    </row>
    <row r="1238" spans="2:3" x14ac:dyDescent="0.3">
      <c r="B1238" s="440">
        <v>44355</v>
      </c>
      <c r="C1238" s="363">
        <v>15740.1</v>
      </c>
    </row>
    <row r="1239" spans="2:3" x14ac:dyDescent="0.3">
      <c r="B1239" s="440">
        <v>44354</v>
      </c>
      <c r="C1239" s="363">
        <v>15751.65</v>
      </c>
    </row>
    <row r="1240" spans="2:3" x14ac:dyDescent="0.3">
      <c r="B1240" s="440">
        <v>44351</v>
      </c>
      <c r="C1240" s="363">
        <v>15670.25</v>
      </c>
    </row>
    <row r="1241" spans="2:3" x14ac:dyDescent="0.3">
      <c r="B1241" s="440">
        <v>44350</v>
      </c>
      <c r="C1241" s="363">
        <v>15690.35</v>
      </c>
    </row>
    <row r="1242" spans="2:3" x14ac:dyDescent="0.3">
      <c r="B1242" s="440">
        <v>44349</v>
      </c>
      <c r="C1242" s="363">
        <v>15576.2</v>
      </c>
    </row>
    <row r="1243" spans="2:3" x14ac:dyDescent="0.3">
      <c r="B1243" s="440">
        <v>44348</v>
      </c>
      <c r="C1243" s="363">
        <v>15574.85</v>
      </c>
    </row>
    <row r="1244" spans="2:3" x14ac:dyDescent="0.3">
      <c r="B1244" s="440">
        <v>44347</v>
      </c>
      <c r="C1244" s="363">
        <v>15582.8</v>
      </c>
    </row>
    <row r="1245" spans="2:3" x14ac:dyDescent="0.3">
      <c r="B1245" s="440">
        <v>44344</v>
      </c>
      <c r="C1245" s="363">
        <v>15435.65</v>
      </c>
    </row>
    <row r="1246" spans="2:3" x14ac:dyDescent="0.3">
      <c r="B1246" s="440">
        <v>44343</v>
      </c>
      <c r="C1246" s="363">
        <v>15337.85</v>
      </c>
    </row>
    <row r="1247" spans="2:3" x14ac:dyDescent="0.3">
      <c r="B1247" s="440">
        <v>44342</v>
      </c>
      <c r="C1247" s="363">
        <v>15301.45</v>
      </c>
    </row>
    <row r="1248" spans="2:3" x14ac:dyDescent="0.3">
      <c r="B1248" s="440">
        <v>44341</v>
      </c>
      <c r="C1248" s="363">
        <v>15208.45</v>
      </c>
    </row>
    <row r="1249" spans="2:3" x14ac:dyDescent="0.3">
      <c r="B1249" s="440">
        <v>44340</v>
      </c>
      <c r="C1249" s="363">
        <v>15197.7</v>
      </c>
    </row>
    <row r="1250" spans="2:3" x14ac:dyDescent="0.3">
      <c r="B1250" s="440">
        <v>44337</v>
      </c>
      <c r="C1250" s="363">
        <v>15175.3</v>
      </c>
    </row>
    <row r="1251" spans="2:3" x14ac:dyDescent="0.3">
      <c r="B1251" s="440">
        <v>44336</v>
      </c>
      <c r="C1251" s="363">
        <v>14906.05</v>
      </c>
    </row>
    <row r="1252" spans="2:3" x14ac:dyDescent="0.3">
      <c r="B1252" s="440">
        <v>44335</v>
      </c>
      <c r="C1252" s="363">
        <v>15030.15</v>
      </c>
    </row>
    <row r="1253" spans="2:3" x14ac:dyDescent="0.3">
      <c r="B1253" s="440">
        <v>44334</v>
      </c>
      <c r="C1253" s="363">
        <v>15108.1</v>
      </c>
    </row>
    <row r="1254" spans="2:3" x14ac:dyDescent="0.3">
      <c r="B1254" s="440">
        <v>44333</v>
      </c>
      <c r="C1254" s="363">
        <v>14923.15</v>
      </c>
    </row>
    <row r="1255" spans="2:3" x14ac:dyDescent="0.3">
      <c r="B1255" s="440">
        <v>44330</v>
      </c>
      <c r="C1255" s="363">
        <v>14677.8</v>
      </c>
    </row>
    <row r="1256" spans="2:3" x14ac:dyDescent="0.3">
      <c r="B1256" s="440">
        <v>44328</v>
      </c>
      <c r="C1256" s="363">
        <v>14696.5</v>
      </c>
    </row>
    <row r="1257" spans="2:3" x14ac:dyDescent="0.3">
      <c r="B1257" s="440">
        <v>44327</v>
      </c>
      <c r="C1257" s="363">
        <v>14850.75</v>
      </c>
    </row>
    <row r="1258" spans="2:3" x14ac:dyDescent="0.3">
      <c r="B1258" s="440">
        <v>44326</v>
      </c>
      <c r="C1258" s="363">
        <v>14942.35</v>
      </c>
    </row>
    <row r="1259" spans="2:3" x14ac:dyDescent="0.3">
      <c r="B1259" s="440">
        <v>44323</v>
      </c>
      <c r="C1259" s="363">
        <v>14823.15</v>
      </c>
    </row>
    <row r="1260" spans="2:3" x14ac:dyDescent="0.3">
      <c r="B1260" s="440">
        <v>44322</v>
      </c>
      <c r="C1260" s="363">
        <v>14724.8</v>
      </c>
    </row>
    <row r="1261" spans="2:3" x14ac:dyDescent="0.3">
      <c r="B1261" s="440">
        <v>44321</v>
      </c>
      <c r="C1261" s="363">
        <v>14617.85</v>
      </c>
    </row>
    <row r="1262" spans="2:3" x14ac:dyDescent="0.3">
      <c r="B1262" s="440">
        <v>44320</v>
      </c>
      <c r="C1262" s="363">
        <v>14496.5</v>
      </c>
    </row>
    <row r="1263" spans="2:3" x14ac:dyDescent="0.3">
      <c r="B1263" s="440">
        <v>44319</v>
      </c>
      <c r="C1263" s="363">
        <v>14634.15</v>
      </c>
    </row>
    <row r="1264" spans="2:3" x14ac:dyDescent="0.3">
      <c r="B1264" s="440">
        <v>44316</v>
      </c>
      <c r="C1264" s="363">
        <v>14631.1</v>
      </c>
    </row>
    <row r="1265" spans="2:3" x14ac:dyDescent="0.3">
      <c r="B1265" s="440">
        <v>44315</v>
      </c>
      <c r="C1265" s="363">
        <v>14894.9</v>
      </c>
    </row>
    <row r="1266" spans="2:3" x14ac:dyDescent="0.3">
      <c r="B1266" s="440">
        <v>44314</v>
      </c>
      <c r="C1266" s="363">
        <v>14864.55</v>
      </c>
    </row>
    <row r="1267" spans="2:3" x14ac:dyDescent="0.3">
      <c r="B1267" s="440">
        <v>44313</v>
      </c>
      <c r="C1267" s="363">
        <v>14653.05</v>
      </c>
    </row>
    <row r="1268" spans="2:3" x14ac:dyDescent="0.3">
      <c r="B1268" s="440">
        <v>44312</v>
      </c>
      <c r="C1268" s="363">
        <v>14485</v>
      </c>
    </row>
    <row r="1269" spans="2:3" x14ac:dyDescent="0.3">
      <c r="B1269" s="440">
        <v>44309</v>
      </c>
      <c r="C1269" s="363">
        <v>14341.35</v>
      </c>
    </row>
    <row r="1270" spans="2:3" x14ac:dyDescent="0.3">
      <c r="B1270" s="440">
        <v>44308</v>
      </c>
      <c r="C1270" s="363">
        <v>14406.15</v>
      </c>
    </row>
    <row r="1271" spans="2:3" x14ac:dyDescent="0.3">
      <c r="B1271" s="440">
        <v>44306</v>
      </c>
      <c r="C1271" s="363">
        <v>14296.4</v>
      </c>
    </row>
    <row r="1272" spans="2:3" x14ac:dyDescent="0.3">
      <c r="B1272" s="440">
        <v>44305</v>
      </c>
      <c r="C1272" s="363">
        <v>14359.45</v>
      </c>
    </row>
    <row r="1273" spans="2:3" x14ac:dyDescent="0.3">
      <c r="B1273" s="440">
        <v>44302</v>
      </c>
      <c r="C1273" s="363">
        <v>14617.85</v>
      </c>
    </row>
    <row r="1274" spans="2:3" x14ac:dyDescent="0.3">
      <c r="B1274" s="440">
        <v>44301</v>
      </c>
      <c r="C1274" s="363">
        <v>14581.45</v>
      </c>
    </row>
    <row r="1275" spans="2:3" x14ac:dyDescent="0.3">
      <c r="B1275" s="440">
        <v>44299</v>
      </c>
      <c r="C1275" s="363">
        <v>14504.8</v>
      </c>
    </row>
    <row r="1276" spans="2:3" x14ac:dyDescent="0.3">
      <c r="B1276" s="440">
        <v>44298</v>
      </c>
      <c r="C1276" s="363">
        <v>14310.8</v>
      </c>
    </row>
    <row r="1277" spans="2:3" x14ac:dyDescent="0.3">
      <c r="B1277" s="440">
        <v>44295</v>
      </c>
      <c r="C1277" s="363">
        <v>14834.85</v>
      </c>
    </row>
    <row r="1278" spans="2:3" x14ac:dyDescent="0.3">
      <c r="B1278" s="440">
        <v>44294</v>
      </c>
      <c r="C1278" s="363">
        <v>14873.8</v>
      </c>
    </row>
    <row r="1279" spans="2:3" x14ac:dyDescent="0.3">
      <c r="B1279" s="440">
        <v>44293</v>
      </c>
      <c r="C1279" s="363">
        <v>14819.05</v>
      </c>
    </row>
    <row r="1280" spans="2:3" x14ac:dyDescent="0.3">
      <c r="B1280" s="440">
        <v>44292</v>
      </c>
      <c r="C1280" s="363">
        <v>14683.5</v>
      </c>
    </row>
    <row r="1281" spans="2:3" x14ac:dyDescent="0.3">
      <c r="B1281" s="440">
        <v>44291</v>
      </c>
      <c r="C1281" s="363">
        <v>14637.8</v>
      </c>
    </row>
    <row r="1282" spans="2:3" x14ac:dyDescent="0.3">
      <c r="B1282" s="440">
        <v>44287</v>
      </c>
      <c r="C1282" s="363">
        <v>14867.35</v>
      </c>
    </row>
    <row r="1283" spans="2:3" x14ac:dyDescent="0.3">
      <c r="B1283" s="440">
        <v>44286</v>
      </c>
      <c r="C1283" s="363">
        <v>14690.7</v>
      </c>
    </row>
    <row r="1284" spans="2:3" x14ac:dyDescent="0.3">
      <c r="B1284" s="440">
        <v>44285</v>
      </c>
      <c r="C1284" s="363">
        <v>14845.1</v>
      </c>
    </row>
    <row r="1285" spans="2:3" x14ac:dyDescent="0.3">
      <c r="B1285" s="440">
        <v>44281</v>
      </c>
      <c r="C1285" s="363">
        <v>14507.3</v>
      </c>
    </row>
    <row r="1286" spans="2:3" x14ac:dyDescent="0.3">
      <c r="B1286" s="440">
        <v>44280</v>
      </c>
      <c r="C1286" s="363">
        <v>14324.9</v>
      </c>
    </row>
    <row r="1287" spans="2:3" x14ac:dyDescent="0.3">
      <c r="B1287" s="440">
        <v>44279</v>
      </c>
      <c r="C1287" s="363">
        <v>14549.4</v>
      </c>
    </row>
    <row r="1288" spans="2:3" x14ac:dyDescent="0.3">
      <c r="B1288" s="440">
        <v>44278</v>
      </c>
      <c r="C1288" s="363">
        <v>14814.75</v>
      </c>
    </row>
    <row r="1289" spans="2:3" x14ac:dyDescent="0.3">
      <c r="B1289" s="440">
        <v>44277</v>
      </c>
      <c r="C1289" s="363">
        <v>14736.4</v>
      </c>
    </row>
    <row r="1290" spans="2:3" x14ac:dyDescent="0.3">
      <c r="B1290" s="440">
        <v>44274</v>
      </c>
      <c r="C1290" s="363">
        <v>14744</v>
      </c>
    </row>
    <row r="1291" spans="2:3" x14ac:dyDescent="0.3">
      <c r="B1291" s="440">
        <v>44273</v>
      </c>
      <c r="C1291" s="363">
        <v>14557.85</v>
      </c>
    </row>
    <row r="1292" spans="2:3" x14ac:dyDescent="0.3">
      <c r="B1292" s="440">
        <v>44272</v>
      </c>
      <c r="C1292" s="363">
        <v>14721.3</v>
      </c>
    </row>
    <row r="1293" spans="2:3" x14ac:dyDescent="0.3">
      <c r="B1293" s="440">
        <v>44271</v>
      </c>
      <c r="C1293" s="363">
        <v>14910.45</v>
      </c>
    </row>
    <row r="1294" spans="2:3" x14ac:dyDescent="0.3">
      <c r="B1294" s="440">
        <v>44270</v>
      </c>
      <c r="C1294" s="363">
        <v>14929.5</v>
      </c>
    </row>
    <row r="1295" spans="2:3" x14ac:dyDescent="0.3">
      <c r="B1295" s="440">
        <v>44267</v>
      </c>
      <c r="C1295" s="363">
        <v>15030.95</v>
      </c>
    </row>
    <row r="1296" spans="2:3" x14ac:dyDescent="0.3">
      <c r="B1296" s="440">
        <v>44265</v>
      </c>
      <c r="C1296" s="363">
        <v>15174.8</v>
      </c>
    </row>
    <row r="1297" spans="2:3" x14ac:dyDescent="0.3">
      <c r="B1297" s="440">
        <v>44264</v>
      </c>
      <c r="C1297" s="363">
        <v>15098.4</v>
      </c>
    </row>
    <row r="1298" spans="2:3" x14ac:dyDescent="0.3">
      <c r="B1298" s="440">
        <v>44263</v>
      </c>
      <c r="C1298" s="363">
        <v>14956.2</v>
      </c>
    </row>
    <row r="1299" spans="2:3" x14ac:dyDescent="0.3">
      <c r="B1299" s="440">
        <v>44260</v>
      </c>
      <c r="C1299" s="363">
        <v>14938.1</v>
      </c>
    </row>
    <row r="1300" spans="2:3" x14ac:dyDescent="0.3">
      <c r="B1300" s="440">
        <v>44259</v>
      </c>
      <c r="C1300" s="363">
        <v>15080.75</v>
      </c>
    </row>
    <row r="1301" spans="2:3" x14ac:dyDescent="0.3">
      <c r="B1301" s="440">
        <v>44258</v>
      </c>
      <c r="C1301" s="363">
        <v>15245.6</v>
      </c>
    </row>
    <row r="1302" spans="2:3" x14ac:dyDescent="0.3">
      <c r="B1302" s="440">
        <v>44257</v>
      </c>
      <c r="C1302" s="363">
        <v>14919.1</v>
      </c>
    </row>
    <row r="1303" spans="2:3" x14ac:dyDescent="0.3">
      <c r="B1303" s="440">
        <v>44256</v>
      </c>
      <c r="C1303" s="363">
        <v>14761.55</v>
      </c>
    </row>
    <row r="1304" spans="2:3" x14ac:dyDescent="0.3">
      <c r="B1304" s="440">
        <v>44253</v>
      </c>
      <c r="C1304" s="363">
        <v>14529.15</v>
      </c>
    </row>
    <row r="1305" spans="2:3" x14ac:dyDescent="0.3">
      <c r="B1305" s="440">
        <v>44252</v>
      </c>
      <c r="C1305" s="363">
        <v>15097.35</v>
      </c>
    </row>
    <row r="1306" spans="2:3" x14ac:dyDescent="0.3">
      <c r="B1306" s="440">
        <v>44251</v>
      </c>
      <c r="C1306" s="363">
        <v>14982</v>
      </c>
    </row>
    <row r="1307" spans="2:3" x14ac:dyDescent="0.3">
      <c r="B1307" s="440">
        <v>44250</v>
      </c>
      <c r="C1307" s="363">
        <v>14707.8</v>
      </c>
    </row>
    <row r="1308" spans="2:3" x14ac:dyDescent="0.3">
      <c r="B1308" s="440">
        <v>44249</v>
      </c>
      <c r="C1308" s="363">
        <v>14675.7</v>
      </c>
    </row>
    <row r="1309" spans="2:3" x14ac:dyDescent="0.3">
      <c r="B1309" s="440">
        <v>44246</v>
      </c>
      <c r="C1309" s="363">
        <v>14981.75</v>
      </c>
    </row>
    <row r="1310" spans="2:3" x14ac:dyDescent="0.3">
      <c r="B1310" s="440">
        <v>44245</v>
      </c>
      <c r="C1310" s="363">
        <v>15118.95</v>
      </c>
    </row>
    <row r="1311" spans="2:3" x14ac:dyDescent="0.3">
      <c r="B1311" s="440">
        <v>44244</v>
      </c>
      <c r="C1311" s="363">
        <v>15208.9</v>
      </c>
    </row>
    <row r="1312" spans="2:3" x14ac:dyDescent="0.3">
      <c r="B1312" s="440">
        <v>44243</v>
      </c>
      <c r="C1312" s="363">
        <v>15313.45</v>
      </c>
    </row>
    <row r="1313" spans="2:3" x14ac:dyDescent="0.3">
      <c r="B1313" s="440">
        <v>44242</v>
      </c>
      <c r="C1313" s="363">
        <v>15314.7</v>
      </c>
    </row>
    <row r="1314" spans="2:3" x14ac:dyDescent="0.3">
      <c r="B1314" s="440">
        <v>44239</v>
      </c>
      <c r="C1314" s="363">
        <v>15163.3</v>
      </c>
    </row>
    <row r="1315" spans="2:3" x14ac:dyDescent="0.3">
      <c r="B1315" s="440">
        <v>44238</v>
      </c>
      <c r="C1315" s="363">
        <v>15173.3</v>
      </c>
    </row>
    <row r="1316" spans="2:3" x14ac:dyDescent="0.3">
      <c r="B1316" s="440">
        <v>44237</v>
      </c>
      <c r="C1316" s="363">
        <v>15106.5</v>
      </c>
    </row>
    <row r="1317" spans="2:3" x14ac:dyDescent="0.3">
      <c r="B1317" s="440">
        <v>44236</v>
      </c>
      <c r="C1317" s="363">
        <v>15109.3</v>
      </c>
    </row>
    <row r="1318" spans="2:3" x14ac:dyDescent="0.3">
      <c r="B1318" s="440">
        <v>44235</v>
      </c>
      <c r="C1318" s="363">
        <v>15115.8</v>
      </c>
    </row>
    <row r="1319" spans="2:3" x14ac:dyDescent="0.3">
      <c r="B1319" s="440">
        <v>44232</v>
      </c>
      <c r="C1319" s="363">
        <v>14924.25</v>
      </c>
    </row>
    <row r="1320" spans="2:3" x14ac:dyDescent="0.3">
      <c r="B1320" s="440">
        <v>44231</v>
      </c>
      <c r="C1320" s="363">
        <v>14895.65</v>
      </c>
    </row>
    <row r="1321" spans="2:3" x14ac:dyDescent="0.3">
      <c r="B1321" s="440">
        <v>44230</v>
      </c>
      <c r="C1321" s="363">
        <v>14789.95</v>
      </c>
    </row>
    <row r="1322" spans="2:3" x14ac:dyDescent="0.3">
      <c r="B1322" s="440">
        <v>44229</v>
      </c>
      <c r="C1322" s="363">
        <v>14647.85</v>
      </c>
    </row>
    <row r="1323" spans="2:3" x14ac:dyDescent="0.3">
      <c r="B1323" s="440">
        <v>44228</v>
      </c>
      <c r="C1323" s="363">
        <v>14281.2</v>
      </c>
    </row>
    <row r="1324" spans="2:3" x14ac:dyDescent="0.3">
      <c r="B1324" s="440">
        <v>44225</v>
      </c>
      <c r="C1324" s="363">
        <v>13634.6</v>
      </c>
    </row>
    <row r="1325" spans="2:3" x14ac:dyDescent="0.3">
      <c r="B1325" s="440">
        <v>44224</v>
      </c>
      <c r="C1325" s="363">
        <v>13817.55</v>
      </c>
    </row>
    <row r="1326" spans="2:3" x14ac:dyDescent="0.3">
      <c r="B1326" s="440">
        <v>44223</v>
      </c>
      <c r="C1326" s="363">
        <v>13967.5</v>
      </c>
    </row>
    <row r="1327" spans="2:3" x14ac:dyDescent="0.3">
      <c r="B1327" s="440">
        <v>44221</v>
      </c>
      <c r="C1327" s="363">
        <v>14238.9</v>
      </c>
    </row>
    <row r="1328" spans="2:3" x14ac:dyDescent="0.3">
      <c r="B1328" s="440">
        <v>44218</v>
      </c>
      <c r="C1328" s="363">
        <v>14371.9</v>
      </c>
    </row>
    <row r="1329" spans="2:3" x14ac:dyDescent="0.3">
      <c r="B1329" s="440">
        <v>44217</v>
      </c>
      <c r="C1329" s="363">
        <v>14590.35</v>
      </c>
    </row>
    <row r="1330" spans="2:3" x14ac:dyDescent="0.3">
      <c r="B1330" s="440">
        <v>44216</v>
      </c>
      <c r="C1330" s="363">
        <v>14644.7</v>
      </c>
    </row>
    <row r="1331" spans="2:3" x14ac:dyDescent="0.3">
      <c r="B1331" s="440">
        <v>44215</v>
      </c>
      <c r="C1331" s="363">
        <v>14521.15</v>
      </c>
    </row>
    <row r="1332" spans="2:3" x14ac:dyDescent="0.3">
      <c r="B1332" s="440">
        <v>44214</v>
      </c>
      <c r="C1332" s="363">
        <v>14281.3</v>
      </c>
    </row>
    <row r="1333" spans="2:3" x14ac:dyDescent="0.3">
      <c r="B1333" s="440">
        <v>44211</v>
      </c>
      <c r="C1333" s="363">
        <v>14433.7</v>
      </c>
    </row>
    <row r="1334" spans="2:3" x14ac:dyDescent="0.3">
      <c r="B1334" s="440">
        <v>44210</v>
      </c>
      <c r="C1334" s="363">
        <v>14595.6</v>
      </c>
    </row>
    <row r="1335" spans="2:3" x14ac:dyDescent="0.3">
      <c r="B1335" s="440">
        <v>44209</v>
      </c>
      <c r="C1335" s="363">
        <v>14564.85</v>
      </c>
    </row>
    <row r="1336" spans="2:3" x14ac:dyDescent="0.3">
      <c r="B1336" s="440">
        <v>44208</v>
      </c>
      <c r="C1336" s="363">
        <v>14563.45</v>
      </c>
    </row>
    <row r="1337" spans="2:3" x14ac:dyDescent="0.3">
      <c r="B1337" s="440">
        <v>44207</v>
      </c>
      <c r="C1337" s="363">
        <v>14484.75</v>
      </c>
    </row>
    <row r="1338" spans="2:3" x14ac:dyDescent="0.3">
      <c r="B1338" s="440">
        <v>44204</v>
      </c>
      <c r="C1338" s="363">
        <v>14347.25</v>
      </c>
    </row>
    <row r="1339" spans="2:3" x14ac:dyDescent="0.3">
      <c r="B1339" s="440">
        <v>44203</v>
      </c>
      <c r="C1339" s="363">
        <v>14137.35</v>
      </c>
    </row>
    <row r="1340" spans="2:3" x14ac:dyDescent="0.3">
      <c r="B1340" s="440">
        <v>44202</v>
      </c>
      <c r="C1340" s="363">
        <v>14146.25</v>
      </c>
    </row>
    <row r="1341" spans="2:3" x14ac:dyDescent="0.3">
      <c r="B1341" s="440">
        <v>44201</v>
      </c>
      <c r="C1341" s="363">
        <v>14199.5</v>
      </c>
    </row>
    <row r="1342" spans="2:3" x14ac:dyDescent="0.3">
      <c r="B1342" s="440">
        <v>44200</v>
      </c>
      <c r="C1342" s="363">
        <v>14132.9</v>
      </c>
    </row>
    <row r="1343" spans="2:3" x14ac:dyDescent="0.3">
      <c r="B1343" s="440">
        <v>44197</v>
      </c>
      <c r="C1343" s="363">
        <v>14018.5</v>
      </c>
    </row>
    <row r="1344" spans="2:3" x14ac:dyDescent="0.3">
      <c r="B1344" s="440">
        <v>44196</v>
      </c>
      <c r="C1344" s="363">
        <v>13981.75</v>
      </c>
    </row>
    <row r="1345" spans="2:3" x14ac:dyDescent="0.3">
      <c r="B1345" s="440">
        <v>44195</v>
      </c>
      <c r="C1345" s="363">
        <v>13981.95</v>
      </c>
    </row>
    <row r="1346" spans="2:3" x14ac:dyDescent="0.3">
      <c r="B1346" s="440">
        <v>44194</v>
      </c>
      <c r="C1346" s="363">
        <v>13932.6</v>
      </c>
    </row>
    <row r="1347" spans="2:3" x14ac:dyDescent="0.3">
      <c r="B1347" s="440">
        <v>44193</v>
      </c>
      <c r="C1347" s="363">
        <v>13873.2</v>
      </c>
    </row>
    <row r="1348" spans="2:3" x14ac:dyDescent="0.3">
      <c r="B1348" s="440">
        <v>44189</v>
      </c>
      <c r="C1348" s="363">
        <v>13749.25</v>
      </c>
    </row>
    <row r="1349" spans="2:3" x14ac:dyDescent="0.3">
      <c r="B1349" s="440">
        <v>44188</v>
      </c>
      <c r="C1349" s="363">
        <v>13601.1</v>
      </c>
    </row>
    <row r="1350" spans="2:3" x14ac:dyDescent="0.3">
      <c r="B1350" s="440">
        <v>44187</v>
      </c>
      <c r="C1350" s="363">
        <v>13466.3</v>
      </c>
    </row>
    <row r="1351" spans="2:3" x14ac:dyDescent="0.3">
      <c r="B1351" s="440">
        <v>44186</v>
      </c>
      <c r="C1351" s="363">
        <v>13328.4</v>
      </c>
    </row>
    <row r="1352" spans="2:3" x14ac:dyDescent="0.3">
      <c r="B1352" s="440">
        <v>44183</v>
      </c>
      <c r="C1352" s="363">
        <v>13760.55</v>
      </c>
    </row>
    <row r="1353" spans="2:3" x14ac:dyDescent="0.3">
      <c r="B1353" s="440">
        <v>44182</v>
      </c>
      <c r="C1353" s="363">
        <v>13740.7</v>
      </c>
    </row>
    <row r="1354" spans="2:3" x14ac:dyDescent="0.3">
      <c r="B1354" s="440">
        <v>44181</v>
      </c>
      <c r="C1354" s="363">
        <v>13682.7</v>
      </c>
    </row>
    <row r="1355" spans="2:3" x14ac:dyDescent="0.3">
      <c r="B1355" s="440">
        <v>44180</v>
      </c>
      <c r="C1355" s="363">
        <v>13567.85</v>
      </c>
    </row>
    <row r="1356" spans="2:3" x14ac:dyDescent="0.3">
      <c r="B1356" s="440">
        <v>44179</v>
      </c>
      <c r="C1356" s="363">
        <v>13558.15</v>
      </c>
    </row>
    <row r="1357" spans="2:3" x14ac:dyDescent="0.3">
      <c r="B1357" s="440">
        <v>44176</v>
      </c>
      <c r="C1357" s="363">
        <v>13513.85</v>
      </c>
    </row>
    <row r="1358" spans="2:3" x14ac:dyDescent="0.3">
      <c r="B1358" s="440">
        <v>44175</v>
      </c>
      <c r="C1358" s="363">
        <v>13478.3</v>
      </c>
    </row>
    <row r="1359" spans="2:3" x14ac:dyDescent="0.3">
      <c r="B1359" s="440">
        <v>44174</v>
      </c>
      <c r="C1359" s="363">
        <v>13529.1</v>
      </c>
    </row>
    <row r="1360" spans="2:3" x14ac:dyDescent="0.3">
      <c r="B1360" s="440">
        <v>44173</v>
      </c>
      <c r="C1360" s="363">
        <v>13392.95</v>
      </c>
    </row>
    <row r="1361" spans="2:3" x14ac:dyDescent="0.3">
      <c r="B1361" s="440">
        <v>44172</v>
      </c>
      <c r="C1361" s="363">
        <v>13355.75</v>
      </c>
    </row>
    <row r="1362" spans="2:3" x14ac:dyDescent="0.3">
      <c r="B1362" s="440">
        <v>44169</v>
      </c>
      <c r="C1362" s="363">
        <v>13258.55</v>
      </c>
    </row>
    <row r="1363" spans="2:3" x14ac:dyDescent="0.3">
      <c r="B1363" s="440">
        <v>44168</v>
      </c>
      <c r="C1363" s="363">
        <v>13133.9</v>
      </c>
    </row>
    <row r="1364" spans="2:3" x14ac:dyDescent="0.3">
      <c r="B1364" s="440">
        <v>44167</v>
      </c>
      <c r="C1364" s="363">
        <v>13113.75</v>
      </c>
    </row>
    <row r="1365" spans="2:3" x14ac:dyDescent="0.3">
      <c r="B1365" s="440">
        <v>44166</v>
      </c>
      <c r="C1365" s="363">
        <v>13109.05</v>
      </c>
    </row>
    <row r="1366" spans="2:3" x14ac:dyDescent="0.3">
      <c r="B1366" s="440">
        <v>44162</v>
      </c>
      <c r="C1366" s="363">
        <v>12968.95</v>
      </c>
    </row>
    <row r="1367" spans="2:3" x14ac:dyDescent="0.3">
      <c r="B1367" s="440">
        <v>44161</v>
      </c>
      <c r="C1367" s="363">
        <v>12987</v>
      </c>
    </row>
    <row r="1368" spans="2:3" x14ac:dyDescent="0.3">
      <c r="B1368" s="440">
        <v>44160</v>
      </c>
      <c r="C1368" s="363">
        <v>12858.4</v>
      </c>
    </row>
    <row r="1369" spans="2:3" x14ac:dyDescent="0.3">
      <c r="B1369" s="440">
        <v>44159</v>
      </c>
      <c r="C1369" s="363">
        <v>13055.15</v>
      </c>
    </row>
    <row r="1370" spans="2:3" x14ac:dyDescent="0.3">
      <c r="B1370" s="440">
        <v>44158</v>
      </c>
      <c r="C1370" s="363">
        <v>12926.45</v>
      </c>
    </row>
    <row r="1371" spans="2:3" x14ac:dyDescent="0.3">
      <c r="B1371" s="440">
        <v>44155</v>
      </c>
      <c r="C1371" s="363">
        <v>12859.05</v>
      </c>
    </row>
    <row r="1372" spans="2:3" x14ac:dyDescent="0.3">
      <c r="B1372" s="440">
        <v>44154</v>
      </c>
      <c r="C1372" s="363">
        <v>12771.7</v>
      </c>
    </row>
    <row r="1373" spans="2:3" x14ac:dyDescent="0.3">
      <c r="B1373" s="440">
        <v>44153</v>
      </c>
      <c r="C1373" s="363">
        <v>12938.25</v>
      </c>
    </row>
    <row r="1374" spans="2:3" x14ac:dyDescent="0.3">
      <c r="B1374" s="440">
        <v>44152</v>
      </c>
      <c r="C1374" s="363">
        <v>12874.2</v>
      </c>
    </row>
    <row r="1375" spans="2:3" x14ac:dyDescent="0.3">
      <c r="B1375" s="440">
        <v>44149</v>
      </c>
      <c r="C1375" s="363">
        <v>12780.25</v>
      </c>
    </row>
    <row r="1376" spans="2:3" x14ac:dyDescent="0.3">
      <c r="B1376" s="440">
        <v>44148</v>
      </c>
      <c r="C1376" s="363">
        <v>12719.95</v>
      </c>
    </row>
    <row r="1377" spans="2:3" x14ac:dyDescent="0.3">
      <c r="B1377" s="440">
        <v>44147</v>
      </c>
      <c r="C1377" s="363">
        <v>12690.8</v>
      </c>
    </row>
    <row r="1378" spans="2:3" x14ac:dyDescent="0.3">
      <c r="B1378" s="440">
        <v>44146</v>
      </c>
      <c r="C1378" s="363">
        <v>12749.15</v>
      </c>
    </row>
    <row r="1379" spans="2:3" x14ac:dyDescent="0.3">
      <c r="B1379" s="440">
        <v>44145</v>
      </c>
      <c r="C1379" s="363">
        <v>12631.1</v>
      </c>
    </row>
    <row r="1380" spans="2:3" x14ac:dyDescent="0.3">
      <c r="B1380" s="440">
        <v>44144</v>
      </c>
      <c r="C1380" s="363">
        <v>12461.05</v>
      </c>
    </row>
    <row r="1381" spans="2:3" x14ac:dyDescent="0.3">
      <c r="B1381" s="440">
        <v>44141</v>
      </c>
      <c r="C1381" s="363">
        <v>12263.55</v>
      </c>
    </row>
    <row r="1382" spans="2:3" x14ac:dyDescent="0.3">
      <c r="B1382" s="440">
        <v>44140</v>
      </c>
      <c r="C1382" s="363">
        <v>12120.3</v>
      </c>
    </row>
    <row r="1383" spans="2:3" x14ac:dyDescent="0.3">
      <c r="B1383" s="440">
        <v>44139</v>
      </c>
      <c r="C1383" s="363">
        <v>11908.5</v>
      </c>
    </row>
    <row r="1384" spans="2:3" x14ac:dyDescent="0.3">
      <c r="B1384" s="440">
        <v>44138</v>
      </c>
      <c r="C1384" s="363">
        <v>11813.5</v>
      </c>
    </row>
    <row r="1385" spans="2:3" x14ac:dyDescent="0.3">
      <c r="B1385" s="440">
        <v>44137</v>
      </c>
      <c r="C1385" s="363">
        <v>11669.15</v>
      </c>
    </row>
    <row r="1386" spans="2:3" x14ac:dyDescent="0.3">
      <c r="B1386" s="440">
        <v>44134</v>
      </c>
      <c r="C1386" s="363">
        <v>11642.4</v>
      </c>
    </row>
    <row r="1387" spans="2:3" x14ac:dyDescent="0.3">
      <c r="B1387" s="440">
        <v>44133</v>
      </c>
      <c r="C1387" s="363">
        <v>11670.8</v>
      </c>
    </row>
    <row r="1388" spans="2:3" x14ac:dyDescent="0.3">
      <c r="B1388" s="440">
        <v>44132</v>
      </c>
      <c r="C1388" s="363">
        <v>11729.6</v>
      </c>
    </row>
    <row r="1389" spans="2:3" x14ac:dyDescent="0.3">
      <c r="B1389" s="440">
        <v>44131</v>
      </c>
      <c r="C1389" s="363">
        <v>11889.4</v>
      </c>
    </row>
    <row r="1390" spans="2:3" x14ac:dyDescent="0.3">
      <c r="B1390" s="440">
        <v>44130</v>
      </c>
      <c r="C1390" s="363">
        <v>11767.75</v>
      </c>
    </row>
    <row r="1391" spans="2:3" x14ac:dyDescent="0.3">
      <c r="B1391" s="440">
        <v>44127</v>
      </c>
      <c r="C1391" s="363">
        <v>11930.35</v>
      </c>
    </row>
    <row r="1392" spans="2:3" x14ac:dyDescent="0.3">
      <c r="B1392" s="440">
        <v>44126</v>
      </c>
      <c r="C1392" s="363">
        <v>11896.45</v>
      </c>
    </row>
    <row r="1393" spans="2:3" x14ac:dyDescent="0.3">
      <c r="B1393" s="440">
        <v>44125</v>
      </c>
      <c r="C1393" s="363">
        <v>11937.65</v>
      </c>
    </row>
    <row r="1394" spans="2:3" x14ac:dyDescent="0.3">
      <c r="B1394" s="440">
        <v>44124</v>
      </c>
      <c r="C1394" s="363">
        <v>11896.8</v>
      </c>
    </row>
    <row r="1395" spans="2:3" x14ac:dyDescent="0.3">
      <c r="B1395" s="440">
        <v>44123</v>
      </c>
      <c r="C1395" s="363">
        <v>11873.05</v>
      </c>
    </row>
    <row r="1396" spans="2:3" x14ac:dyDescent="0.3">
      <c r="B1396" s="440">
        <v>44120</v>
      </c>
      <c r="C1396" s="363">
        <v>11762.45</v>
      </c>
    </row>
    <row r="1397" spans="2:3" x14ac:dyDescent="0.3">
      <c r="B1397" s="440">
        <v>44119</v>
      </c>
      <c r="C1397" s="363">
        <v>11680.35</v>
      </c>
    </row>
    <row r="1398" spans="2:3" x14ac:dyDescent="0.3">
      <c r="B1398" s="440">
        <v>44118</v>
      </c>
      <c r="C1398" s="363">
        <v>11971.05</v>
      </c>
    </row>
    <row r="1399" spans="2:3" x14ac:dyDescent="0.3">
      <c r="B1399" s="440">
        <v>44117</v>
      </c>
      <c r="C1399" s="363">
        <v>11934.5</v>
      </c>
    </row>
    <row r="1400" spans="2:3" x14ac:dyDescent="0.3">
      <c r="B1400" s="440">
        <v>44116</v>
      </c>
      <c r="C1400" s="363">
        <v>11930.95</v>
      </c>
    </row>
    <row r="1401" spans="2:3" x14ac:dyDescent="0.3">
      <c r="B1401" s="440">
        <v>44113</v>
      </c>
      <c r="C1401" s="363">
        <v>11914.2</v>
      </c>
    </row>
    <row r="1402" spans="2:3" x14ac:dyDescent="0.3">
      <c r="B1402" s="440">
        <v>44112</v>
      </c>
      <c r="C1402" s="363">
        <v>11834.6</v>
      </c>
    </row>
    <row r="1403" spans="2:3" x14ac:dyDescent="0.3">
      <c r="B1403" s="440">
        <v>44111</v>
      </c>
      <c r="C1403" s="363">
        <v>11738.85</v>
      </c>
    </row>
    <row r="1404" spans="2:3" x14ac:dyDescent="0.3">
      <c r="B1404" s="440">
        <v>44110</v>
      </c>
      <c r="C1404" s="363">
        <v>11662.4</v>
      </c>
    </row>
    <row r="1405" spans="2:3" x14ac:dyDescent="0.3">
      <c r="B1405" s="440">
        <v>44109</v>
      </c>
      <c r="C1405" s="363">
        <v>11503.35</v>
      </c>
    </row>
    <row r="1406" spans="2:3" x14ac:dyDescent="0.3">
      <c r="B1406" s="440">
        <v>44105</v>
      </c>
      <c r="C1406" s="363">
        <v>11416.95</v>
      </c>
    </row>
    <row r="1407" spans="2:3" x14ac:dyDescent="0.3">
      <c r="B1407" s="440">
        <v>44104</v>
      </c>
      <c r="C1407" s="363">
        <v>11247.55</v>
      </c>
    </row>
    <row r="1408" spans="2:3" x14ac:dyDescent="0.3">
      <c r="B1408" s="440">
        <v>44103</v>
      </c>
      <c r="C1408" s="363">
        <v>11222.4</v>
      </c>
    </row>
    <row r="1409" spans="2:3" x14ac:dyDescent="0.3">
      <c r="B1409" s="440">
        <v>44102</v>
      </c>
      <c r="C1409" s="363">
        <v>11227.55</v>
      </c>
    </row>
    <row r="1410" spans="2:3" x14ac:dyDescent="0.3">
      <c r="B1410" s="440">
        <v>44099</v>
      </c>
      <c r="C1410" s="363">
        <v>11050.25</v>
      </c>
    </row>
    <row r="1411" spans="2:3" x14ac:dyDescent="0.3">
      <c r="B1411" s="440">
        <v>44098</v>
      </c>
      <c r="C1411" s="363">
        <v>10805.55</v>
      </c>
    </row>
    <row r="1412" spans="2:3" x14ac:dyDescent="0.3">
      <c r="B1412" s="440">
        <v>44097</v>
      </c>
      <c r="C1412" s="363">
        <v>11131.85</v>
      </c>
    </row>
    <row r="1413" spans="2:3" x14ac:dyDescent="0.3">
      <c r="B1413" s="440">
        <v>44096</v>
      </c>
      <c r="C1413" s="363">
        <v>11153.65</v>
      </c>
    </row>
    <row r="1414" spans="2:3" x14ac:dyDescent="0.3">
      <c r="B1414" s="440">
        <v>44095</v>
      </c>
      <c r="C1414" s="363">
        <v>11250.55</v>
      </c>
    </row>
    <row r="1415" spans="2:3" x14ac:dyDescent="0.3">
      <c r="B1415" s="440">
        <v>44092</v>
      </c>
      <c r="C1415" s="363">
        <v>11504.95</v>
      </c>
    </row>
    <row r="1416" spans="2:3" x14ac:dyDescent="0.3">
      <c r="B1416" s="440">
        <v>44091</v>
      </c>
      <c r="C1416" s="363">
        <v>11516.1</v>
      </c>
    </row>
    <row r="1417" spans="2:3" x14ac:dyDescent="0.3">
      <c r="B1417" s="440">
        <v>44090</v>
      </c>
      <c r="C1417" s="363">
        <v>11604.55</v>
      </c>
    </row>
    <row r="1418" spans="2:3" x14ac:dyDescent="0.3">
      <c r="B1418" s="440">
        <v>44089</v>
      </c>
      <c r="C1418" s="363">
        <v>11521.8</v>
      </c>
    </row>
    <row r="1419" spans="2:3" x14ac:dyDescent="0.3">
      <c r="B1419" s="440">
        <v>44088</v>
      </c>
      <c r="C1419" s="363">
        <v>11440.05</v>
      </c>
    </row>
    <row r="1420" spans="2:3" x14ac:dyDescent="0.3">
      <c r="B1420" s="440">
        <v>44085</v>
      </c>
      <c r="C1420" s="363">
        <v>11464.45</v>
      </c>
    </row>
    <row r="1421" spans="2:3" x14ac:dyDescent="0.3">
      <c r="B1421" s="440">
        <v>44084</v>
      </c>
      <c r="C1421" s="363">
        <v>11449.25</v>
      </c>
    </row>
    <row r="1422" spans="2:3" x14ac:dyDescent="0.3">
      <c r="B1422" s="440">
        <v>44083</v>
      </c>
      <c r="C1422" s="363">
        <v>11278</v>
      </c>
    </row>
    <row r="1423" spans="2:3" x14ac:dyDescent="0.3">
      <c r="B1423" s="440">
        <v>44082</v>
      </c>
      <c r="C1423" s="363">
        <v>11317.35</v>
      </c>
    </row>
    <row r="1424" spans="2:3" x14ac:dyDescent="0.3">
      <c r="B1424" s="440">
        <v>44081</v>
      </c>
      <c r="C1424" s="363">
        <v>11355.05</v>
      </c>
    </row>
    <row r="1425" spans="2:3" x14ac:dyDescent="0.3">
      <c r="B1425" s="440">
        <v>44078</v>
      </c>
      <c r="C1425" s="363">
        <v>11333.85</v>
      </c>
    </row>
    <row r="1426" spans="2:3" x14ac:dyDescent="0.3">
      <c r="B1426" s="440">
        <v>44077</v>
      </c>
      <c r="C1426" s="363">
        <v>11527.45</v>
      </c>
    </row>
    <row r="1427" spans="2:3" x14ac:dyDescent="0.3">
      <c r="B1427" s="440">
        <v>44076</v>
      </c>
      <c r="C1427" s="363">
        <v>11535</v>
      </c>
    </row>
    <row r="1428" spans="2:3" x14ac:dyDescent="0.3">
      <c r="B1428" s="440">
        <v>44075</v>
      </c>
      <c r="C1428" s="363">
        <v>11470.25</v>
      </c>
    </row>
    <row r="1429" spans="2:3" x14ac:dyDescent="0.3">
      <c r="B1429" s="440">
        <v>44074</v>
      </c>
      <c r="C1429" s="363">
        <v>11387.5</v>
      </c>
    </row>
    <row r="1430" spans="2:3" x14ac:dyDescent="0.3">
      <c r="B1430" s="440">
        <v>44071</v>
      </c>
      <c r="C1430" s="363">
        <v>11647.6</v>
      </c>
    </row>
    <row r="1431" spans="2:3" x14ac:dyDescent="0.3">
      <c r="B1431" s="440">
        <v>44070</v>
      </c>
      <c r="C1431" s="363">
        <v>11559.25</v>
      </c>
    </row>
    <row r="1432" spans="2:3" x14ac:dyDescent="0.3">
      <c r="B1432" s="440">
        <v>44069</v>
      </c>
      <c r="C1432" s="363">
        <v>11549.6</v>
      </c>
    </row>
    <row r="1433" spans="2:3" x14ac:dyDescent="0.3">
      <c r="B1433" s="440">
        <v>44068</v>
      </c>
      <c r="C1433" s="363">
        <v>11472.25</v>
      </c>
    </row>
    <row r="1434" spans="2:3" x14ac:dyDescent="0.3">
      <c r="B1434" s="440">
        <v>44067</v>
      </c>
      <c r="C1434" s="363">
        <v>11466.45</v>
      </c>
    </row>
    <row r="1435" spans="2:3" x14ac:dyDescent="0.3">
      <c r="B1435" s="440">
        <v>44064</v>
      </c>
      <c r="C1435" s="363">
        <v>11371.6</v>
      </c>
    </row>
    <row r="1436" spans="2:3" x14ac:dyDescent="0.3">
      <c r="B1436" s="440">
        <v>44063</v>
      </c>
      <c r="C1436" s="363">
        <v>11312.2</v>
      </c>
    </row>
    <row r="1437" spans="2:3" x14ac:dyDescent="0.3">
      <c r="B1437" s="440">
        <v>44062</v>
      </c>
      <c r="C1437" s="363">
        <v>11408.4</v>
      </c>
    </row>
    <row r="1438" spans="2:3" x14ac:dyDescent="0.3">
      <c r="B1438" s="440">
        <v>44061</v>
      </c>
      <c r="C1438" s="363">
        <v>11385.35</v>
      </c>
    </row>
    <row r="1439" spans="2:3" x14ac:dyDescent="0.3">
      <c r="B1439" s="440">
        <v>44060</v>
      </c>
      <c r="C1439" s="363">
        <v>11247.1</v>
      </c>
    </row>
    <row r="1440" spans="2:3" x14ac:dyDescent="0.3">
      <c r="B1440" s="440">
        <v>44057</v>
      </c>
      <c r="C1440" s="363">
        <v>11178.4</v>
      </c>
    </row>
    <row r="1441" spans="2:3" x14ac:dyDescent="0.3">
      <c r="B1441" s="440">
        <v>44056</v>
      </c>
      <c r="C1441" s="363">
        <v>11300.45</v>
      </c>
    </row>
    <row r="1442" spans="2:3" x14ac:dyDescent="0.3">
      <c r="B1442" s="440">
        <v>44055</v>
      </c>
      <c r="C1442" s="363">
        <v>11308.4</v>
      </c>
    </row>
    <row r="1443" spans="2:3" x14ac:dyDescent="0.3">
      <c r="B1443" s="440">
        <v>44054</v>
      </c>
      <c r="C1443" s="363">
        <v>11322.5</v>
      </c>
    </row>
    <row r="1444" spans="2:3" x14ac:dyDescent="0.3">
      <c r="B1444" s="440">
        <v>44053</v>
      </c>
      <c r="C1444" s="363">
        <v>11270.15</v>
      </c>
    </row>
    <row r="1445" spans="2:3" x14ac:dyDescent="0.3">
      <c r="B1445" s="440">
        <v>44050</v>
      </c>
      <c r="C1445" s="363">
        <v>11214.05</v>
      </c>
    </row>
    <row r="1446" spans="2:3" x14ac:dyDescent="0.3">
      <c r="B1446" s="440">
        <v>44049</v>
      </c>
      <c r="C1446" s="363">
        <v>11200.15</v>
      </c>
    </row>
    <row r="1447" spans="2:3" x14ac:dyDescent="0.3">
      <c r="B1447" s="440">
        <v>44048</v>
      </c>
      <c r="C1447" s="363">
        <v>11101.65</v>
      </c>
    </row>
    <row r="1448" spans="2:3" x14ac:dyDescent="0.3">
      <c r="B1448" s="440">
        <v>44047</v>
      </c>
      <c r="C1448" s="363">
        <v>11095.25</v>
      </c>
    </row>
    <row r="1449" spans="2:3" x14ac:dyDescent="0.3">
      <c r="B1449" s="440">
        <v>44046</v>
      </c>
      <c r="C1449" s="363">
        <v>10891.6</v>
      </c>
    </row>
    <row r="1450" spans="2:3" x14ac:dyDescent="0.3">
      <c r="B1450" s="440">
        <v>44043</v>
      </c>
      <c r="C1450" s="363">
        <v>11073.45</v>
      </c>
    </row>
    <row r="1451" spans="2:3" x14ac:dyDescent="0.3">
      <c r="B1451" s="440">
        <v>44042</v>
      </c>
      <c r="C1451" s="363">
        <v>11102.15</v>
      </c>
    </row>
    <row r="1452" spans="2:3" x14ac:dyDescent="0.3">
      <c r="B1452" s="440">
        <v>44041</v>
      </c>
      <c r="C1452" s="363">
        <v>11202.85</v>
      </c>
    </row>
    <row r="1453" spans="2:3" x14ac:dyDescent="0.3">
      <c r="B1453" s="440">
        <v>44040</v>
      </c>
      <c r="C1453" s="363">
        <v>11300.55</v>
      </c>
    </row>
    <row r="1454" spans="2:3" x14ac:dyDescent="0.3">
      <c r="B1454" s="440">
        <v>44039</v>
      </c>
      <c r="C1454" s="363">
        <v>11131.8</v>
      </c>
    </row>
    <row r="1455" spans="2:3" x14ac:dyDescent="0.3">
      <c r="B1455" s="440">
        <v>44036</v>
      </c>
      <c r="C1455" s="363">
        <v>11194.15</v>
      </c>
    </row>
    <row r="1456" spans="2:3" x14ac:dyDescent="0.3">
      <c r="B1456" s="440">
        <v>44035</v>
      </c>
      <c r="C1456" s="363">
        <v>11215.45</v>
      </c>
    </row>
    <row r="1457" spans="2:3" x14ac:dyDescent="0.3">
      <c r="B1457" s="440">
        <v>44034</v>
      </c>
      <c r="C1457" s="363">
        <v>11132.6</v>
      </c>
    </row>
    <row r="1458" spans="2:3" x14ac:dyDescent="0.3">
      <c r="B1458" s="440">
        <v>44033</v>
      </c>
      <c r="C1458" s="363">
        <v>11162.25</v>
      </c>
    </row>
    <row r="1459" spans="2:3" x14ac:dyDescent="0.3">
      <c r="B1459" s="440">
        <v>44032</v>
      </c>
      <c r="C1459" s="363">
        <v>11022.2</v>
      </c>
    </row>
    <row r="1460" spans="2:3" x14ac:dyDescent="0.3">
      <c r="B1460" s="440">
        <v>44029</v>
      </c>
      <c r="C1460" s="363">
        <v>10901.7</v>
      </c>
    </row>
    <row r="1461" spans="2:3" x14ac:dyDescent="0.3">
      <c r="B1461" s="440">
        <v>44028</v>
      </c>
      <c r="C1461" s="363">
        <v>10739.95</v>
      </c>
    </row>
    <row r="1462" spans="2:3" x14ac:dyDescent="0.3">
      <c r="B1462" s="440">
        <v>44027</v>
      </c>
      <c r="C1462" s="363">
        <v>10618.2</v>
      </c>
    </row>
    <row r="1463" spans="2:3" x14ac:dyDescent="0.3">
      <c r="B1463" s="440">
        <v>44026</v>
      </c>
      <c r="C1463" s="363">
        <v>10607.35</v>
      </c>
    </row>
    <row r="1464" spans="2:3" x14ac:dyDescent="0.3">
      <c r="B1464" s="440">
        <v>44025</v>
      </c>
      <c r="C1464" s="363">
        <v>10802.7</v>
      </c>
    </row>
    <row r="1465" spans="2:3" x14ac:dyDescent="0.3">
      <c r="B1465" s="440">
        <v>44022</v>
      </c>
      <c r="C1465" s="363">
        <v>10768.05</v>
      </c>
    </row>
    <row r="1466" spans="2:3" x14ac:dyDescent="0.3">
      <c r="B1466" s="440">
        <v>44021</v>
      </c>
      <c r="C1466" s="363">
        <v>10813.45</v>
      </c>
    </row>
    <row r="1467" spans="2:3" x14ac:dyDescent="0.3">
      <c r="B1467" s="440">
        <v>44020</v>
      </c>
      <c r="C1467" s="363">
        <v>10705.75</v>
      </c>
    </row>
    <row r="1468" spans="2:3" x14ac:dyDescent="0.3">
      <c r="B1468" s="440">
        <v>44019</v>
      </c>
      <c r="C1468" s="363">
        <v>10799.65</v>
      </c>
    </row>
    <row r="1469" spans="2:3" x14ac:dyDescent="0.3">
      <c r="B1469" s="440">
        <v>44018</v>
      </c>
      <c r="C1469" s="363">
        <v>10763.65</v>
      </c>
    </row>
    <row r="1470" spans="2:3" x14ac:dyDescent="0.3">
      <c r="B1470" s="440">
        <v>44015</v>
      </c>
      <c r="C1470" s="363">
        <v>10607.35</v>
      </c>
    </row>
    <row r="1471" spans="2:3" x14ac:dyDescent="0.3">
      <c r="B1471" s="440">
        <v>44014</v>
      </c>
      <c r="C1471" s="363">
        <v>10551.7</v>
      </c>
    </row>
    <row r="1472" spans="2:3" x14ac:dyDescent="0.3">
      <c r="B1472" s="440">
        <v>44013</v>
      </c>
      <c r="C1472" s="363">
        <v>10430.049999999999</v>
      </c>
    </row>
    <row r="1473" spans="2:3" x14ac:dyDescent="0.3">
      <c r="B1473" s="440">
        <v>44012</v>
      </c>
      <c r="C1473" s="363">
        <v>10302.1</v>
      </c>
    </row>
    <row r="1474" spans="2:3" x14ac:dyDescent="0.3">
      <c r="B1474" s="440">
        <v>44011</v>
      </c>
      <c r="C1474" s="363">
        <v>10312.4</v>
      </c>
    </row>
    <row r="1475" spans="2:3" x14ac:dyDescent="0.3">
      <c r="B1475" s="440">
        <v>44008</v>
      </c>
      <c r="C1475" s="363">
        <v>10383</v>
      </c>
    </row>
    <row r="1476" spans="2:3" x14ac:dyDescent="0.3">
      <c r="B1476" s="440">
        <v>44007</v>
      </c>
      <c r="C1476" s="363">
        <v>10288.9</v>
      </c>
    </row>
    <row r="1477" spans="2:3" x14ac:dyDescent="0.3">
      <c r="B1477" s="440">
        <v>44006</v>
      </c>
      <c r="C1477" s="363">
        <v>10305.299999999999</v>
      </c>
    </row>
    <row r="1478" spans="2:3" x14ac:dyDescent="0.3">
      <c r="B1478" s="440">
        <v>44005</v>
      </c>
      <c r="C1478" s="363">
        <v>10471</v>
      </c>
    </row>
    <row r="1479" spans="2:3" x14ac:dyDescent="0.3">
      <c r="B1479" s="440">
        <v>44004</v>
      </c>
      <c r="C1479" s="363">
        <v>10311.200000000001</v>
      </c>
    </row>
    <row r="1480" spans="2:3" x14ac:dyDescent="0.3">
      <c r="B1480" s="440">
        <v>44001</v>
      </c>
      <c r="C1480" s="363">
        <v>10244.4</v>
      </c>
    </row>
    <row r="1481" spans="2:3" x14ac:dyDescent="0.3">
      <c r="B1481" s="440">
        <v>44000</v>
      </c>
      <c r="C1481" s="363">
        <v>10091.65</v>
      </c>
    </row>
    <row r="1482" spans="2:3" x14ac:dyDescent="0.3">
      <c r="B1482" s="440">
        <v>43999</v>
      </c>
      <c r="C1482" s="363">
        <v>9881.15</v>
      </c>
    </row>
    <row r="1483" spans="2:3" x14ac:dyDescent="0.3">
      <c r="B1483" s="440">
        <v>43998</v>
      </c>
      <c r="C1483" s="363">
        <v>9914</v>
      </c>
    </row>
    <row r="1484" spans="2:3" x14ac:dyDescent="0.3">
      <c r="B1484" s="440">
        <v>43997</v>
      </c>
      <c r="C1484" s="363">
        <v>9813.7000000000007</v>
      </c>
    </row>
    <row r="1485" spans="2:3" x14ac:dyDescent="0.3">
      <c r="B1485" s="440">
        <v>43994</v>
      </c>
      <c r="C1485" s="363">
        <v>9972.9</v>
      </c>
    </row>
    <row r="1486" spans="2:3" x14ac:dyDescent="0.3">
      <c r="B1486" s="440">
        <v>43993</v>
      </c>
      <c r="C1486" s="363">
        <v>9902</v>
      </c>
    </row>
    <row r="1487" spans="2:3" x14ac:dyDescent="0.3">
      <c r="B1487" s="440">
        <v>43992</v>
      </c>
      <c r="C1487" s="363">
        <v>10116.15</v>
      </c>
    </row>
    <row r="1488" spans="2:3" x14ac:dyDescent="0.3">
      <c r="B1488" s="440">
        <v>43991</v>
      </c>
      <c r="C1488" s="363">
        <v>10046.65</v>
      </c>
    </row>
    <row r="1489" spans="2:3" x14ac:dyDescent="0.3">
      <c r="B1489" s="440">
        <v>43990</v>
      </c>
      <c r="C1489" s="363">
        <v>10167.450000000001</v>
      </c>
    </row>
    <row r="1490" spans="2:3" x14ac:dyDescent="0.3">
      <c r="B1490" s="440">
        <v>43987</v>
      </c>
      <c r="C1490" s="363">
        <v>10142.15</v>
      </c>
    </row>
    <row r="1491" spans="2:3" x14ac:dyDescent="0.3">
      <c r="B1491" s="440">
        <v>43986</v>
      </c>
      <c r="C1491" s="363">
        <v>10029.1</v>
      </c>
    </row>
    <row r="1492" spans="2:3" x14ac:dyDescent="0.3">
      <c r="B1492" s="440">
        <v>43985</v>
      </c>
      <c r="C1492" s="363">
        <v>10061.549999999999</v>
      </c>
    </row>
    <row r="1493" spans="2:3" x14ac:dyDescent="0.3">
      <c r="B1493" s="440">
        <v>43984</v>
      </c>
      <c r="C1493" s="363">
        <v>9979.1</v>
      </c>
    </row>
    <row r="1494" spans="2:3" x14ac:dyDescent="0.3">
      <c r="B1494" s="440">
        <v>43983</v>
      </c>
      <c r="C1494" s="363">
        <v>9826.15</v>
      </c>
    </row>
    <row r="1495" spans="2:3" x14ac:dyDescent="0.3">
      <c r="B1495" s="440">
        <v>43980</v>
      </c>
      <c r="C1495" s="363">
        <v>9580.2999999999993</v>
      </c>
    </row>
    <row r="1496" spans="2:3" x14ac:dyDescent="0.3">
      <c r="B1496" s="440">
        <v>43979</v>
      </c>
      <c r="C1496" s="363">
        <v>9490.1</v>
      </c>
    </row>
    <row r="1497" spans="2:3" x14ac:dyDescent="0.3">
      <c r="B1497" s="440">
        <v>43978</v>
      </c>
      <c r="C1497" s="363">
        <v>9314.9500000000007</v>
      </c>
    </row>
    <row r="1498" spans="2:3" x14ac:dyDescent="0.3">
      <c r="B1498" s="440">
        <v>43977</v>
      </c>
      <c r="C1498" s="363">
        <v>9029.0499999999993</v>
      </c>
    </row>
    <row r="1499" spans="2:3" x14ac:dyDescent="0.3">
      <c r="B1499" s="440">
        <v>43973</v>
      </c>
      <c r="C1499" s="363">
        <v>9039.25</v>
      </c>
    </row>
    <row r="1500" spans="2:3" x14ac:dyDescent="0.3">
      <c r="B1500" s="440">
        <v>43972</v>
      </c>
      <c r="C1500" s="363">
        <v>9106.25</v>
      </c>
    </row>
    <row r="1501" spans="2:3" x14ac:dyDescent="0.3">
      <c r="B1501" s="440">
        <v>43971</v>
      </c>
      <c r="C1501" s="363">
        <v>9066.5499999999993</v>
      </c>
    </row>
    <row r="1502" spans="2:3" x14ac:dyDescent="0.3">
      <c r="B1502" s="440">
        <v>43970</v>
      </c>
      <c r="C1502" s="363">
        <v>8879.1</v>
      </c>
    </row>
    <row r="1503" spans="2:3" x14ac:dyDescent="0.3">
      <c r="B1503" s="440">
        <v>43969</v>
      </c>
      <c r="C1503" s="363">
        <v>8823.25</v>
      </c>
    </row>
    <row r="1504" spans="2:3" x14ac:dyDescent="0.3">
      <c r="B1504" s="440">
        <v>43966</v>
      </c>
      <c r="C1504" s="363">
        <v>9136.85</v>
      </c>
    </row>
    <row r="1505" spans="2:3" x14ac:dyDescent="0.3">
      <c r="B1505" s="440">
        <v>43965</v>
      </c>
      <c r="C1505" s="363">
        <v>9142.75</v>
      </c>
    </row>
    <row r="1506" spans="2:3" x14ac:dyDescent="0.3">
      <c r="B1506" s="440">
        <v>43964</v>
      </c>
      <c r="C1506" s="363">
        <v>9383.5499999999993</v>
      </c>
    </row>
    <row r="1507" spans="2:3" x14ac:dyDescent="0.3">
      <c r="B1507" s="440">
        <v>43963</v>
      </c>
      <c r="C1507" s="363">
        <v>9196.5499999999993</v>
      </c>
    </row>
    <row r="1508" spans="2:3" x14ac:dyDescent="0.3">
      <c r="B1508" s="440">
        <v>43962</v>
      </c>
      <c r="C1508" s="363">
        <v>9239.2000000000007</v>
      </c>
    </row>
    <row r="1509" spans="2:3" x14ac:dyDescent="0.3">
      <c r="B1509" s="440">
        <v>43959</v>
      </c>
      <c r="C1509" s="363">
        <v>9251.5</v>
      </c>
    </row>
    <row r="1510" spans="2:3" x14ac:dyDescent="0.3">
      <c r="B1510" s="440">
        <v>43958</v>
      </c>
      <c r="C1510" s="363">
        <v>9199.0499999999993</v>
      </c>
    </row>
    <row r="1511" spans="2:3" x14ac:dyDescent="0.3">
      <c r="B1511" s="440">
        <v>43957</v>
      </c>
      <c r="C1511" s="363">
        <v>9270.9</v>
      </c>
    </row>
    <row r="1512" spans="2:3" x14ac:dyDescent="0.3">
      <c r="B1512" s="440">
        <v>43956</v>
      </c>
      <c r="C1512" s="363">
        <v>9205.6</v>
      </c>
    </row>
    <row r="1513" spans="2:3" x14ac:dyDescent="0.3">
      <c r="B1513" s="440">
        <v>43955</v>
      </c>
      <c r="C1513" s="363">
        <v>9293.5</v>
      </c>
    </row>
    <row r="1514" spans="2:3" x14ac:dyDescent="0.3">
      <c r="B1514" s="440">
        <v>43951</v>
      </c>
      <c r="C1514" s="363">
        <v>9859.9</v>
      </c>
    </row>
    <row r="1515" spans="2:3" x14ac:dyDescent="0.3">
      <c r="B1515" s="440">
        <v>43950</v>
      </c>
      <c r="C1515" s="363">
        <v>9553.35</v>
      </c>
    </row>
    <row r="1516" spans="2:3" x14ac:dyDescent="0.3">
      <c r="B1516" s="440">
        <v>43949</v>
      </c>
      <c r="C1516" s="363">
        <v>9380.9</v>
      </c>
    </row>
    <row r="1517" spans="2:3" x14ac:dyDescent="0.3">
      <c r="B1517" s="440">
        <v>43948</v>
      </c>
      <c r="C1517" s="363">
        <v>9282.2999999999993</v>
      </c>
    </row>
    <row r="1518" spans="2:3" x14ac:dyDescent="0.3">
      <c r="B1518" s="440">
        <v>43945</v>
      </c>
      <c r="C1518" s="363">
        <v>9154.4</v>
      </c>
    </row>
    <row r="1519" spans="2:3" x14ac:dyDescent="0.3">
      <c r="B1519" s="440">
        <v>43944</v>
      </c>
      <c r="C1519" s="363">
        <v>9313.9</v>
      </c>
    </row>
    <row r="1520" spans="2:3" x14ac:dyDescent="0.3">
      <c r="B1520" s="440">
        <v>43943</v>
      </c>
      <c r="C1520" s="363">
        <v>9187.2999999999993</v>
      </c>
    </row>
    <row r="1521" spans="2:3" x14ac:dyDescent="0.3">
      <c r="B1521" s="440">
        <v>43942</v>
      </c>
      <c r="C1521" s="363">
        <v>8981.4500000000007</v>
      </c>
    </row>
    <row r="1522" spans="2:3" x14ac:dyDescent="0.3">
      <c r="B1522" s="440">
        <v>43941</v>
      </c>
      <c r="C1522" s="363">
        <v>9261.85</v>
      </c>
    </row>
    <row r="1523" spans="2:3" x14ac:dyDescent="0.3">
      <c r="B1523" s="440">
        <v>43938</v>
      </c>
      <c r="C1523" s="363">
        <v>9266.75</v>
      </c>
    </row>
    <row r="1524" spans="2:3" x14ac:dyDescent="0.3">
      <c r="B1524" s="440">
        <v>43937</v>
      </c>
      <c r="C1524" s="363">
        <v>8992.7999999999993</v>
      </c>
    </row>
    <row r="1525" spans="2:3" x14ac:dyDescent="0.3">
      <c r="B1525" s="440">
        <v>43936</v>
      </c>
      <c r="C1525" s="363">
        <v>8925.2999999999993</v>
      </c>
    </row>
    <row r="1526" spans="2:3" x14ac:dyDescent="0.3">
      <c r="B1526" s="440">
        <v>43934</v>
      </c>
      <c r="C1526" s="363">
        <v>8993.85</v>
      </c>
    </row>
    <row r="1527" spans="2:3" x14ac:dyDescent="0.3">
      <c r="B1527" s="440">
        <v>43930</v>
      </c>
      <c r="C1527" s="363">
        <v>9111.9</v>
      </c>
    </row>
    <row r="1528" spans="2:3" x14ac:dyDescent="0.3">
      <c r="B1528" s="440">
        <v>43929</v>
      </c>
      <c r="C1528" s="363">
        <v>8748.75</v>
      </c>
    </row>
    <row r="1529" spans="2:3" x14ac:dyDescent="0.3">
      <c r="B1529" s="440">
        <v>43928</v>
      </c>
      <c r="C1529" s="363">
        <v>8792.2000000000007</v>
      </c>
    </row>
    <row r="1530" spans="2:3" x14ac:dyDescent="0.3">
      <c r="B1530" s="440">
        <v>43924</v>
      </c>
      <c r="C1530" s="363">
        <v>8083.8</v>
      </c>
    </row>
    <row r="1531" spans="2:3" x14ac:dyDescent="0.3">
      <c r="B1531" s="440">
        <v>43922</v>
      </c>
      <c r="C1531" s="363">
        <v>8253.7999999999993</v>
      </c>
    </row>
    <row r="1532" spans="2:3" x14ac:dyDescent="0.3">
      <c r="B1532" s="440">
        <v>43921</v>
      </c>
      <c r="C1532" s="363">
        <v>8597.75</v>
      </c>
    </row>
    <row r="1533" spans="2:3" x14ac:dyDescent="0.3">
      <c r="B1533" s="440">
        <v>43920</v>
      </c>
      <c r="C1533" s="363">
        <v>8281.1</v>
      </c>
    </row>
    <row r="1534" spans="2:3" x14ac:dyDescent="0.3">
      <c r="B1534" s="440">
        <v>43917</v>
      </c>
      <c r="C1534" s="363">
        <v>8660.25</v>
      </c>
    </row>
    <row r="1535" spans="2:3" x14ac:dyDescent="0.3">
      <c r="B1535" s="440">
        <v>43916</v>
      </c>
      <c r="C1535" s="363">
        <v>8641.4500000000007</v>
      </c>
    </row>
    <row r="1536" spans="2:3" x14ac:dyDescent="0.3">
      <c r="B1536" s="440">
        <v>43915</v>
      </c>
      <c r="C1536" s="363">
        <v>8317.85</v>
      </c>
    </row>
    <row r="1537" spans="2:3" x14ac:dyDescent="0.3">
      <c r="B1537" s="440">
        <v>43914</v>
      </c>
      <c r="C1537" s="363">
        <v>7801.05</v>
      </c>
    </row>
    <row r="1538" spans="2:3" x14ac:dyDescent="0.3">
      <c r="B1538" s="440">
        <v>43913</v>
      </c>
      <c r="C1538" s="363">
        <v>7610.25</v>
      </c>
    </row>
    <row r="1539" spans="2:3" x14ac:dyDescent="0.3">
      <c r="B1539" s="440">
        <v>43910</v>
      </c>
      <c r="C1539" s="363">
        <v>8745.4500000000007</v>
      </c>
    </row>
    <row r="1540" spans="2:3" x14ac:dyDescent="0.3">
      <c r="B1540" s="440">
        <v>43909</v>
      </c>
      <c r="C1540" s="363">
        <v>8263.4500000000007</v>
      </c>
    </row>
    <row r="1541" spans="2:3" x14ac:dyDescent="0.3">
      <c r="B1541" s="440">
        <v>43908</v>
      </c>
      <c r="C1541" s="363">
        <v>8468.7999999999993</v>
      </c>
    </row>
    <row r="1542" spans="2:3" x14ac:dyDescent="0.3">
      <c r="B1542" s="440">
        <v>43907</v>
      </c>
      <c r="C1542" s="363">
        <v>8967.0499999999993</v>
      </c>
    </row>
    <row r="1543" spans="2:3" x14ac:dyDescent="0.3">
      <c r="B1543" s="440">
        <v>43906</v>
      </c>
      <c r="C1543" s="363">
        <v>9197.4</v>
      </c>
    </row>
    <row r="1544" spans="2:3" x14ac:dyDescent="0.3">
      <c r="B1544" s="440">
        <v>43903</v>
      </c>
      <c r="C1544" s="363">
        <v>9955.2000000000007</v>
      </c>
    </row>
    <row r="1545" spans="2:3" x14ac:dyDescent="0.3">
      <c r="B1545" s="440">
        <v>43902</v>
      </c>
      <c r="C1545" s="363">
        <v>9590.15</v>
      </c>
    </row>
    <row r="1546" spans="2:3" x14ac:dyDescent="0.3">
      <c r="B1546" s="440">
        <v>43901</v>
      </c>
      <c r="C1546" s="363">
        <v>10458.4</v>
      </c>
    </row>
    <row r="1547" spans="2:3" x14ac:dyDescent="0.3">
      <c r="B1547" s="440">
        <v>43899</v>
      </c>
      <c r="C1547" s="363">
        <v>10451.450000000001</v>
      </c>
    </row>
    <row r="1548" spans="2:3" x14ac:dyDescent="0.3">
      <c r="B1548" s="440">
        <v>43896</v>
      </c>
      <c r="C1548" s="363">
        <v>10989.45</v>
      </c>
    </row>
    <row r="1549" spans="2:3" x14ac:dyDescent="0.3">
      <c r="B1549" s="440">
        <v>43895</v>
      </c>
      <c r="C1549" s="363">
        <v>11269</v>
      </c>
    </row>
    <row r="1550" spans="2:3" x14ac:dyDescent="0.3">
      <c r="B1550" s="440">
        <v>43894</v>
      </c>
      <c r="C1550" s="363">
        <v>11251</v>
      </c>
    </row>
    <row r="1551" spans="2:3" x14ac:dyDescent="0.3">
      <c r="B1551" s="440">
        <v>43893</v>
      </c>
      <c r="C1551" s="363">
        <v>11303.3</v>
      </c>
    </row>
    <row r="1552" spans="2:3" x14ac:dyDescent="0.3">
      <c r="B1552" s="440">
        <v>43892</v>
      </c>
      <c r="C1552" s="363">
        <v>11132.75</v>
      </c>
    </row>
    <row r="1553" spans="2:3" x14ac:dyDescent="0.3">
      <c r="B1553" s="440">
        <v>43889</v>
      </c>
      <c r="C1553" s="363">
        <v>11201.75</v>
      </c>
    </row>
    <row r="1554" spans="2:3" x14ac:dyDescent="0.3">
      <c r="B1554" s="440">
        <v>43888</v>
      </c>
      <c r="C1554" s="363">
        <v>11633.3</v>
      </c>
    </row>
    <row r="1555" spans="2:3" x14ac:dyDescent="0.3">
      <c r="B1555" s="440">
        <v>43887</v>
      </c>
      <c r="C1555" s="363">
        <v>11678.5</v>
      </c>
    </row>
    <row r="1556" spans="2:3" x14ac:dyDescent="0.3">
      <c r="B1556" s="440">
        <v>43886</v>
      </c>
      <c r="C1556" s="363">
        <v>11797.9</v>
      </c>
    </row>
    <row r="1557" spans="2:3" x14ac:dyDescent="0.3">
      <c r="B1557" s="440">
        <v>43885</v>
      </c>
      <c r="C1557" s="363">
        <v>11829.4</v>
      </c>
    </row>
    <row r="1558" spans="2:3" x14ac:dyDescent="0.3">
      <c r="B1558" s="440">
        <v>43881</v>
      </c>
      <c r="C1558" s="363">
        <v>12080.85</v>
      </c>
    </row>
    <row r="1559" spans="2:3" x14ac:dyDescent="0.3">
      <c r="B1559" s="440">
        <v>43880</v>
      </c>
      <c r="C1559" s="363">
        <v>12125.9</v>
      </c>
    </row>
    <row r="1560" spans="2:3" x14ac:dyDescent="0.3">
      <c r="B1560" s="440">
        <v>43879</v>
      </c>
      <c r="C1560" s="363">
        <v>11992.5</v>
      </c>
    </row>
    <row r="1561" spans="2:3" x14ac:dyDescent="0.3">
      <c r="B1561" s="440">
        <v>43878</v>
      </c>
      <c r="C1561" s="363">
        <v>12045.8</v>
      </c>
    </row>
    <row r="1562" spans="2:3" x14ac:dyDescent="0.3">
      <c r="B1562" s="440">
        <v>43875</v>
      </c>
      <c r="C1562" s="363">
        <v>12113.45</v>
      </c>
    </row>
    <row r="1563" spans="2:3" x14ac:dyDescent="0.3">
      <c r="B1563" s="440">
        <v>43874</v>
      </c>
      <c r="C1563" s="363">
        <v>12174.65</v>
      </c>
    </row>
    <row r="1564" spans="2:3" x14ac:dyDescent="0.3">
      <c r="B1564" s="440">
        <v>43873</v>
      </c>
      <c r="C1564" s="363">
        <v>12201.2</v>
      </c>
    </row>
    <row r="1565" spans="2:3" x14ac:dyDescent="0.3">
      <c r="B1565" s="440">
        <v>43872</v>
      </c>
      <c r="C1565" s="363">
        <v>12107.9</v>
      </c>
    </row>
    <row r="1566" spans="2:3" x14ac:dyDescent="0.3">
      <c r="B1566" s="440">
        <v>43871</v>
      </c>
      <c r="C1566" s="363">
        <v>12031.5</v>
      </c>
    </row>
    <row r="1567" spans="2:3" x14ac:dyDescent="0.3">
      <c r="B1567" s="440">
        <v>43868</v>
      </c>
      <c r="C1567" s="363">
        <v>12098.35</v>
      </c>
    </row>
    <row r="1568" spans="2:3" x14ac:dyDescent="0.3">
      <c r="B1568" s="440">
        <v>43867</v>
      </c>
      <c r="C1568" s="363">
        <v>12137.95</v>
      </c>
    </row>
    <row r="1569" spans="2:3" x14ac:dyDescent="0.3">
      <c r="B1569" s="440">
        <v>43866</v>
      </c>
      <c r="C1569" s="363">
        <v>12089.15</v>
      </c>
    </row>
    <row r="1570" spans="2:3" x14ac:dyDescent="0.3">
      <c r="B1570" s="440">
        <v>43865</v>
      </c>
      <c r="C1570" s="363">
        <v>11979.65</v>
      </c>
    </row>
    <row r="1571" spans="2:3" x14ac:dyDescent="0.3">
      <c r="B1571" s="440">
        <v>43864</v>
      </c>
      <c r="C1571" s="363">
        <v>11707.9</v>
      </c>
    </row>
    <row r="1572" spans="2:3" x14ac:dyDescent="0.3">
      <c r="B1572" s="440">
        <v>43862</v>
      </c>
      <c r="C1572" s="363">
        <v>11661.85</v>
      </c>
    </row>
    <row r="1573" spans="2:3" x14ac:dyDescent="0.3">
      <c r="B1573" s="440">
        <v>43861</v>
      </c>
      <c r="C1573" s="363">
        <v>11962.1</v>
      </c>
    </row>
    <row r="1574" spans="2:3" x14ac:dyDescent="0.3">
      <c r="B1574" s="440">
        <v>43860</v>
      </c>
      <c r="C1574" s="363">
        <v>12035.8</v>
      </c>
    </row>
    <row r="1575" spans="2:3" x14ac:dyDescent="0.3">
      <c r="B1575" s="440">
        <v>43859</v>
      </c>
      <c r="C1575" s="363">
        <v>12129.5</v>
      </c>
    </row>
    <row r="1576" spans="2:3" x14ac:dyDescent="0.3">
      <c r="B1576" s="440">
        <v>43858</v>
      </c>
      <c r="C1576" s="363">
        <v>12055.8</v>
      </c>
    </row>
    <row r="1577" spans="2:3" x14ac:dyDescent="0.3">
      <c r="B1577" s="440">
        <v>43857</v>
      </c>
      <c r="C1577" s="363">
        <v>12119</v>
      </c>
    </row>
    <row r="1578" spans="2:3" x14ac:dyDescent="0.3">
      <c r="B1578" s="440">
        <v>43854</v>
      </c>
      <c r="C1578" s="363">
        <v>12248.25</v>
      </c>
    </row>
    <row r="1579" spans="2:3" x14ac:dyDescent="0.3">
      <c r="B1579" s="440">
        <v>43853</v>
      </c>
      <c r="C1579" s="363">
        <v>12180.35</v>
      </c>
    </row>
    <row r="1580" spans="2:3" x14ac:dyDescent="0.3">
      <c r="B1580" s="440">
        <v>43852</v>
      </c>
      <c r="C1580" s="363">
        <v>12106.9</v>
      </c>
    </row>
    <row r="1581" spans="2:3" x14ac:dyDescent="0.3">
      <c r="B1581" s="440">
        <v>43851</v>
      </c>
      <c r="C1581" s="363">
        <v>12169.85</v>
      </c>
    </row>
    <row r="1582" spans="2:3" x14ac:dyDescent="0.3">
      <c r="B1582" s="440">
        <v>43850</v>
      </c>
      <c r="C1582" s="363">
        <v>12224.55</v>
      </c>
    </row>
    <row r="1583" spans="2:3" x14ac:dyDescent="0.3">
      <c r="B1583" s="440">
        <v>43847</v>
      </c>
      <c r="C1583" s="363">
        <v>12352.35</v>
      </c>
    </row>
    <row r="1584" spans="2:3" x14ac:dyDescent="0.3">
      <c r="B1584" s="440">
        <v>43846</v>
      </c>
      <c r="C1584" s="363">
        <v>12355.5</v>
      </c>
    </row>
    <row r="1585" spans="2:3" x14ac:dyDescent="0.3">
      <c r="B1585" s="440">
        <v>43845</v>
      </c>
      <c r="C1585" s="363">
        <v>12343.3</v>
      </c>
    </row>
    <row r="1586" spans="2:3" x14ac:dyDescent="0.3">
      <c r="B1586" s="440">
        <v>43844</v>
      </c>
      <c r="C1586" s="363">
        <v>12362.3</v>
      </c>
    </row>
    <row r="1587" spans="2:3" x14ac:dyDescent="0.3">
      <c r="B1587" s="440">
        <v>43843</v>
      </c>
      <c r="C1587" s="363">
        <v>12329.55</v>
      </c>
    </row>
    <row r="1588" spans="2:3" x14ac:dyDescent="0.3">
      <c r="B1588" s="440">
        <v>43840</v>
      </c>
      <c r="C1588" s="363">
        <v>12256.8</v>
      </c>
    </row>
    <row r="1589" spans="2:3" x14ac:dyDescent="0.3">
      <c r="B1589" s="440">
        <v>43839</v>
      </c>
      <c r="C1589" s="363">
        <v>12215.9</v>
      </c>
    </row>
    <row r="1590" spans="2:3" x14ac:dyDescent="0.3">
      <c r="B1590" s="440">
        <v>43838</v>
      </c>
      <c r="C1590" s="363">
        <v>12025.35</v>
      </c>
    </row>
    <row r="1591" spans="2:3" x14ac:dyDescent="0.3">
      <c r="B1591" s="440">
        <v>43837</v>
      </c>
      <c r="C1591" s="363">
        <v>12052.95</v>
      </c>
    </row>
    <row r="1592" spans="2:3" x14ac:dyDescent="0.3">
      <c r="B1592" s="440">
        <v>43836</v>
      </c>
      <c r="C1592" s="363">
        <v>11993.05</v>
      </c>
    </row>
    <row r="1593" spans="2:3" x14ac:dyDescent="0.3">
      <c r="B1593" s="440">
        <v>43833</v>
      </c>
      <c r="C1593" s="363">
        <v>12226.65</v>
      </c>
    </row>
    <row r="1594" spans="2:3" x14ac:dyDescent="0.3">
      <c r="B1594" s="440">
        <v>43832</v>
      </c>
      <c r="C1594" s="363">
        <v>12282.2</v>
      </c>
    </row>
    <row r="1595" spans="2:3" x14ac:dyDescent="0.3">
      <c r="B1595" s="440">
        <v>43831</v>
      </c>
      <c r="C1595" s="363">
        <v>12182.5</v>
      </c>
    </row>
    <row r="1596" spans="2:3" x14ac:dyDescent="0.3">
      <c r="B1596" s="440">
        <v>43830</v>
      </c>
      <c r="C1596" s="363">
        <v>12168.45</v>
      </c>
    </row>
    <row r="1597" spans="2:3" x14ac:dyDescent="0.3">
      <c r="B1597" s="440">
        <v>43829</v>
      </c>
      <c r="C1597" s="363">
        <v>12255.85</v>
      </c>
    </row>
    <row r="1598" spans="2:3" x14ac:dyDescent="0.3">
      <c r="B1598" s="440">
        <v>43826</v>
      </c>
      <c r="C1598" s="363">
        <v>12245.8</v>
      </c>
    </row>
    <row r="1599" spans="2:3" x14ac:dyDescent="0.3">
      <c r="B1599" s="440">
        <v>43825</v>
      </c>
      <c r="C1599" s="363">
        <v>12126.55</v>
      </c>
    </row>
    <row r="1600" spans="2:3" x14ac:dyDescent="0.3">
      <c r="B1600" s="440">
        <v>43823</v>
      </c>
      <c r="C1600" s="363">
        <v>12214.55</v>
      </c>
    </row>
    <row r="1601" spans="2:3" x14ac:dyDescent="0.3">
      <c r="B1601" s="440">
        <v>43822</v>
      </c>
      <c r="C1601" s="363">
        <v>12262.75</v>
      </c>
    </row>
    <row r="1602" spans="2:3" x14ac:dyDescent="0.3">
      <c r="B1602" s="440">
        <v>43819</v>
      </c>
      <c r="C1602" s="363">
        <v>12271.8</v>
      </c>
    </row>
    <row r="1603" spans="2:3" x14ac:dyDescent="0.3">
      <c r="B1603" s="440">
        <v>43818</v>
      </c>
      <c r="C1603" s="363">
        <v>12259.7</v>
      </c>
    </row>
    <row r="1604" spans="2:3" x14ac:dyDescent="0.3">
      <c r="B1604" s="440">
        <v>43817</v>
      </c>
      <c r="C1604" s="363">
        <v>12221.65</v>
      </c>
    </row>
    <row r="1605" spans="2:3" x14ac:dyDescent="0.3">
      <c r="B1605" s="440">
        <v>43816</v>
      </c>
      <c r="C1605" s="363">
        <v>12165</v>
      </c>
    </row>
    <row r="1606" spans="2:3" x14ac:dyDescent="0.3">
      <c r="B1606" s="440">
        <v>43815</v>
      </c>
      <c r="C1606" s="363">
        <v>12053.95</v>
      </c>
    </row>
    <row r="1607" spans="2:3" x14ac:dyDescent="0.3">
      <c r="B1607" s="440">
        <v>43812</v>
      </c>
      <c r="C1607" s="363">
        <v>12086.7</v>
      </c>
    </row>
    <row r="1608" spans="2:3" x14ac:dyDescent="0.3">
      <c r="B1608" s="440">
        <v>43811</v>
      </c>
      <c r="C1608" s="363">
        <v>11971.8</v>
      </c>
    </row>
    <row r="1609" spans="2:3" x14ac:dyDescent="0.3">
      <c r="B1609" s="440">
        <v>43810</v>
      </c>
      <c r="C1609" s="363">
        <v>11910.15</v>
      </c>
    </row>
    <row r="1610" spans="2:3" x14ac:dyDescent="0.3">
      <c r="B1610" s="440">
        <v>43809</v>
      </c>
      <c r="C1610" s="363">
        <v>11856.8</v>
      </c>
    </row>
    <row r="1611" spans="2:3" x14ac:dyDescent="0.3">
      <c r="B1611" s="440">
        <v>43808</v>
      </c>
      <c r="C1611" s="363">
        <v>11937.5</v>
      </c>
    </row>
    <row r="1612" spans="2:3" x14ac:dyDescent="0.3">
      <c r="B1612" s="440">
        <v>43805</v>
      </c>
      <c r="C1612" s="363">
        <v>11921.5</v>
      </c>
    </row>
    <row r="1613" spans="2:3" x14ac:dyDescent="0.3">
      <c r="B1613" s="440">
        <v>43804</v>
      </c>
      <c r="C1613" s="363">
        <v>12018.4</v>
      </c>
    </row>
    <row r="1614" spans="2:3" x14ac:dyDescent="0.3">
      <c r="B1614" s="440">
        <v>43803</v>
      </c>
      <c r="C1614" s="363">
        <v>12043.2</v>
      </c>
    </row>
    <row r="1615" spans="2:3" x14ac:dyDescent="0.3">
      <c r="B1615" s="440">
        <v>43802</v>
      </c>
      <c r="C1615" s="363">
        <v>11994.2</v>
      </c>
    </row>
    <row r="1616" spans="2:3" x14ac:dyDescent="0.3">
      <c r="B1616" s="440">
        <v>43801</v>
      </c>
      <c r="C1616" s="363">
        <v>12048.2</v>
      </c>
    </row>
    <row r="1617" spans="2:3" x14ac:dyDescent="0.3">
      <c r="B1617" s="440">
        <v>43798</v>
      </c>
      <c r="C1617" s="363">
        <v>12056.05</v>
      </c>
    </row>
    <row r="1618" spans="2:3" x14ac:dyDescent="0.3">
      <c r="B1618" s="440">
        <v>43797</v>
      </c>
      <c r="C1618" s="363">
        <v>12151.15</v>
      </c>
    </row>
    <row r="1619" spans="2:3" x14ac:dyDescent="0.3">
      <c r="B1619" s="440">
        <v>43796</v>
      </c>
      <c r="C1619" s="363">
        <v>12100.7</v>
      </c>
    </row>
    <row r="1620" spans="2:3" x14ac:dyDescent="0.3">
      <c r="B1620" s="440">
        <v>43795</v>
      </c>
      <c r="C1620" s="363">
        <v>12037.7</v>
      </c>
    </row>
    <row r="1621" spans="2:3" x14ac:dyDescent="0.3">
      <c r="B1621" s="440">
        <v>43794</v>
      </c>
      <c r="C1621" s="363">
        <v>12073.75</v>
      </c>
    </row>
    <row r="1622" spans="2:3" x14ac:dyDescent="0.3">
      <c r="B1622" s="440">
        <v>43791</v>
      </c>
      <c r="C1622" s="363">
        <v>11914.4</v>
      </c>
    </row>
    <row r="1623" spans="2:3" x14ac:dyDescent="0.3">
      <c r="B1623" s="440">
        <v>43790</v>
      </c>
      <c r="C1623" s="363">
        <v>11968.4</v>
      </c>
    </row>
    <row r="1624" spans="2:3" x14ac:dyDescent="0.3">
      <c r="B1624" s="440">
        <v>43789</v>
      </c>
      <c r="C1624" s="363">
        <v>11999.1</v>
      </c>
    </row>
    <row r="1625" spans="2:3" x14ac:dyDescent="0.3">
      <c r="B1625" s="440">
        <v>43788</v>
      </c>
      <c r="C1625" s="363">
        <v>11940.1</v>
      </c>
    </row>
    <row r="1626" spans="2:3" x14ac:dyDescent="0.3">
      <c r="B1626" s="440">
        <v>43787</v>
      </c>
      <c r="C1626" s="363">
        <v>11884.5</v>
      </c>
    </row>
    <row r="1627" spans="2:3" x14ac:dyDescent="0.3">
      <c r="B1627" s="440">
        <v>43784</v>
      </c>
      <c r="C1627" s="363">
        <v>11895.45</v>
      </c>
    </row>
    <row r="1628" spans="2:3" x14ac:dyDescent="0.3">
      <c r="B1628" s="440">
        <v>43783</v>
      </c>
      <c r="C1628" s="363">
        <v>11872.1</v>
      </c>
    </row>
    <row r="1629" spans="2:3" x14ac:dyDescent="0.3">
      <c r="B1629" s="440">
        <v>43782</v>
      </c>
      <c r="C1629" s="363">
        <v>11840.45</v>
      </c>
    </row>
    <row r="1630" spans="2:3" x14ac:dyDescent="0.3">
      <c r="B1630" s="440">
        <v>43780</v>
      </c>
      <c r="C1630" s="363">
        <v>11913.45</v>
      </c>
    </row>
    <row r="1631" spans="2:3" x14ac:dyDescent="0.3">
      <c r="B1631" s="440">
        <v>43777</v>
      </c>
      <c r="C1631" s="363">
        <v>11908.15</v>
      </c>
    </row>
    <row r="1632" spans="2:3" x14ac:dyDescent="0.3">
      <c r="B1632" s="440">
        <v>43776</v>
      </c>
      <c r="C1632" s="363">
        <v>12012.05</v>
      </c>
    </row>
    <row r="1633" spans="2:3" x14ac:dyDescent="0.3">
      <c r="B1633" s="440">
        <v>43775</v>
      </c>
      <c r="C1633" s="363">
        <v>11966.05</v>
      </c>
    </row>
    <row r="1634" spans="2:3" x14ac:dyDescent="0.3">
      <c r="B1634" s="440">
        <v>43774</v>
      </c>
      <c r="C1634" s="363">
        <v>11917.2</v>
      </c>
    </row>
    <row r="1635" spans="2:3" x14ac:dyDescent="0.3">
      <c r="B1635" s="440">
        <v>43773</v>
      </c>
      <c r="C1635" s="363">
        <v>11941.3</v>
      </c>
    </row>
    <row r="1636" spans="2:3" x14ac:dyDescent="0.3">
      <c r="B1636" s="440">
        <v>43770</v>
      </c>
      <c r="C1636" s="363">
        <v>11890.6</v>
      </c>
    </row>
    <row r="1637" spans="2:3" x14ac:dyDescent="0.3">
      <c r="B1637" s="440">
        <v>43769</v>
      </c>
      <c r="C1637" s="363">
        <v>11877.45</v>
      </c>
    </row>
    <row r="1638" spans="2:3" x14ac:dyDescent="0.3">
      <c r="B1638" s="440">
        <v>43768</v>
      </c>
      <c r="C1638" s="363">
        <v>11844.1</v>
      </c>
    </row>
    <row r="1639" spans="2:3" x14ac:dyDescent="0.3">
      <c r="B1639" s="440">
        <v>43767</v>
      </c>
      <c r="C1639" s="363">
        <v>11786.85</v>
      </c>
    </row>
    <row r="1640" spans="2:3" x14ac:dyDescent="0.3">
      <c r="B1640" s="440">
        <v>43765</v>
      </c>
      <c r="C1640" s="363">
        <v>11627.15</v>
      </c>
    </row>
    <row r="1641" spans="2:3" x14ac:dyDescent="0.3">
      <c r="B1641" s="440">
        <v>43763</v>
      </c>
      <c r="C1641" s="363">
        <v>11583.9</v>
      </c>
    </row>
    <row r="1642" spans="2:3" x14ac:dyDescent="0.3">
      <c r="B1642" s="440">
        <v>43762</v>
      </c>
      <c r="C1642" s="363">
        <v>11582.6</v>
      </c>
    </row>
    <row r="1643" spans="2:3" x14ac:dyDescent="0.3">
      <c r="B1643" s="440">
        <v>43761</v>
      </c>
      <c r="C1643" s="363">
        <v>11604.1</v>
      </c>
    </row>
    <row r="1644" spans="2:3" x14ac:dyDescent="0.3">
      <c r="B1644" s="440">
        <v>43760</v>
      </c>
      <c r="C1644" s="363">
        <v>11588.35</v>
      </c>
    </row>
    <row r="1645" spans="2:3" x14ac:dyDescent="0.3">
      <c r="B1645" s="440">
        <v>43756</v>
      </c>
      <c r="C1645" s="363">
        <v>11661.85</v>
      </c>
    </row>
    <row r="1646" spans="2:3" x14ac:dyDescent="0.3">
      <c r="B1646" s="440">
        <v>43755</v>
      </c>
      <c r="C1646" s="363">
        <v>11586.35</v>
      </c>
    </row>
    <row r="1647" spans="2:3" x14ac:dyDescent="0.3">
      <c r="B1647" s="440">
        <v>43754</v>
      </c>
      <c r="C1647" s="363">
        <v>11464</v>
      </c>
    </row>
    <row r="1648" spans="2:3" x14ac:dyDescent="0.3">
      <c r="B1648" s="440">
        <v>43753</v>
      </c>
      <c r="C1648" s="363">
        <v>11428.3</v>
      </c>
    </row>
    <row r="1649" spans="2:3" x14ac:dyDescent="0.3">
      <c r="B1649" s="440">
        <v>43752</v>
      </c>
      <c r="C1649" s="363">
        <v>11341.15</v>
      </c>
    </row>
    <row r="1650" spans="2:3" x14ac:dyDescent="0.3">
      <c r="B1650" s="440">
        <v>43749</v>
      </c>
      <c r="C1650" s="363">
        <v>11305.05</v>
      </c>
    </row>
    <row r="1651" spans="2:3" x14ac:dyDescent="0.3">
      <c r="B1651" s="440">
        <v>43748</v>
      </c>
      <c r="C1651" s="363">
        <v>11234.55</v>
      </c>
    </row>
    <row r="1652" spans="2:3" x14ac:dyDescent="0.3">
      <c r="B1652" s="440">
        <v>43747</v>
      </c>
      <c r="C1652" s="363">
        <v>11313.3</v>
      </c>
    </row>
    <row r="1653" spans="2:3" x14ac:dyDescent="0.3">
      <c r="B1653" s="440">
        <v>43745</v>
      </c>
      <c r="C1653" s="363">
        <v>11126.4</v>
      </c>
    </row>
    <row r="1654" spans="2:3" x14ac:dyDescent="0.3">
      <c r="B1654" s="440">
        <v>43742</v>
      </c>
      <c r="C1654" s="363">
        <v>11174.75</v>
      </c>
    </row>
    <row r="1655" spans="2:3" x14ac:dyDescent="0.3">
      <c r="B1655" s="440">
        <v>43741</v>
      </c>
      <c r="C1655" s="363">
        <v>11314</v>
      </c>
    </row>
    <row r="1656" spans="2:3" x14ac:dyDescent="0.3">
      <c r="B1656" s="440">
        <v>43739</v>
      </c>
      <c r="C1656" s="363">
        <v>11359.9</v>
      </c>
    </row>
    <row r="1657" spans="2:3" x14ac:dyDescent="0.3">
      <c r="B1657" s="440">
        <v>43738</v>
      </c>
      <c r="C1657" s="363">
        <v>11474.45</v>
      </c>
    </row>
    <row r="1658" spans="2:3" x14ac:dyDescent="0.3">
      <c r="B1658" s="440">
        <v>43735</v>
      </c>
      <c r="C1658" s="363">
        <v>11512.4</v>
      </c>
    </row>
    <row r="1659" spans="2:3" x14ac:dyDescent="0.3">
      <c r="B1659" s="440">
        <v>43734</v>
      </c>
      <c r="C1659" s="363">
        <v>11571.2</v>
      </c>
    </row>
    <row r="1660" spans="2:3" x14ac:dyDescent="0.3">
      <c r="B1660" s="440">
        <v>43733</v>
      </c>
      <c r="C1660" s="363">
        <v>11440.2</v>
      </c>
    </row>
    <row r="1661" spans="2:3" x14ac:dyDescent="0.3">
      <c r="B1661" s="440">
        <v>43732</v>
      </c>
      <c r="C1661" s="363">
        <v>11588.2</v>
      </c>
    </row>
    <row r="1662" spans="2:3" x14ac:dyDescent="0.3">
      <c r="B1662" s="440">
        <v>43731</v>
      </c>
      <c r="C1662" s="363">
        <v>11600.2</v>
      </c>
    </row>
    <row r="1663" spans="2:3" x14ac:dyDescent="0.3">
      <c r="B1663" s="440">
        <v>43728</v>
      </c>
      <c r="C1663" s="363">
        <v>11274.2</v>
      </c>
    </row>
    <row r="1664" spans="2:3" x14ac:dyDescent="0.3">
      <c r="B1664" s="440">
        <v>43727</v>
      </c>
      <c r="C1664" s="363">
        <v>10704.8</v>
      </c>
    </row>
    <row r="1665" spans="2:3" x14ac:dyDescent="0.3">
      <c r="B1665" s="440">
        <v>43726</v>
      </c>
      <c r="C1665" s="363">
        <v>10840.65</v>
      </c>
    </row>
    <row r="1666" spans="2:3" x14ac:dyDescent="0.3">
      <c r="B1666" s="440">
        <v>43725</v>
      </c>
      <c r="C1666" s="363">
        <v>10817.6</v>
      </c>
    </row>
    <row r="1667" spans="2:3" x14ac:dyDescent="0.3">
      <c r="B1667" s="440">
        <v>43724</v>
      </c>
      <c r="C1667" s="363">
        <v>11003.5</v>
      </c>
    </row>
    <row r="1668" spans="2:3" x14ac:dyDescent="0.3">
      <c r="B1668" s="440">
        <v>43721</v>
      </c>
      <c r="C1668" s="363">
        <v>11075.9</v>
      </c>
    </row>
    <row r="1669" spans="2:3" x14ac:dyDescent="0.3">
      <c r="B1669" s="440">
        <v>43720</v>
      </c>
      <c r="C1669" s="363">
        <v>10982.8</v>
      </c>
    </row>
    <row r="1670" spans="2:3" x14ac:dyDescent="0.3">
      <c r="B1670" s="440">
        <v>43719</v>
      </c>
      <c r="C1670" s="363">
        <v>11035.7</v>
      </c>
    </row>
    <row r="1671" spans="2:3" x14ac:dyDescent="0.3">
      <c r="B1671" s="440">
        <v>43717</v>
      </c>
      <c r="C1671" s="363">
        <v>11003.05</v>
      </c>
    </row>
    <row r="1672" spans="2:3" x14ac:dyDescent="0.3">
      <c r="B1672" s="440">
        <v>43714</v>
      </c>
      <c r="C1672" s="363">
        <v>10946.2</v>
      </c>
    </row>
    <row r="1673" spans="2:3" x14ac:dyDescent="0.3">
      <c r="B1673" s="440">
        <v>43713</v>
      </c>
      <c r="C1673" s="363">
        <v>10847.9</v>
      </c>
    </row>
    <row r="1674" spans="2:3" x14ac:dyDescent="0.3">
      <c r="B1674" s="440">
        <v>43712</v>
      </c>
      <c r="C1674" s="363">
        <v>10844.65</v>
      </c>
    </row>
    <row r="1675" spans="2:3" x14ac:dyDescent="0.3">
      <c r="B1675" s="440">
        <v>43711</v>
      </c>
      <c r="C1675" s="363">
        <v>10797.9</v>
      </c>
    </row>
    <row r="1676" spans="2:3" x14ac:dyDescent="0.3">
      <c r="B1676" s="440">
        <v>43707</v>
      </c>
      <c r="C1676" s="363">
        <v>11023.25</v>
      </c>
    </row>
    <row r="1677" spans="2:3" x14ac:dyDescent="0.3">
      <c r="B1677" s="440">
        <v>43706</v>
      </c>
      <c r="C1677" s="363">
        <v>10948.3</v>
      </c>
    </row>
    <row r="1678" spans="2:3" x14ac:dyDescent="0.3">
      <c r="B1678" s="440">
        <v>43705</v>
      </c>
      <c r="C1678" s="363">
        <v>11046.1</v>
      </c>
    </row>
    <row r="1679" spans="2:3" x14ac:dyDescent="0.3">
      <c r="B1679" s="440">
        <v>43704</v>
      </c>
      <c r="C1679" s="363">
        <v>11105.35</v>
      </c>
    </row>
    <row r="1680" spans="2:3" x14ac:dyDescent="0.3">
      <c r="B1680" s="440">
        <v>43703</v>
      </c>
      <c r="C1680" s="363">
        <v>11057.85</v>
      </c>
    </row>
    <row r="1681" spans="2:3" x14ac:dyDescent="0.3">
      <c r="B1681" s="440">
        <v>43700</v>
      </c>
      <c r="C1681" s="363">
        <v>10829.35</v>
      </c>
    </row>
    <row r="1682" spans="2:3" x14ac:dyDescent="0.3">
      <c r="B1682" s="440">
        <v>43699</v>
      </c>
      <c r="C1682" s="363">
        <v>10741.35</v>
      </c>
    </row>
    <row r="1683" spans="2:3" x14ac:dyDescent="0.3">
      <c r="B1683" s="440">
        <v>43698</v>
      </c>
      <c r="C1683" s="363">
        <v>10918.7</v>
      </c>
    </row>
    <row r="1684" spans="2:3" x14ac:dyDescent="0.3">
      <c r="B1684" s="440">
        <v>43697</v>
      </c>
      <c r="C1684" s="363">
        <v>11017</v>
      </c>
    </row>
    <row r="1685" spans="2:3" x14ac:dyDescent="0.3">
      <c r="B1685" s="440">
        <v>43696</v>
      </c>
      <c r="C1685" s="363">
        <v>11053.9</v>
      </c>
    </row>
    <row r="1686" spans="2:3" x14ac:dyDescent="0.3">
      <c r="B1686" s="440">
        <v>43693</v>
      </c>
      <c r="C1686" s="363">
        <v>11047.8</v>
      </c>
    </row>
    <row r="1687" spans="2:3" x14ac:dyDescent="0.3">
      <c r="B1687" s="440">
        <v>43691</v>
      </c>
      <c r="C1687" s="363">
        <v>11029.4</v>
      </c>
    </row>
    <row r="1688" spans="2:3" x14ac:dyDescent="0.3">
      <c r="B1688" s="440">
        <v>43690</v>
      </c>
      <c r="C1688" s="363">
        <v>10925.85</v>
      </c>
    </row>
    <row r="1689" spans="2:3" x14ac:dyDescent="0.3">
      <c r="B1689" s="440">
        <v>43686</v>
      </c>
      <c r="C1689" s="363">
        <v>11109.65</v>
      </c>
    </row>
    <row r="1690" spans="2:3" x14ac:dyDescent="0.3">
      <c r="B1690" s="440">
        <v>43685</v>
      </c>
      <c r="C1690" s="363">
        <v>11032.45</v>
      </c>
    </row>
    <row r="1691" spans="2:3" x14ac:dyDescent="0.3">
      <c r="B1691" s="440">
        <v>43684</v>
      </c>
      <c r="C1691" s="363">
        <v>10855.5</v>
      </c>
    </row>
    <row r="1692" spans="2:3" x14ac:dyDescent="0.3">
      <c r="B1692" s="440">
        <v>43683</v>
      </c>
      <c r="C1692" s="363">
        <v>10948.25</v>
      </c>
    </row>
    <row r="1693" spans="2:3" x14ac:dyDescent="0.3">
      <c r="B1693" s="440">
        <v>43682</v>
      </c>
      <c r="C1693" s="363">
        <v>10862.6</v>
      </c>
    </row>
    <row r="1694" spans="2:3" x14ac:dyDescent="0.3">
      <c r="B1694" s="440">
        <v>43679</v>
      </c>
      <c r="C1694" s="363">
        <v>10997.35</v>
      </c>
    </row>
    <row r="1695" spans="2:3" x14ac:dyDescent="0.3">
      <c r="B1695" s="440">
        <v>43678</v>
      </c>
      <c r="C1695" s="363">
        <v>10980</v>
      </c>
    </row>
    <row r="1696" spans="2:3" x14ac:dyDescent="0.3">
      <c r="B1696" s="440">
        <v>43677</v>
      </c>
      <c r="C1696" s="363">
        <v>11118</v>
      </c>
    </row>
    <row r="1697" spans="2:3" x14ac:dyDescent="0.3">
      <c r="B1697" s="440">
        <v>43676</v>
      </c>
      <c r="C1697" s="363">
        <v>11085.4</v>
      </c>
    </row>
    <row r="1698" spans="2:3" x14ac:dyDescent="0.3">
      <c r="B1698" s="440">
        <v>43675</v>
      </c>
      <c r="C1698" s="363">
        <v>11189.2</v>
      </c>
    </row>
    <row r="1699" spans="2:3" x14ac:dyDescent="0.3">
      <c r="B1699" s="440">
        <v>43672</v>
      </c>
      <c r="C1699" s="363">
        <v>11284.3</v>
      </c>
    </row>
    <row r="1700" spans="2:3" x14ac:dyDescent="0.3">
      <c r="B1700" s="440">
        <v>43671</v>
      </c>
      <c r="C1700" s="363">
        <v>11252.15</v>
      </c>
    </row>
    <row r="1701" spans="2:3" x14ac:dyDescent="0.3">
      <c r="B1701" s="440">
        <v>43670</v>
      </c>
      <c r="C1701" s="363">
        <v>11271.3</v>
      </c>
    </row>
    <row r="1702" spans="2:3" x14ac:dyDescent="0.3">
      <c r="B1702" s="440">
        <v>43669</v>
      </c>
      <c r="C1702" s="363">
        <v>11331.05</v>
      </c>
    </row>
    <row r="1703" spans="2:3" x14ac:dyDescent="0.3">
      <c r="B1703" s="440">
        <v>43668</v>
      </c>
      <c r="C1703" s="363">
        <v>11346.2</v>
      </c>
    </row>
    <row r="1704" spans="2:3" x14ac:dyDescent="0.3">
      <c r="B1704" s="440">
        <v>43665</v>
      </c>
      <c r="C1704" s="363">
        <v>11419.25</v>
      </c>
    </row>
    <row r="1705" spans="2:3" x14ac:dyDescent="0.3">
      <c r="B1705" s="440">
        <v>43664</v>
      </c>
      <c r="C1705" s="363">
        <v>11596.9</v>
      </c>
    </row>
    <row r="1706" spans="2:3" x14ac:dyDescent="0.3">
      <c r="B1706" s="440">
        <v>43663</v>
      </c>
      <c r="C1706" s="363">
        <v>11687.5</v>
      </c>
    </row>
    <row r="1707" spans="2:3" x14ac:dyDescent="0.3">
      <c r="B1707" s="440">
        <v>43662</v>
      </c>
      <c r="C1707" s="363">
        <v>11662.6</v>
      </c>
    </row>
    <row r="1708" spans="2:3" x14ac:dyDescent="0.3">
      <c r="B1708" s="440">
        <v>43661</v>
      </c>
      <c r="C1708" s="363">
        <v>11588.35</v>
      </c>
    </row>
    <row r="1709" spans="2:3" x14ac:dyDescent="0.3">
      <c r="B1709" s="440">
        <v>43658</v>
      </c>
      <c r="C1709" s="363">
        <v>11552.5</v>
      </c>
    </row>
    <row r="1710" spans="2:3" x14ac:dyDescent="0.3">
      <c r="B1710" s="440">
        <v>43657</v>
      </c>
      <c r="C1710" s="363">
        <v>11582.9</v>
      </c>
    </row>
    <row r="1711" spans="2:3" x14ac:dyDescent="0.3">
      <c r="B1711" s="440">
        <v>43656</v>
      </c>
      <c r="C1711" s="363">
        <v>11498.9</v>
      </c>
    </row>
    <row r="1712" spans="2:3" x14ac:dyDescent="0.3">
      <c r="B1712" s="440">
        <v>43655</v>
      </c>
      <c r="C1712" s="363">
        <v>11555.9</v>
      </c>
    </row>
    <row r="1713" spans="2:3" x14ac:dyDescent="0.3">
      <c r="B1713" s="440">
        <v>43654</v>
      </c>
      <c r="C1713" s="363">
        <v>11558.6</v>
      </c>
    </row>
    <row r="1714" spans="2:3" x14ac:dyDescent="0.3">
      <c r="B1714" s="440">
        <v>43651</v>
      </c>
      <c r="C1714" s="363">
        <v>11811.15</v>
      </c>
    </row>
    <row r="1715" spans="2:3" x14ac:dyDescent="0.3">
      <c r="B1715" s="440">
        <v>43650</v>
      </c>
      <c r="C1715" s="363">
        <v>11946.75</v>
      </c>
    </row>
    <row r="1716" spans="2:3" x14ac:dyDescent="0.3">
      <c r="B1716" s="440">
        <v>43649</v>
      </c>
      <c r="C1716" s="363">
        <v>11916.75</v>
      </c>
    </row>
    <row r="1717" spans="2:3" x14ac:dyDescent="0.3">
      <c r="B1717" s="440">
        <v>43648</v>
      </c>
      <c r="C1717" s="363">
        <v>11910.3</v>
      </c>
    </row>
    <row r="1718" spans="2:3" x14ac:dyDescent="0.3">
      <c r="B1718" s="440">
        <v>43647</v>
      </c>
      <c r="C1718" s="363">
        <v>11865.6</v>
      </c>
    </row>
    <row r="1719" spans="2:3" x14ac:dyDescent="0.3">
      <c r="B1719" s="440">
        <v>43644</v>
      </c>
      <c r="C1719" s="363">
        <v>11788.85</v>
      </c>
    </row>
    <row r="1720" spans="2:3" x14ac:dyDescent="0.3">
      <c r="B1720" s="440">
        <v>43643</v>
      </c>
      <c r="C1720" s="363">
        <v>11841.55</v>
      </c>
    </row>
    <row r="1721" spans="2:3" x14ac:dyDescent="0.3">
      <c r="B1721" s="440">
        <v>43642</v>
      </c>
      <c r="C1721" s="363">
        <v>11847.55</v>
      </c>
    </row>
    <row r="1722" spans="2:3" x14ac:dyDescent="0.3">
      <c r="B1722" s="440">
        <v>43641</v>
      </c>
      <c r="C1722" s="363">
        <v>11796.45</v>
      </c>
    </row>
    <row r="1723" spans="2:3" x14ac:dyDescent="0.3">
      <c r="B1723" s="440">
        <v>43640</v>
      </c>
      <c r="C1723" s="363">
        <v>11699.65</v>
      </c>
    </row>
    <row r="1724" spans="2:3" x14ac:dyDescent="0.3">
      <c r="B1724" s="440">
        <v>43637</v>
      </c>
      <c r="C1724" s="363">
        <v>11724.1</v>
      </c>
    </row>
    <row r="1725" spans="2:3" x14ac:dyDescent="0.3">
      <c r="B1725" s="440">
        <v>43636</v>
      </c>
      <c r="C1725" s="363">
        <v>11831.75</v>
      </c>
    </row>
    <row r="1726" spans="2:3" x14ac:dyDescent="0.3">
      <c r="B1726" s="440">
        <v>43635</v>
      </c>
      <c r="C1726" s="363">
        <v>11691.45</v>
      </c>
    </row>
    <row r="1727" spans="2:3" x14ac:dyDescent="0.3">
      <c r="B1727" s="440">
        <v>43634</v>
      </c>
      <c r="C1727" s="363">
        <v>11691.5</v>
      </c>
    </row>
    <row r="1728" spans="2:3" x14ac:dyDescent="0.3">
      <c r="B1728" s="440">
        <v>43633</v>
      </c>
      <c r="C1728" s="363">
        <v>11672.15</v>
      </c>
    </row>
    <row r="1729" spans="2:3" x14ac:dyDescent="0.3">
      <c r="B1729" s="440">
        <v>43630</v>
      </c>
      <c r="C1729" s="363">
        <v>11823.3</v>
      </c>
    </row>
    <row r="1730" spans="2:3" x14ac:dyDescent="0.3">
      <c r="B1730" s="440">
        <v>43629</v>
      </c>
      <c r="C1730" s="363">
        <v>11914.05</v>
      </c>
    </row>
    <row r="1731" spans="2:3" x14ac:dyDescent="0.3">
      <c r="B1731" s="440">
        <v>43628</v>
      </c>
      <c r="C1731" s="363">
        <v>11906.2</v>
      </c>
    </row>
    <row r="1732" spans="2:3" x14ac:dyDescent="0.3">
      <c r="B1732" s="440">
        <v>43627</v>
      </c>
      <c r="C1732" s="363">
        <v>11965.6</v>
      </c>
    </row>
    <row r="1733" spans="2:3" x14ac:dyDescent="0.3">
      <c r="B1733" s="440">
        <v>43626</v>
      </c>
      <c r="C1733" s="363">
        <v>11922.7</v>
      </c>
    </row>
    <row r="1734" spans="2:3" x14ac:dyDescent="0.3">
      <c r="B1734" s="440">
        <v>43623</v>
      </c>
      <c r="C1734" s="363">
        <v>11870.65</v>
      </c>
    </row>
    <row r="1735" spans="2:3" x14ac:dyDescent="0.3">
      <c r="B1735" s="440">
        <v>43622</v>
      </c>
      <c r="C1735" s="363">
        <v>11843.75</v>
      </c>
    </row>
    <row r="1736" spans="2:3" x14ac:dyDescent="0.3">
      <c r="B1736" s="440">
        <v>43620</v>
      </c>
      <c r="C1736" s="363">
        <v>12021.65</v>
      </c>
    </row>
    <row r="1737" spans="2:3" x14ac:dyDescent="0.3">
      <c r="B1737" s="440">
        <v>43619</v>
      </c>
      <c r="C1737" s="363">
        <v>12088.55</v>
      </c>
    </row>
    <row r="1738" spans="2:3" x14ac:dyDescent="0.3">
      <c r="B1738" s="440">
        <v>43616</v>
      </c>
      <c r="C1738" s="363">
        <v>11922.8</v>
      </c>
    </row>
    <row r="1739" spans="2:3" x14ac:dyDescent="0.3">
      <c r="B1739" s="440">
        <v>43615</v>
      </c>
      <c r="C1739" s="363">
        <v>11945.9</v>
      </c>
    </row>
    <row r="1740" spans="2:3" x14ac:dyDescent="0.3">
      <c r="B1740" s="440">
        <v>43614</v>
      </c>
      <c r="C1740" s="363">
        <v>11861.1</v>
      </c>
    </row>
    <row r="1741" spans="2:3" x14ac:dyDescent="0.3">
      <c r="B1741" s="440">
        <v>43613</v>
      </c>
      <c r="C1741" s="363">
        <v>11928.75</v>
      </c>
    </row>
    <row r="1742" spans="2:3" x14ac:dyDescent="0.3">
      <c r="B1742" s="440">
        <v>43612</v>
      </c>
      <c r="C1742" s="363">
        <v>11924.75</v>
      </c>
    </row>
    <row r="1743" spans="2:3" x14ac:dyDescent="0.3">
      <c r="B1743" s="440">
        <v>43609</v>
      </c>
      <c r="C1743" s="363">
        <v>11844.1</v>
      </c>
    </row>
    <row r="1744" spans="2:3" x14ac:dyDescent="0.3">
      <c r="B1744" s="440">
        <v>43608</v>
      </c>
      <c r="C1744" s="363">
        <v>11657.05</v>
      </c>
    </row>
    <row r="1745" spans="2:3" x14ac:dyDescent="0.3">
      <c r="B1745" s="440">
        <v>43607</v>
      </c>
      <c r="C1745" s="363">
        <v>11737.9</v>
      </c>
    </row>
    <row r="1746" spans="2:3" x14ac:dyDescent="0.3">
      <c r="B1746" s="440">
        <v>43606</v>
      </c>
      <c r="C1746" s="363">
        <v>11709.1</v>
      </c>
    </row>
    <row r="1747" spans="2:3" x14ac:dyDescent="0.3">
      <c r="B1747" s="440">
        <v>43605</v>
      </c>
      <c r="C1747" s="363">
        <v>11828.25</v>
      </c>
    </row>
    <row r="1748" spans="2:3" x14ac:dyDescent="0.3">
      <c r="B1748" s="440">
        <v>43602</v>
      </c>
      <c r="C1748" s="363">
        <v>11407.15</v>
      </c>
    </row>
    <row r="1749" spans="2:3" x14ac:dyDescent="0.3">
      <c r="B1749" s="440">
        <v>43601</v>
      </c>
      <c r="C1749" s="363">
        <v>11257.1</v>
      </c>
    </row>
    <row r="1750" spans="2:3" x14ac:dyDescent="0.3">
      <c r="B1750" s="440">
        <v>43600</v>
      </c>
      <c r="C1750" s="363">
        <v>11157</v>
      </c>
    </row>
    <row r="1751" spans="2:3" x14ac:dyDescent="0.3">
      <c r="B1751" s="440">
        <v>43599</v>
      </c>
      <c r="C1751" s="363">
        <v>11222.05</v>
      </c>
    </row>
    <row r="1752" spans="2:3" x14ac:dyDescent="0.3">
      <c r="B1752" s="440">
        <v>43598</v>
      </c>
      <c r="C1752" s="363">
        <v>11148.2</v>
      </c>
    </row>
    <row r="1753" spans="2:3" x14ac:dyDescent="0.3">
      <c r="B1753" s="440">
        <v>43595</v>
      </c>
      <c r="C1753" s="363">
        <v>11278.9</v>
      </c>
    </row>
    <row r="1754" spans="2:3" x14ac:dyDescent="0.3">
      <c r="B1754" s="440">
        <v>43594</v>
      </c>
      <c r="C1754" s="363">
        <v>11301.8</v>
      </c>
    </row>
    <row r="1755" spans="2:3" x14ac:dyDescent="0.3">
      <c r="B1755" s="440">
        <v>43593</v>
      </c>
      <c r="C1755" s="363">
        <v>11359.45</v>
      </c>
    </row>
    <row r="1756" spans="2:3" x14ac:dyDescent="0.3">
      <c r="B1756" s="440">
        <v>43592</v>
      </c>
      <c r="C1756" s="363">
        <v>11497.9</v>
      </c>
    </row>
    <row r="1757" spans="2:3" x14ac:dyDescent="0.3">
      <c r="B1757" s="440">
        <v>43591</v>
      </c>
      <c r="C1757" s="363">
        <v>11598.25</v>
      </c>
    </row>
    <row r="1758" spans="2:3" x14ac:dyDescent="0.3">
      <c r="B1758" s="440">
        <v>43588</v>
      </c>
      <c r="C1758" s="363">
        <v>11712.25</v>
      </c>
    </row>
    <row r="1759" spans="2:3" x14ac:dyDescent="0.3">
      <c r="B1759" s="440">
        <v>43587</v>
      </c>
      <c r="C1759" s="363">
        <v>11724.75</v>
      </c>
    </row>
    <row r="1760" spans="2:3" x14ac:dyDescent="0.3">
      <c r="B1760" s="440">
        <v>43585</v>
      </c>
      <c r="C1760" s="363">
        <v>11748.15</v>
      </c>
    </row>
    <row r="1761" spans="2:3" x14ac:dyDescent="0.3">
      <c r="B1761" s="440">
        <v>43581</v>
      </c>
      <c r="C1761" s="363">
        <v>11754.65</v>
      </c>
    </row>
    <row r="1762" spans="2:3" x14ac:dyDescent="0.3">
      <c r="B1762" s="440">
        <v>43580</v>
      </c>
      <c r="C1762" s="363">
        <v>11641.8</v>
      </c>
    </row>
    <row r="1763" spans="2:3" x14ac:dyDescent="0.3">
      <c r="B1763" s="440">
        <v>43579</v>
      </c>
      <c r="C1763" s="363">
        <v>11726.15</v>
      </c>
    </row>
    <row r="1764" spans="2:3" x14ac:dyDescent="0.3">
      <c r="B1764" s="440">
        <v>43578</v>
      </c>
      <c r="C1764" s="363">
        <v>11575.95</v>
      </c>
    </row>
    <row r="1765" spans="2:3" x14ac:dyDescent="0.3">
      <c r="B1765" s="440">
        <v>43577</v>
      </c>
      <c r="C1765" s="363">
        <v>11594.45</v>
      </c>
    </row>
    <row r="1766" spans="2:3" x14ac:dyDescent="0.3">
      <c r="B1766" s="440">
        <v>43573</v>
      </c>
      <c r="C1766" s="363">
        <v>11752.8</v>
      </c>
    </row>
    <row r="1767" spans="2:3" x14ac:dyDescent="0.3">
      <c r="B1767" s="440">
        <v>43571</v>
      </c>
      <c r="C1767" s="363">
        <v>11787.15</v>
      </c>
    </row>
    <row r="1768" spans="2:3" x14ac:dyDescent="0.3">
      <c r="B1768" s="440">
        <v>43570</v>
      </c>
      <c r="C1768" s="363">
        <v>11690.35</v>
      </c>
    </row>
    <row r="1769" spans="2:3" x14ac:dyDescent="0.3">
      <c r="B1769" s="440">
        <v>43567</v>
      </c>
      <c r="C1769" s="363">
        <v>11643.45</v>
      </c>
    </row>
    <row r="1770" spans="2:3" x14ac:dyDescent="0.3">
      <c r="B1770" s="440">
        <v>43566</v>
      </c>
      <c r="C1770" s="363">
        <v>11596.7</v>
      </c>
    </row>
    <row r="1771" spans="2:3" x14ac:dyDescent="0.3">
      <c r="B1771" s="440">
        <v>43565</v>
      </c>
      <c r="C1771" s="363">
        <v>11584.3</v>
      </c>
    </row>
    <row r="1772" spans="2:3" x14ac:dyDescent="0.3">
      <c r="B1772" s="440">
        <v>43564</v>
      </c>
      <c r="C1772" s="363">
        <v>11671.95</v>
      </c>
    </row>
    <row r="1773" spans="2:3" x14ac:dyDescent="0.3">
      <c r="B1773" s="440">
        <v>43563</v>
      </c>
      <c r="C1773" s="363">
        <v>11604.5</v>
      </c>
    </row>
    <row r="1774" spans="2:3" x14ac:dyDescent="0.3">
      <c r="B1774" s="440">
        <v>43560</v>
      </c>
      <c r="C1774" s="363">
        <v>11665.95</v>
      </c>
    </row>
    <row r="1775" spans="2:3" x14ac:dyDescent="0.3">
      <c r="B1775" s="440">
        <v>43559</v>
      </c>
      <c r="C1775" s="363">
        <v>11598</v>
      </c>
    </row>
    <row r="1776" spans="2:3" x14ac:dyDescent="0.3">
      <c r="B1776" s="440">
        <v>43558</v>
      </c>
      <c r="C1776" s="363">
        <v>11643.95</v>
      </c>
    </row>
    <row r="1777" spans="2:3" x14ac:dyDescent="0.3">
      <c r="B1777" s="440">
        <v>43557</v>
      </c>
      <c r="C1777" s="363">
        <v>11713.2</v>
      </c>
    </row>
    <row r="1778" spans="2:3" x14ac:dyDescent="0.3">
      <c r="B1778" s="440">
        <v>43556</v>
      </c>
      <c r="C1778" s="363">
        <v>11669.15</v>
      </c>
    </row>
    <row r="1779" spans="2:3" x14ac:dyDescent="0.3">
      <c r="B1779" s="440">
        <v>43553</v>
      </c>
      <c r="C1779" s="363">
        <v>11623.9</v>
      </c>
    </row>
    <row r="1780" spans="2:3" x14ac:dyDescent="0.3">
      <c r="B1780" s="440">
        <v>43552</v>
      </c>
      <c r="C1780" s="363">
        <v>11570</v>
      </c>
    </row>
    <row r="1781" spans="2:3" x14ac:dyDescent="0.3">
      <c r="B1781" s="440">
        <v>43551</v>
      </c>
      <c r="C1781" s="363">
        <v>11445.05</v>
      </c>
    </row>
    <row r="1782" spans="2:3" x14ac:dyDescent="0.3">
      <c r="B1782" s="440">
        <v>43550</v>
      </c>
      <c r="C1782" s="363">
        <v>11483.25</v>
      </c>
    </row>
    <row r="1783" spans="2:3" x14ac:dyDescent="0.3">
      <c r="B1783" s="440">
        <v>43549</v>
      </c>
      <c r="C1783" s="363">
        <v>11354.25</v>
      </c>
    </row>
    <row r="1784" spans="2:3" x14ac:dyDescent="0.3">
      <c r="B1784" s="440">
        <v>43546</v>
      </c>
      <c r="C1784" s="363">
        <v>11456.9</v>
      </c>
    </row>
    <row r="1785" spans="2:3" x14ac:dyDescent="0.3">
      <c r="B1785" s="440">
        <v>43544</v>
      </c>
      <c r="C1785" s="363">
        <v>11521.05</v>
      </c>
    </row>
    <row r="1786" spans="2:3" x14ac:dyDescent="0.3">
      <c r="B1786" s="440">
        <v>43543</v>
      </c>
      <c r="C1786" s="363">
        <v>11532.4</v>
      </c>
    </row>
    <row r="1787" spans="2:3" x14ac:dyDescent="0.3">
      <c r="B1787" s="440">
        <v>43542</v>
      </c>
      <c r="C1787" s="363">
        <v>11462.2</v>
      </c>
    </row>
    <row r="1788" spans="2:3" x14ac:dyDescent="0.3">
      <c r="B1788" s="440">
        <v>43539</v>
      </c>
      <c r="C1788" s="363">
        <v>11426.85</v>
      </c>
    </row>
    <row r="1789" spans="2:3" x14ac:dyDescent="0.3">
      <c r="B1789" s="440">
        <v>43538</v>
      </c>
      <c r="C1789" s="363">
        <v>11343.25</v>
      </c>
    </row>
    <row r="1790" spans="2:3" x14ac:dyDescent="0.3">
      <c r="B1790" s="440">
        <v>43537</v>
      </c>
      <c r="C1790" s="363">
        <v>11341.7</v>
      </c>
    </row>
    <row r="1791" spans="2:3" x14ac:dyDescent="0.3">
      <c r="B1791" s="440">
        <v>43536</v>
      </c>
      <c r="C1791" s="363">
        <v>11301.2</v>
      </c>
    </row>
    <row r="1792" spans="2:3" x14ac:dyDescent="0.3">
      <c r="B1792" s="440">
        <v>43535</v>
      </c>
      <c r="C1792" s="363">
        <v>11168.05</v>
      </c>
    </row>
    <row r="1793" spans="2:3" x14ac:dyDescent="0.3">
      <c r="B1793" s="440">
        <v>43532</v>
      </c>
      <c r="C1793" s="363">
        <v>11035.4</v>
      </c>
    </row>
    <row r="1794" spans="2:3" x14ac:dyDescent="0.3">
      <c r="B1794" s="440">
        <v>43531</v>
      </c>
      <c r="C1794" s="363">
        <v>11058.2</v>
      </c>
    </row>
    <row r="1795" spans="2:3" x14ac:dyDescent="0.3">
      <c r="B1795" s="440">
        <v>43530</v>
      </c>
      <c r="C1795" s="363">
        <v>11053</v>
      </c>
    </row>
    <row r="1796" spans="2:3" x14ac:dyDescent="0.3">
      <c r="B1796" s="440">
        <v>43529</v>
      </c>
      <c r="C1796" s="363">
        <v>10987.45</v>
      </c>
    </row>
    <row r="1797" spans="2:3" x14ac:dyDescent="0.3">
      <c r="B1797" s="440">
        <v>43525</v>
      </c>
      <c r="C1797" s="363">
        <v>10863.5</v>
      </c>
    </row>
    <row r="1798" spans="2:3" x14ac:dyDescent="0.3">
      <c r="B1798" s="440">
        <v>43524</v>
      </c>
      <c r="C1798" s="363">
        <v>10792.5</v>
      </c>
    </row>
    <row r="1799" spans="2:3" x14ac:dyDescent="0.3">
      <c r="B1799" s="440">
        <v>43523</v>
      </c>
      <c r="C1799" s="363">
        <v>10806.65</v>
      </c>
    </row>
    <row r="1800" spans="2:3" x14ac:dyDescent="0.3">
      <c r="B1800" s="440">
        <v>43522</v>
      </c>
      <c r="C1800" s="363">
        <v>10835.3</v>
      </c>
    </row>
    <row r="1801" spans="2:3" x14ac:dyDescent="0.3">
      <c r="B1801" s="440">
        <v>43521</v>
      </c>
      <c r="C1801" s="363">
        <v>10880.1</v>
      </c>
    </row>
    <row r="1802" spans="2:3" x14ac:dyDescent="0.3">
      <c r="B1802" s="440">
        <v>43518</v>
      </c>
      <c r="C1802" s="363">
        <v>10791.65</v>
      </c>
    </row>
    <row r="1803" spans="2:3" x14ac:dyDescent="0.3">
      <c r="B1803" s="440">
        <v>43517</v>
      </c>
      <c r="C1803" s="363">
        <v>10789.85</v>
      </c>
    </row>
    <row r="1804" spans="2:3" x14ac:dyDescent="0.3">
      <c r="B1804" s="440">
        <v>43516</v>
      </c>
      <c r="C1804" s="363">
        <v>10735.45</v>
      </c>
    </row>
    <row r="1805" spans="2:3" x14ac:dyDescent="0.3">
      <c r="B1805" s="440">
        <v>43515</v>
      </c>
      <c r="C1805" s="363">
        <v>10604.35</v>
      </c>
    </row>
    <row r="1806" spans="2:3" x14ac:dyDescent="0.3">
      <c r="B1806" s="440">
        <v>43514</v>
      </c>
      <c r="C1806" s="363">
        <v>10640.95</v>
      </c>
    </row>
    <row r="1807" spans="2:3" x14ac:dyDescent="0.3">
      <c r="B1807" s="440">
        <v>43511</v>
      </c>
      <c r="C1807" s="363">
        <v>10724.4</v>
      </c>
    </row>
    <row r="1808" spans="2:3" x14ac:dyDescent="0.3">
      <c r="B1808" s="440">
        <v>43510</v>
      </c>
      <c r="C1808" s="363">
        <v>10746.05</v>
      </c>
    </row>
    <row r="1809" spans="2:3" x14ac:dyDescent="0.3">
      <c r="B1809" s="440">
        <v>43509</v>
      </c>
      <c r="C1809" s="363">
        <v>10793.65</v>
      </c>
    </row>
    <row r="1810" spans="2:3" x14ac:dyDescent="0.3">
      <c r="B1810" s="440">
        <v>43508</v>
      </c>
      <c r="C1810" s="363">
        <v>10831.4</v>
      </c>
    </row>
    <row r="1811" spans="2:3" x14ac:dyDescent="0.3">
      <c r="B1811" s="440">
        <v>43507</v>
      </c>
      <c r="C1811" s="363">
        <v>10888.8</v>
      </c>
    </row>
    <row r="1812" spans="2:3" x14ac:dyDescent="0.3">
      <c r="B1812" s="440">
        <v>43504</v>
      </c>
      <c r="C1812" s="363">
        <v>10943.6</v>
      </c>
    </row>
    <row r="1813" spans="2:3" x14ac:dyDescent="0.3">
      <c r="B1813" s="440">
        <v>43503</v>
      </c>
      <c r="C1813" s="363">
        <v>11069.4</v>
      </c>
    </row>
    <row r="1814" spans="2:3" x14ac:dyDescent="0.3">
      <c r="B1814" s="440">
        <v>43502</v>
      </c>
      <c r="C1814" s="363">
        <v>11062.45</v>
      </c>
    </row>
    <row r="1815" spans="2:3" x14ac:dyDescent="0.3">
      <c r="B1815" s="440">
        <v>43501</v>
      </c>
      <c r="C1815" s="363">
        <v>10934.35</v>
      </c>
    </row>
    <row r="1816" spans="2:3" x14ac:dyDescent="0.3">
      <c r="B1816" s="440">
        <v>43500</v>
      </c>
      <c r="C1816" s="363">
        <v>10912.25</v>
      </c>
    </row>
    <row r="1817" spans="2:3" x14ac:dyDescent="0.3">
      <c r="B1817" s="440">
        <v>43497</v>
      </c>
      <c r="C1817" s="363">
        <v>10893.65</v>
      </c>
    </row>
    <row r="1818" spans="2:3" x14ac:dyDescent="0.3">
      <c r="B1818" s="440">
        <v>43496</v>
      </c>
      <c r="C1818" s="363">
        <v>10830.95</v>
      </c>
    </row>
    <row r="1819" spans="2:3" x14ac:dyDescent="0.3">
      <c r="B1819" s="440">
        <v>43495</v>
      </c>
      <c r="C1819" s="363">
        <v>10651.8</v>
      </c>
    </row>
    <row r="1820" spans="2:3" x14ac:dyDescent="0.3">
      <c r="B1820" s="440">
        <v>43494</v>
      </c>
      <c r="C1820" s="363">
        <v>10652.2</v>
      </c>
    </row>
    <row r="1821" spans="2:3" x14ac:dyDescent="0.3">
      <c r="B1821" s="440">
        <v>43493</v>
      </c>
      <c r="C1821" s="363">
        <v>10661.55</v>
      </c>
    </row>
    <row r="1822" spans="2:3" x14ac:dyDescent="0.3">
      <c r="B1822" s="440">
        <v>43490</v>
      </c>
      <c r="C1822" s="363">
        <v>10780.55</v>
      </c>
    </row>
    <row r="1823" spans="2:3" x14ac:dyDescent="0.3">
      <c r="B1823" s="440">
        <v>43489</v>
      </c>
      <c r="C1823" s="363">
        <v>10849.8</v>
      </c>
    </row>
    <row r="1824" spans="2:3" x14ac:dyDescent="0.3">
      <c r="B1824" s="440">
        <v>43488</v>
      </c>
      <c r="C1824" s="363">
        <v>10831.5</v>
      </c>
    </row>
    <row r="1825" spans="2:3" x14ac:dyDescent="0.3">
      <c r="B1825" s="440">
        <v>43487</v>
      </c>
      <c r="C1825" s="363">
        <v>10922.75</v>
      </c>
    </row>
    <row r="1826" spans="2:3" x14ac:dyDescent="0.3">
      <c r="B1826" s="440">
        <v>43486</v>
      </c>
      <c r="C1826" s="363">
        <v>10961.85</v>
      </c>
    </row>
    <row r="1827" spans="2:3" x14ac:dyDescent="0.3">
      <c r="B1827" s="440">
        <v>43483</v>
      </c>
      <c r="C1827" s="363">
        <v>10906.95</v>
      </c>
    </row>
    <row r="1828" spans="2:3" x14ac:dyDescent="0.3">
      <c r="B1828" s="440">
        <v>43482</v>
      </c>
      <c r="C1828" s="363">
        <v>10905.2</v>
      </c>
    </row>
    <row r="1829" spans="2:3" x14ac:dyDescent="0.3">
      <c r="B1829" s="440">
        <v>43481</v>
      </c>
      <c r="C1829" s="363">
        <v>10890.3</v>
      </c>
    </row>
    <row r="1830" spans="2:3" x14ac:dyDescent="0.3">
      <c r="B1830" s="440">
        <v>43480</v>
      </c>
      <c r="C1830" s="363">
        <v>10886.8</v>
      </c>
    </row>
    <row r="1831" spans="2:3" x14ac:dyDescent="0.3">
      <c r="B1831" s="440">
        <v>43479</v>
      </c>
      <c r="C1831" s="363">
        <v>10737.6</v>
      </c>
    </row>
    <row r="1832" spans="2:3" x14ac:dyDescent="0.3">
      <c r="B1832" s="440">
        <v>43476</v>
      </c>
      <c r="C1832" s="363">
        <v>10794.95</v>
      </c>
    </row>
    <row r="1833" spans="2:3" x14ac:dyDescent="0.3">
      <c r="B1833" s="440">
        <v>43475</v>
      </c>
      <c r="C1833" s="363">
        <v>10821.6</v>
      </c>
    </row>
    <row r="1834" spans="2:3" x14ac:dyDescent="0.3">
      <c r="B1834" s="440">
        <v>43474</v>
      </c>
      <c r="C1834" s="363">
        <v>10855.15</v>
      </c>
    </row>
    <row r="1835" spans="2:3" x14ac:dyDescent="0.3">
      <c r="B1835" s="440">
        <v>43473</v>
      </c>
      <c r="C1835" s="363">
        <v>10802.15</v>
      </c>
    </row>
    <row r="1836" spans="2:3" x14ac:dyDescent="0.3">
      <c r="B1836" s="440">
        <v>43472</v>
      </c>
      <c r="C1836" s="363">
        <v>10771.8</v>
      </c>
    </row>
    <row r="1837" spans="2:3" x14ac:dyDescent="0.3">
      <c r="B1837" s="440">
        <v>43469</v>
      </c>
      <c r="C1837" s="363">
        <v>10727.35</v>
      </c>
    </row>
    <row r="1838" spans="2:3" x14ac:dyDescent="0.3">
      <c r="B1838" s="440">
        <v>43468</v>
      </c>
      <c r="C1838" s="363">
        <v>10672.25</v>
      </c>
    </row>
    <row r="1839" spans="2:3" x14ac:dyDescent="0.3">
      <c r="B1839" s="440">
        <v>43467</v>
      </c>
      <c r="C1839" s="363">
        <v>10792.5</v>
      </c>
    </row>
    <row r="1840" spans="2:3" x14ac:dyDescent="0.3">
      <c r="B1840" s="440">
        <v>43466</v>
      </c>
      <c r="C1840" s="363">
        <v>10910.1</v>
      </c>
    </row>
    <row r="1841" spans="2:3" x14ac:dyDescent="0.3">
      <c r="B1841" s="440">
        <v>43465</v>
      </c>
      <c r="C1841" s="363">
        <v>10862.55</v>
      </c>
    </row>
    <row r="1842" spans="2:3" x14ac:dyDescent="0.3">
      <c r="B1842" s="440">
        <v>43462</v>
      </c>
      <c r="C1842" s="363">
        <v>10859.9</v>
      </c>
    </row>
    <row r="1843" spans="2:3" x14ac:dyDescent="0.3">
      <c r="B1843" s="440">
        <v>43461</v>
      </c>
      <c r="C1843" s="363">
        <v>10779.8</v>
      </c>
    </row>
    <row r="1844" spans="2:3" x14ac:dyDescent="0.3">
      <c r="B1844" s="440">
        <v>43460</v>
      </c>
      <c r="C1844" s="363">
        <v>10729.85</v>
      </c>
    </row>
    <row r="1845" spans="2:3" x14ac:dyDescent="0.3">
      <c r="B1845" s="440">
        <v>43458</v>
      </c>
      <c r="C1845" s="363">
        <v>10663.5</v>
      </c>
    </row>
    <row r="1846" spans="2:3" x14ac:dyDescent="0.3">
      <c r="B1846" s="440">
        <v>43455</v>
      </c>
      <c r="C1846" s="363">
        <v>10754</v>
      </c>
    </row>
    <row r="1847" spans="2:3" x14ac:dyDescent="0.3">
      <c r="B1847" s="440">
        <v>43454</v>
      </c>
      <c r="C1847" s="363">
        <v>10951.7</v>
      </c>
    </row>
    <row r="1848" spans="2:3" x14ac:dyDescent="0.3">
      <c r="B1848" s="440">
        <v>43453</v>
      </c>
      <c r="C1848" s="363">
        <v>10967.3</v>
      </c>
    </row>
    <row r="1849" spans="2:3" x14ac:dyDescent="0.3">
      <c r="B1849" s="440">
        <v>43452</v>
      </c>
      <c r="C1849" s="363">
        <v>10908.7</v>
      </c>
    </row>
    <row r="1850" spans="2:3" x14ac:dyDescent="0.3">
      <c r="B1850" s="440">
        <v>43451</v>
      </c>
      <c r="C1850" s="363">
        <v>10888.35</v>
      </c>
    </row>
    <row r="1851" spans="2:3" x14ac:dyDescent="0.3">
      <c r="B1851" s="440">
        <v>43448</v>
      </c>
      <c r="C1851" s="363">
        <v>10805.45</v>
      </c>
    </row>
    <row r="1852" spans="2:3" x14ac:dyDescent="0.3">
      <c r="B1852" s="440">
        <v>43447</v>
      </c>
      <c r="C1852" s="363">
        <v>10791.55</v>
      </c>
    </row>
    <row r="1853" spans="2:3" x14ac:dyDescent="0.3">
      <c r="B1853" s="440">
        <v>43446</v>
      </c>
      <c r="C1853" s="363">
        <v>10737.6</v>
      </c>
    </row>
    <row r="1854" spans="2:3" x14ac:dyDescent="0.3">
      <c r="B1854" s="440">
        <v>43445</v>
      </c>
      <c r="C1854" s="363">
        <v>10549.15</v>
      </c>
    </row>
    <row r="1855" spans="2:3" x14ac:dyDescent="0.3">
      <c r="B1855" s="440">
        <v>43444</v>
      </c>
      <c r="C1855" s="363">
        <v>10488.45</v>
      </c>
    </row>
    <row r="1856" spans="2:3" x14ac:dyDescent="0.3">
      <c r="B1856" s="440">
        <v>43441</v>
      </c>
      <c r="C1856" s="363">
        <v>10693.7</v>
      </c>
    </row>
    <row r="1857" spans="2:3" x14ac:dyDescent="0.3">
      <c r="B1857" s="440">
        <v>43440</v>
      </c>
      <c r="C1857" s="363">
        <v>10601.15</v>
      </c>
    </row>
    <row r="1858" spans="2:3" x14ac:dyDescent="0.3">
      <c r="B1858" s="440">
        <v>43439</v>
      </c>
      <c r="C1858" s="363">
        <v>10782.9</v>
      </c>
    </row>
    <row r="1859" spans="2:3" x14ac:dyDescent="0.3">
      <c r="B1859" s="440">
        <v>43438</v>
      </c>
      <c r="C1859" s="363">
        <v>10869.5</v>
      </c>
    </row>
    <row r="1860" spans="2:3" x14ac:dyDescent="0.3">
      <c r="B1860" s="440">
        <v>43437</v>
      </c>
      <c r="C1860" s="363">
        <v>10883.75</v>
      </c>
    </row>
    <row r="1861" spans="2:3" x14ac:dyDescent="0.3">
      <c r="B1861" s="440">
        <v>43434</v>
      </c>
      <c r="C1861" s="363">
        <v>10876.75</v>
      </c>
    </row>
    <row r="1862" spans="2:3" x14ac:dyDescent="0.3">
      <c r="B1862" s="440">
        <v>43433</v>
      </c>
      <c r="C1862" s="363">
        <v>10858.7</v>
      </c>
    </row>
    <row r="1863" spans="2:3" x14ac:dyDescent="0.3">
      <c r="B1863" s="440">
        <v>43432</v>
      </c>
      <c r="C1863" s="363">
        <v>10728.85</v>
      </c>
    </row>
    <row r="1864" spans="2:3" x14ac:dyDescent="0.3">
      <c r="B1864" s="440">
        <v>43431</v>
      </c>
      <c r="C1864" s="363">
        <v>10685.6</v>
      </c>
    </row>
    <row r="1865" spans="2:3" x14ac:dyDescent="0.3">
      <c r="B1865" s="440">
        <v>43430</v>
      </c>
      <c r="C1865" s="363">
        <v>10628.6</v>
      </c>
    </row>
    <row r="1866" spans="2:3" x14ac:dyDescent="0.3">
      <c r="B1866" s="440">
        <v>43426</v>
      </c>
      <c r="C1866" s="363">
        <v>10526.75</v>
      </c>
    </row>
    <row r="1867" spans="2:3" x14ac:dyDescent="0.3">
      <c r="B1867" s="440">
        <v>43425</v>
      </c>
      <c r="C1867" s="363">
        <v>10600.05</v>
      </c>
    </row>
    <row r="1868" spans="2:3" x14ac:dyDescent="0.3">
      <c r="B1868" s="440">
        <v>43424</v>
      </c>
      <c r="C1868" s="363">
        <v>10656.2</v>
      </c>
    </row>
    <row r="1869" spans="2:3" x14ac:dyDescent="0.3">
      <c r="B1869" s="440">
        <v>43423</v>
      </c>
      <c r="C1869" s="363">
        <v>10763.4</v>
      </c>
    </row>
    <row r="1870" spans="2:3" x14ac:dyDescent="0.3">
      <c r="B1870" s="440">
        <v>43420</v>
      </c>
      <c r="C1870" s="363">
        <v>10682.2</v>
      </c>
    </row>
    <row r="1871" spans="2:3" x14ac:dyDescent="0.3">
      <c r="B1871" s="440">
        <v>43419</v>
      </c>
      <c r="C1871" s="363">
        <v>10616.7</v>
      </c>
    </row>
    <row r="1872" spans="2:3" x14ac:dyDescent="0.3">
      <c r="B1872" s="440">
        <v>43418</v>
      </c>
      <c r="C1872" s="363">
        <v>10576.3</v>
      </c>
    </row>
    <row r="1873" spans="2:3" x14ac:dyDescent="0.3">
      <c r="B1873" s="440">
        <v>43417</v>
      </c>
      <c r="C1873" s="363">
        <v>10582.5</v>
      </c>
    </row>
    <row r="1874" spans="2:3" x14ac:dyDescent="0.3">
      <c r="B1874" s="440">
        <v>43416</v>
      </c>
      <c r="C1874" s="363">
        <v>10482.200000000001</v>
      </c>
    </row>
    <row r="1875" spans="2:3" x14ac:dyDescent="0.3">
      <c r="B1875" s="440">
        <v>43413</v>
      </c>
      <c r="C1875" s="363">
        <v>10585.2</v>
      </c>
    </row>
    <row r="1876" spans="2:3" x14ac:dyDescent="0.3">
      <c r="B1876" s="440">
        <v>43411</v>
      </c>
      <c r="C1876" s="363">
        <v>10598.85</v>
      </c>
    </row>
    <row r="1877" spans="2:3" x14ac:dyDescent="0.3">
      <c r="B1877" s="440">
        <v>43410</v>
      </c>
      <c r="C1877" s="363">
        <v>10530</v>
      </c>
    </row>
    <row r="1878" spans="2:3" x14ac:dyDescent="0.3">
      <c r="B1878" s="440">
        <v>43409</v>
      </c>
      <c r="C1878" s="363">
        <v>10524</v>
      </c>
    </row>
    <row r="1879" spans="2:3" x14ac:dyDescent="0.3">
      <c r="B1879" s="440">
        <v>43406</v>
      </c>
      <c r="C1879" s="363">
        <v>10553</v>
      </c>
    </row>
    <row r="1880" spans="2:3" x14ac:dyDescent="0.3">
      <c r="B1880" s="440">
        <v>43405</v>
      </c>
      <c r="C1880" s="363">
        <v>10380.450000000001</v>
      </c>
    </row>
    <row r="1881" spans="2:3" x14ac:dyDescent="0.3">
      <c r="B1881" s="440">
        <v>43404</v>
      </c>
      <c r="C1881" s="363">
        <v>10386.6</v>
      </c>
    </row>
    <row r="1882" spans="2:3" x14ac:dyDescent="0.3">
      <c r="B1882" s="440">
        <v>43403</v>
      </c>
      <c r="C1882" s="363">
        <v>10198.4</v>
      </c>
    </row>
    <row r="1883" spans="2:3" x14ac:dyDescent="0.3">
      <c r="B1883" s="440">
        <v>43402</v>
      </c>
      <c r="C1883" s="363">
        <v>10250.85</v>
      </c>
    </row>
    <row r="1884" spans="2:3" x14ac:dyDescent="0.3">
      <c r="B1884" s="440">
        <v>43399</v>
      </c>
      <c r="C1884" s="363">
        <v>10030</v>
      </c>
    </row>
    <row r="1885" spans="2:3" x14ac:dyDescent="0.3">
      <c r="B1885" s="440">
        <v>43398</v>
      </c>
      <c r="C1885" s="363">
        <v>10124.9</v>
      </c>
    </row>
    <row r="1886" spans="2:3" x14ac:dyDescent="0.3">
      <c r="B1886" s="440">
        <v>43397</v>
      </c>
      <c r="C1886" s="363">
        <v>10224.75</v>
      </c>
    </row>
    <row r="1887" spans="2:3" x14ac:dyDescent="0.3">
      <c r="B1887" s="440">
        <v>43396</v>
      </c>
      <c r="C1887" s="363">
        <v>10146.799999999999</v>
      </c>
    </row>
    <row r="1888" spans="2:3" x14ac:dyDescent="0.3">
      <c r="B1888" s="440">
        <v>43395</v>
      </c>
      <c r="C1888" s="363">
        <v>10245.25</v>
      </c>
    </row>
    <row r="1889" spans="2:3" x14ac:dyDescent="0.3">
      <c r="B1889" s="440">
        <v>43392</v>
      </c>
      <c r="C1889" s="363">
        <v>10303.549999999999</v>
      </c>
    </row>
    <row r="1890" spans="2:3" x14ac:dyDescent="0.3">
      <c r="B1890" s="440">
        <v>43390</v>
      </c>
      <c r="C1890" s="363">
        <v>10453.049999999999</v>
      </c>
    </row>
    <row r="1891" spans="2:3" x14ac:dyDescent="0.3">
      <c r="B1891" s="440">
        <v>43389</v>
      </c>
      <c r="C1891" s="363">
        <v>10584.75</v>
      </c>
    </row>
    <row r="1892" spans="2:3" x14ac:dyDescent="0.3">
      <c r="B1892" s="440">
        <v>43388</v>
      </c>
      <c r="C1892" s="363">
        <v>10512.5</v>
      </c>
    </row>
    <row r="1893" spans="2:3" x14ac:dyDescent="0.3">
      <c r="B1893" s="440">
        <v>43385</v>
      </c>
      <c r="C1893" s="363">
        <v>10472.5</v>
      </c>
    </row>
    <row r="1894" spans="2:3" x14ac:dyDescent="0.3">
      <c r="B1894" s="440">
        <v>43384</v>
      </c>
      <c r="C1894" s="363">
        <v>10234.65</v>
      </c>
    </row>
    <row r="1895" spans="2:3" x14ac:dyDescent="0.3">
      <c r="B1895" s="440">
        <v>43383</v>
      </c>
      <c r="C1895" s="363">
        <v>10460.1</v>
      </c>
    </row>
    <row r="1896" spans="2:3" x14ac:dyDescent="0.3">
      <c r="B1896" s="440">
        <v>43382</v>
      </c>
      <c r="C1896" s="363">
        <v>10301.049999999999</v>
      </c>
    </row>
    <row r="1897" spans="2:3" x14ac:dyDescent="0.3">
      <c r="B1897" s="440">
        <v>43381</v>
      </c>
      <c r="C1897" s="363">
        <v>10348.049999999999</v>
      </c>
    </row>
    <row r="1898" spans="2:3" x14ac:dyDescent="0.3">
      <c r="B1898" s="440">
        <v>43378</v>
      </c>
      <c r="C1898" s="363">
        <v>10316.450000000001</v>
      </c>
    </row>
    <row r="1899" spans="2:3" x14ac:dyDescent="0.3">
      <c r="B1899" s="440">
        <v>43377</v>
      </c>
      <c r="C1899" s="363">
        <v>10599.25</v>
      </c>
    </row>
    <row r="1900" spans="2:3" x14ac:dyDescent="0.3">
      <c r="B1900" s="440">
        <v>43376</v>
      </c>
      <c r="C1900" s="363">
        <v>10858.25</v>
      </c>
    </row>
    <row r="1901" spans="2:3" x14ac:dyDescent="0.3">
      <c r="B1901" s="440">
        <v>43374</v>
      </c>
      <c r="C1901" s="363">
        <v>11008.3</v>
      </c>
    </row>
    <row r="1902" spans="2:3" x14ac:dyDescent="0.3">
      <c r="B1902" s="440">
        <v>43371</v>
      </c>
      <c r="C1902" s="363">
        <v>10930.45</v>
      </c>
    </row>
    <row r="1903" spans="2:3" x14ac:dyDescent="0.3">
      <c r="B1903" s="440">
        <v>43370</v>
      </c>
      <c r="C1903" s="363">
        <v>10977.55</v>
      </c>
    </row>
    <row r="1904" spans="2:3" x14ac:dyDescent="0.3">
      <c r="B1904" s="440">
        <v>43369</v>
      </c>
      <c r="C1904" s="363">
        <v>11053.8</v>
      </c>
    </row>
    <row r="1905" spans="2:3" x14ac:dyDescent="0.3">
      <c r="B1905" s="440">
        <v>43368</v>
      </c>
      <c r="C1905" s="363">
        <v>11067.45</v>
      </c>
    </row>
    <row r="1906" spans="2:3" x14ac:dyDescent="0.3">
      <c r="B1906" s="440">
        <v>43367</v>
      </c>
      <c r="C1906" s="363">
        <v>10967.4</v>
      </c>
    </row>
    <row r="1907" spans="2:3" x14ac:dyDescent="0.3">
      <c r="B1907" s="440">
        <v>43364</v>
      </c>
      <c r="C1907" s="363">
        <v>11143.1</v>
      </c>
    </row>
    <row r="1908" spans="2:3" x14ac:dyDescent="0.3">
      <c r="B1908" s="440">
        <v>43362</v>
      </c>
      <c r="C1908" s="363">
        <v>11234.35</v>
      </c>
    </row>
    <row r="1909" spans="2:3" x14ac:dyDescent="0.3">
      <c r="B1909" s="440">
        <v>43361</v>
      </c>
      <c r="C1909" s="363">
        <v>11278.9</v>
      </c>
    </row>
    <row r="1910" spans="2:3" x14ac:dyDescent="0.3">
      <c r="B1910" s="440">
        <v>43360</v>
      </c>
      <c r="C1910" s="363">
        <v>11377.75</v>
      </c>
    </row>
    <row r="1911" spans="2:3" x14ac:dyDescent="0.3">
      <c r="B1911" s="440">
        <v>43357</v>
      </c>
      <c r="C1911" s="363">
        <v>11515.2</v>
      </c>
    </row>
    <row r="1912" spans="2:3" x14ac:dyDescent="0.3">
      <c r="B1912" s="440">
        <v>43355</v>
      </c>
      <c r="C1912" s="363">
        <v>11369.9</v>
      </c>
    </row>
    <row r="1913" spans="2:3" x14ac:dyDescent="0.3">
      <c r="B1913" s="440">
        <v>43354</v>
      </c>
      <c r="C1913" s="363">
        <v>11287.5</v>
      </c>
    </row>
    <row r="1914" spans="2:3" x14ac:dyDescent="0.3">
      <c r="B1914" s="440">
        <v>43353</v>
      </c>
      <c r="C1914" s="363">
        <v>11438.1</v>
      </c>
    </row>
    <row r="1915" spans="2:3" x14ac:dyDescent="0.3">
      <c r="B1915" s="440">
        <v>43350</v>
      </c>
      <c r="C1915" s="363">
        <v>11589.1</v>
      </c>
    </row>
    <row r="1916" spans="2:3" x14ac:dyDescent="0.3">
      <c r="B1916" s="440">
        <v>43349</v>
      </c>
      <c r="C1916" s="363">
        <v>11536.9</v>
      </c>
    </row>
    <row r="1917" spans="2:3" x14ac:dyDescent="0.3">
      <c r="B1917" s="440">
        <v>43348</v>
      </c>
      <c r="C1917" s="363">
        <v>11476.95</v>
      </c>
    </row>
    <row r="1918" spans="2:3" x14ac:dyDescent="0.3">
      <c r="B1918" s="440">
        <v>43347</v>
      </c>
      <c r="C1918" s="363">
        <v>11520.3</v>
      </c>
    </row>
    <row r="1919" spans="2:3" x14ac:dyDescent="0.3">
      <c r="B1919" s="440">
        <v>43346</v>
      </c>
      <c r="C1919" s="363">
        <v>11582.35</v>
      </c>
    </row>
    <row r="1920" spans="2:3" x14ac:dyDescent="0.3">
      <c r="B1920" s="440">
        <v>43343</v>
      </c>
      <c r="C1920" s="363">
        <v>11680.5</v>
      </c>
    </row>
    <row r="1921" spans="2:3" x14ac:dyDescent="0.3">
      <c r="B1921" s="440">
        <v>43342</v>
      </c>
      <c r="C1921" s="363">
        <v>11676.8</v>
      </c>
    </row>
    <row r="1922" spans="2:3" x14ac:dyDescent="0.3">
      <c r="B1922" s="440">
        <v>43341</v>
      </c>
      <c r="C1922" s="363">
        <v>11691.9</v>
      </c>
    </row>
    <row r="1923" spans="2:3" x14ac:dyDescent="0.3">
      <c r="B1923" s="440">
        <v>43340</v>
      </c>
      <c r="C1923" s="363">
        <v>11738.5</v>
      </c>
    </row>
    <row r="1924" spans="2:3" x14ac:dyDescent="0.3">
      <c r="B1924" s="440">
        <v>43339</v>
      </c>
      <c r="C1924" s="363">
        <v>11691.95</v>
      </c>
    </row>
    <row r="1925" spans="2:3" x14ac:dyDescent="0.3">
      <c r="B1925" s="440">
        <v>43336</v>
      </c>
      <c r="C1925" s="363">
        <v>11557.1</v>
      </c>
    </row>
    <row r="1926" spans="2:3" x14ac:dyDescent="0.3">
      <c r="B1926" s="440">
        <v>43335</v>
      </c>
      <c r="C1926" s="363">
        <v>11582.75</v>
      </c>
    </row>
    <row r="1927" spans="2:3" x14ac:dyDescent="0.3">
      <c r="B1927" s="440">
        <v>43333</v>
      </c>
      <c r="C1927" s="363">
        <v>11570.9</v>
      </c>
    </row>
    <row r="1928" spans="2:3" x14ac:dyDescent="0.3">
      <c r="B1928" s="440">
        <v>43332</v>
      </c>
      <c r="C1928" s="363">
        <v>11551.75</v>
      </c>
    </row>
    <row r="1929" spans="2:3" x14ac:dyDescent="0.3">
      <c r="B1929" s="440">
        <v>43329</v>
      </c>
      <c r="C1929" s="363">
        <v>11470.75</v>
      </c>
    </row>
    <row r="1930" spans="2:3" x14ac:dyDescent="0.3">
      <c r="B1930" s="440">
        <v>43328</v>
      </c>
      <c r="C1930" s="363">
        <v>11385.05</v>
      </c>
    </row>
    <row r="1931" spans="2:3" x14ac:dyDescent="0.3">
      <c r="B1931" s="440">
        <v>43326</v>
      </c>
      <c r="C1931" s="363">
        <v>11435.1</v>
      </c>
    </row>
    <row r="1932" spans="2:3" x14ac:dyDescent="0.3">
      <c r="B1932" s="440">
        <v>43325</v>
      </c>
      <c r="C1932" s="363">
        <v>11355.75</v>
      </c>
    </row>
    <row r="1933" spans="2:3" x14ac:dyDescent="0.3">
      <c r="B1933" s="440">
        <v>43322</v>
      </c>
      <c r="C1933" s="363">
        <v>11429.5</v>
      </c>
    </row>
    <row r="1934" spans="2:3" x14ac:dyDescent="0.3">
      <c r="B1934" s="440">
        <v>43321</v>
      </c>
      <c r="C1934" s="363">
        <v>11470.7</v>
      </c>
    </row>
    <row r="1935" spans="2:3" x14ac:dyDescent="0.3">
      <c r="B1935" s="440">
        <v>43320</v>
      </c>
      <c r="C1935" s="363">
        <v>11450</v>
      </c>
    </row>
    <row r="1936" spans="2:3" x14ac:dyDescent="0.3">
      <c r="B1936" s="440">
        <v>43319</v>
      </c>
      <c r="C1936" s="363">
        <v>11389.45</v>
      </c>
    </row>
    <row r="1937" spans="2:3" x14ac:dyDescent="0.3">
      <c r="B1937" s="440">
        <v>43318</v>
      </c>
      <c r="C1937" s="363">
        <v>11387.1</v>
      </c>
    </row>
    <row r="1938" spans="2:3" x14ac:dyDescent="0.3">
      <c r="B1938" s="440">
        <v>43315</v>
      </c>
      <c r="C1938" s="363">
        <v>11360.8</v>
      </c>
    </row>
    <row r="1939" spans="2:3" x14ac:dyDescent="0.3">
      <c r="B1939" s="440">
        <v>43314</v>
      </c>
      <c r="C1939" s="363">
        <v>11244.7</v>
      </c>
    </row>
    <row r="1940" spans="2:3" x14ac:dyDescent="0.3">
      <c r="B1940" s="440">
        <v>43313</v>
      </c>
      <c r="C1940" s="363">
        <v>11346.2</v>
      </c>
    </row>
    <row r="1941" spans="2:3" x14ac:dyDescent="0.3">
      <c r="B1941" s="440">
        <v>43312</v>
      </c>
      <c r="C1941" s="363">
        <v>11356.5</v>
      </c>
    </row>
    <row r="1942" spans="2:3" x14ac:dyDescent="0.3">
      <c r="B1942" s="440">
        <v>43311</v>
      </c>
      <c r="C1942" s="363">
        <v>11319.55</v>
      </c>
    </row>
    <row r="1943" spans="2:3" x14ac:dyDescent="0.3">
      <c r="B1943" s="440">
        <v>43308</v>
      </c>
      <c r="C1943" s="363">
        <v>11278.35</v>
      </c>
    </row>
    <row r="1944" spans="2:3" x14ac:dyDescent="0.3">
      <c r="B1944" s="440">
        <v>43307</v>
      </c>
      <c r="C1944" s="363">
        <v>11167.3</v>
      </c>
    </row>
    <row r="1945" spans="2:3" x14ac:dyDescent="0.3">
      <c r="B1945" s="440">
        <v>43306</v>
      </c>
      <c r="C1945" s="363">
        <v>11132</v>
      </c>
    </row>
    <row r="1946" spans="2:3" x14ac:dyDescent="0.3">
      <c r="B1946" s="440">
        <v>43305</v>
      </c>
      <c r="C1946" s="363">
        <v>11134.3</v>
      </c>
    </row>
    <row r="1947" spans="2:3" x14ac:dyDescent="0.3">
      <c r="B1947" s="440">
        <v>43304</v>
      </c>
      <c r="C1947" s="363">
        <v>11084.75</v>
      </c>
    </row>
    <row r="1948" spans="2:3" x14ac:dyDescent="0.3">
      <c r="B1948" s="440">
        <v>43301</v>
      </c>
      <c r="C1948" s="363">
        <v>11010.2</v>
      </c>
    </row>
    <row r="1949" spans="2:3" x14ac:dyDescent="0.3">
      <c r="B1949" s="440">
        <v>43300</v>
      </c>
      <c r="C1949" s="363">
        <v>10957.1</v>
      </c>
    </row>
    <row r="1950" spans="2:3" x14ac:dyDescent="0.3">
      <c r="B1950" s="440">
        <v>43299</v>
      </c>
      <c r="C1950" s="363">
        <v>10980.45</v>
      </c>
    </row>
    <row r="1951" spans="2:3" x14ac:dyDescent="0.3">
      <c r="B1951" s="440">
        <v>43298</v>
      </c>
      <c r="C1951" s="363">
        <v>11008.05</v>
      </c>
    </row>
    <row r="1952" spans="2:3" x14ac:dyDescent="0.3">
      <c r="B1952" s="440">
        <v>43297</v>
      </c>
      <c r="C1952" s="363">
        <v>10936.85</v>
      </c>
    </row>
    <row r="1953" spans="2:3" x14ac:dyDescent="0.3">
      <c r="B1953" s="440">
        <v>43294</v>
      </c>
      <c r="C1953" s="363">
        <v>11018.9</v>
      </c>
    </row>
    <row r="1954" spans="2:3" x14ac:dyDescent="0.3">
      <c r="B1954" s="440">
        <v>43293</v>
      </c>
      <c r="C1954" s="363">
        <v>11023.2</v>
      </c>
    </row>
    <row r="1955" spans="2:3" x14ac:dyDescent="0.3">
      <c r="B1955" s="440">
        <v>43292</v>
      </c>
      <c r="C1955" s="363">
        <v>10948.3</v>
      </c>
    </row>
    <row r="1956" spans="2:3" x14ac:dyDescent="0.3">
      <c r="B1956" s="440">
        <v>43291</v>
      </c>
      <c r="C1956" s="363">
        <v>10947.25</v>
      </c>
    </row>
    <row r="1957" spans="2:3" x14ac:dyDescent="0.3">
      <c r="B1957" s="440">
        <v>43290</v>
      </c>
      <c r="C1957" s="363">
        <v>10852.9</v>
      </c>
    </row>
    <row r="1958" spans="2:3" x14ac:dyDescent="0.3">
      <c r="B1958" s="440">
        <v>43287</v>
      </c>
      <c r="C1958" s="363">
        <v>10772.65</v>
      </c>
    </row>
    <row r="1959" spans="2:3" x14ac:dyDescent="0.3">
      <c r="B1959" s="440">
        <v>43286</v>
      </c>
      <c r="C1959" s="363">
        <v>10749.75</v>
      </c>
    </row>
    <row r="1960" spans="2:3" x14ac:dyDescent="0.3">
      <c r="B1960" s="440">
        <v>43285</v>
      </c>
      <c r="C1960" s="363">
        <v>10769.9</v>
      </c>
    </row>
    <row r="1961" spans="2:3" x14ac:dyDescent="0.3">
      <c r="B1961" s="440">
        <v>43284</v>
      </c>
      <c r="C1961" s="363">
        <v>10699.9</v>
      </c>
    </row>
    <row r="1962" spans="2:3" x14ac:dyDescent="0.3">
      <c r="B1962" s="440">
        <v>43283</v>
      </c>
      <c r="C1962" s="363">
        <v>10657.3</v>
      </c>
    </row>
    <row r="1963" spans="2:3" x14ac:dyDescent="0.3">
      <c r="B1963" s="440">
        <v>43280</v>
      </c>
      <c r="C1963" s="363">
        <v>10714.3</v>
      </c>
    </row>
    <row r="1964" spans="2:3" x14ac:dyDescent="0.3">
      <c r="B1964" s="440">
        <v>43279</v>
      </c>
      <c r="C1964" s="363">
        <v>10589.1</v>
      </c>
    </row>
    <row r="1965" spans="2:3" x14ac:dyDescent="0.3">
      <c r="B1965" s="440">
        <v>43278</v>
      </c>
      <c r="C1965" s="363">
        <v>10671.4</v>
      </c>
    </row>
    <row r="1966" spans="2:3" x14ac:dyDescent="0.3">
      <c r="B1966" s="440">
        <v>43277</v>
      </c>
      <c r="C1966" s="363">
        <v>10769.15</v>
      </c>
    </row>
    <row r="1967" spans="2:3" x14ac:dyDescent="0.3">
      <c r="B1967" s="440">
        <v>43276</v>
      </c>
      <c r="C1967" s="363">
        <v>10762.45</v>
      </c>
    </row>
    <row r="1968" spans="2:3" x14ac:dyDescent="0.3">
      <c r="B1968" s="440">
        <v>43273</v>
      </c>
      <c r="C1968" s="363">
        <v>10821.85</v>
      </c>
    </row>
    <row r="1969" spans="2:3" x14ac:dyDescent="0.3">
      <c r="B1969" s="440">
        <v>43272</v>
      </c>
      <c r="C1969" s="363">
        <v>10741.1</v>
      </c>
    </row>
    <row r="1970" spans="2:3" x14ac:dyDescent="0.3">
      <c r="B1970" s="440">
        <v>43271</v>
      </c>
      <c r="C1970" s="363">
        <v>10772.05</v>
      </c>
    </row>
    <row r="1971" spans="2:3" x14ac:dyDescent="0.3">
      <c r="B1971" s="440">
        <v>43270</v>
      </c>
      <c r="C1971" s="363">
        <v>10710.45</v>
      </c>
    </row>
    <row r="1972" spans="2:3" x14ac:dyDescent="0.3">
      <c r="B1972" s="440">
        <v>43269</v>
      </c>
      <c r="C1972" s="363">
        <v>10799.85</v>
      </c>
    </row>
    <row r="1973" spans="2:3" x14ac:dyDescent="0.3">
      <c r="B1973" s="440">
        <v>43266</v>
      </c>
      <c r="C1973" s="363">
        <v>10817.7</v>
      </c>
    </row>
    <row r="1974" spans="2:3" x14ac:dyDescent="0.3">
      <c r="B1974" s="440">
        <v>43265</v>
      </c>
      <c r="C1974" s="363">
        <v>10808.05</v>
      </c>
    </row>
    <row r="1975" spans="2:3" x14ac:dyDescent="0.3">
      <c r="B1975" s="440">
        <v>43264</v>
      </c>
      <c r="C1975" s="363">
        <v>10856.7</v>
      </c>
    </row>
    <row r="1976" spans="2:3" x14ac:dyDescent="0.3">
      <c r="B1976" s="440">
        <v>43263</v>
      </c>
      <c r="C1976" s="363">
        <v>10842.85</v>
      </c>
    </row>
    <row r="1977" spans="2:3" x14ac:dyDescent="0.3">
      <c r="B1977" s="440">
        <v>43262</v>
      </c>
      <c r="C1977" s="363">
        <v>10786.95</v>
      </c>
    </row>
    <row r="1978" spans="2:3" x14ac:dyDescent="0.3">
      <c r="B1978" s="440">
        <v>43259</v>
      </c>
      <c r="C1978" s="363">
        <v>10767.65</v>
      </c>
    </row>
    <row r="1979" spans="2:3" x14ac:dyDescent="0.3">
      <c r="B1979" s="440">
        <v>43258</v>
      </c>
      <c r="C1979" s="363">
        <v>10768.35</v>
      </c>
    </row>
    <row r="1980" spans="2:3" x14ac:dyDescent="0.3">
      <c r="B1980" s="440">
        <v>43257</v>
      </c>
      <c r="C1980" s="363">
        <v>10684.65</v>
      </c>
    </row>
    <row r="1981" spans="2:3" x14ac:dyDescent="0.3">
      <c r="B1981" s="440">
        <v>43256</v>
      </c>
      <c r="C1981" s="363">
        <v>10593.15</v>
      </c>
    </row>
    <row r="1982" spans="2:3" x14ac:dyDescent="0.3">
      <c r="B1982" s="440">
        <v>43255</v>
      </c>
      <c r="C1982" s="363">
        <v>10628.5</v>
      </c>
    </row>
    <row r="1983" spans="2:3" x14ac:dyDescent="0.3">
      <c r="B1983" s="440">
        <v>43252</v>
      </c>
      <c r="C1983" s="363">
        <v>10696.2</v>
      </c>
    </row>
    <row r="1984" spans="2:3" x14ac:dyDescent="0.3">
      <c r="B1984" s="440">
        <v>43251</v>
      </c>
      <c r="C1984" s="363">
        <v>10736.15</v>
      </c>
    </row>
    <row r="1985" spans="2:3" x14ac:dyDescent="0.3">
      <c r="B1985" s="440">
        <v>43250</v>
      </c>
      <c r="C1985" s="363">
        <v>10614.35</v>
      </c>
    </row>
    <row r="1986" spans="2:3" x14ac:dyDescent="0.3">
      <c r="B1986" s="440">
        <v>43249</v>
      </c>
      <c r="C1986" s="363">
        <v>10633.3</v>
      </c>
    </row>
    <row r="1987" spans="2:3" x14ac:dyDescent="0.3">
      <c r="B1987" s="440">
        <v>43248</v>
      </c>
      <c r="C1987" s="363">
        <v>10688.65</v>
      </c>
    </row>
    <row r="1988" spans="2:3" x14ac:dyDescent="0.3">
      <c r="B1988" s="440">
        <v>43245</v>
      </c>
      <c r="C1988" s="363">
        <v>10605.15</v>
      </c>
    </row>
    <row r="1989" spans="2:3" x14ac:dyDescent="0.3">
      <c r="B1989" s="440">
        <v>43244</v>
      </c>
      <c r="C1989" s="363">
        <v>10513.85</v>
      </c>
    </row>
    <row r="1990" spans="2:3" x14ac:dyDescent="0.3">
      <c r="B1990" s="440">
        <v>43243</v>
      </c>
      <c r="C1990" s="363">
        <v>10430.35</v>
      </c>
    </row>
    <row r="1991" spans="2:3" x14ac:dyDescent="0.3">
      <c r="B1991" s="440">
        <v>43242</v>
      </c>
      <c r="C1991" s="363">
        <v>10536.7</v>
      </c>
    </row>
    <row r="1992" spans="2:3" x14ac:dyDescent="0.3">
      <c r="B1992" s="440">
        <v>43241</v>
      </c>
      <c r="C1992" s="363">
        <v>10516.7</v>
      </c>
    </row>
    <row r="1993" spans="2:3" x14ac:dyDescent="0.3">
      <c r="B1993" s="440">
        <v>43238</v>
      </c>
      <c r="C1993" s="363">
        <v>10596.4</v>
      </c>
    </row>
    <row r="1994" spans="2:3" x14ac:dyDescent="0.3">
      <c r="B1994" s="440">
        <v>43237</v>
      </c>
      <c r="C1994" s="363">
        <v>10682.7</v>
      </c>
    </row>
    <row r="1995" spans="2:3" x14ac:dyDescent="0.3">
      <c r="B1995" s="440">
        <v>43236</v>
      </c>
      <c r="C1995" s="363">
        <v>10741.1</v>
      </c>
    </row>
    <row r="1996" spans="2:3" x14ac:dyDescent="0.3">
      <c r="B1996" s="440">
        <v>43235</v>
      </c>
      <c r="C1996" s="363">
        <v>10801.85</v>
      </c>
    </row>
    <row r="1997" spans="2:3" x14ac:dyDescent="0.3">
      <c r="B1997" s="440">
        <v>43234</v>
      </c>
      <c r="C1997" s="363">
        <v>10806.6</v>
      </c>
    </row>
    <row r="1998" spans="2:3" x14ac:dyDescent="0.3">
      <c r="B1998" s="440">
        <v>43231</v>
      </c>
      <c r="C1998" s="363">
        <v>10806.5</v>
      </c>
    </row>
    <row r="1999" spans="2:3" x14ac:dyDescent="0.3">
      <c r="B1999" s="440">
        <v>43230</v>
      </c>
      <c r="C1999" s="363">
        <v>10716.55</v>
      </c>
    </row>
    <row r="2000" spans="2:3" x14ac:dyDescent="0.3">
      <c r="B2000" s="440">
        <v>43229</v>
      </c>
      <c r="C2000" s="363">
        <v>10741.7</v>
      </c>
    </row>
    <row r="2001" spans="2:3" x14ac:dyDescent="0.3">
      <c r="B2001" s="440">
        <v>43228</v>
      </c>
      <c r="C2001" s="363">
        <v>10717.8</v>
      </c>
    </row>
    <row r="2002" spans="2:3" x14ac:dyDescent="0.3">
      <c r="B2002" s="440">
        <v>43227</v>
      </c>
      <c r="C2002" s="363">
        <v>10715.5</v>
      </c>
    </row>
    <row r="2003" spans="2:3" x14ac:dyDescent="0.3">
      <c r="B2003" s="440">
        <v>43224</v>
      </c>
      <c r="C2003" s="363">
        <v>10618.25</v>
      </c>
    </row>
    <row r="2004" spans="2:3" x14ac:dyDescent="0.3">
      <c r="B2004" s="440">
        <v>43223</v>
      </c>
      <c r="C2004" s="363">
        <v>10679.65</v>
      </c>
    </row>
    <row r="2005" spans="2:3" x14ac:dyDescent="0.3">
      <c r="B2005" s="440">
        <v>43222</v>
      </c>
      <c r="C2005" s="363">
        <v>10718.05</v>
      </c>
    </row>
    <row r="2006" spans="2:3" x14ac:dyDescent="0.3">
      <c r="B2006" s="440">
        <v>43220</v>
      </c>
      <c r="C2006" s="363">
        <v>10739.35</v>
      </c>
    </row>
    <row r="2007" spans="2:3" x14ac:dyDescent="0.3">
      <c r="B2007" s="440">
        <v>43217</v>
      </c>
      <c r="C2007" s="363">
        <v>10692.3</v>
      </c>
    </row>
    <row r="2008" spans="2:3" x14ac:dyDescent="0.3">
      <c r="B2008" s="440">
        <v>43216</v>
      </c>
      <c r="C2008" s="363">
        <v>10617.8</v>
      </c>
    </row>
    <row r="2009" spans="2:3" x14ac:dyDescent="0.3">
      <c r="B2009" s="440">
        <v>43215</v>
      </c>
      <c r="C2009" s="363">
        <v>10570.55</v>
      </c>
    </row>
    <row r="2010" spans="2:3" x14ac:dyDescent="0.3">
      <c r="B2010" s="440">
        <v>43214</v>
      </c>
      <c r="C2010" s="363">
        <v>10614.35</v>
      </c>
    </row>
    <row r="2011" spans="2:3" x14ac:dyDescent="0.3">
      <c r="B2011" s="440">
        <v>43213</v>
      </c>
      <c r="C2011" s="363">
        <v>10584.7</v>
      </c>
    </row>
    <row r="2012" spans="2:3" x14ac:dyDescent="0.3">
      <c r="B2012" s="440">
        <v>43210</v>
      </c>
      <c r="C2012" s="363">
        <v>10564.05</v>
      </c>
    </row>
    <row r="2013" spans="2:3" x14ac:dyDescent="0.3">
      <c r="B2013" s="440">
        <v>43209</v>
      </c>
      <c r="C2013" s="363">
        <v>10565.3</v>
      </c>
    </row>
    <row r="2014" spans="2:3" x14ac:dyDescent="0.3">
      <c r="B2014" s="440">
        <v>43208</v>
      </c>
      <c r="C2014" s="363">
        <v>10526.2</v>
      </c>
    </row>
    <row r="2015" spans="2:3" x14ac:dyDescent="0.3">
      <c r="B2015" s="440">
        <v>43207</v>
      </c>
      <c r="C2015" s="363">
        <v>10548.7</v>
      </c>
    </row>
    <row r="2016" spans="2:3" x14ac:dyDescent="0.3">
      <c r="B2016" s="440">
        <v>43206</v>
      </c>
      <c r="C2016" s="363">
        <v>10528.35</v>
      </c>
    </row>
    <row r="2017" spans="2:3" x14ac:dyDescent="0.3">
      <c r="B2017" s="440">
        <v>43203</v>
      </c>
      <c r="C2017" s="363">
        <v>10480.6</v>
      </c>
    </row>
    <row r="2018" spans="2:3" x14ac:dyDescent="0.3">
      <c r="B2018" s="440">
        <v>43202</v>
      </c>
      <c r="C2018" s="363">
        <v>10458.65</v>
      </c>
    </row>
    <row r="2019" spans="2:3" x14ac:dyDescent="0.3">
      <c r="B2019" s="440">
        <v>43201</v>
      </c>
      <c r="C2019" s="363">
        <v>10417.15</v>
      </c>
    </row>
    <row r="2020" spans="2:3" x14ac:dyDescent="0.3">
      <c r="B2020" s="440">
        <v>43200</v>
      </c>
      <c r="C2020" s="363">
        <v>10402.25</v>
      </c>
    </row>
    <row r="2021" spans="2:3" x14ac:dyDescent="0.3">
      <c r="B2021" s="440">
        <v>43199</v>
      </c>
      <c r="C2021" s="363">
        <v>10379.35</v>
      </c>
    </row>
    <row r="2022" spans="2:3" x14ac:dyDescent="0.3">
      <c r="B2022" s="440">
        <v>43196</v>
      </c>
      <c r="C2022" s="363">
        <v>10331.6</v>
      </c>
    </row>
    <row r="2023" spans="2:3" x14ac:dyDescent="0.3">
      <c r="B2023" s="440">
        <v>43195</v>
      </c>
      <c r="C2023" s="363">
        <v>10325.15</v>
      </c>
    </row>
    <row r="2024" spans="2:3" x14ac:dyDescent="0.3">
      <c r="B2024" s="440">
        <v>43194</v>
      </c>
      <c r="C2024" s="363">
        <v>10128.4</v>
      </c>
    </row>
    <row r="2025" spans="2:3" x14ac:dyDescent="0.3">
      <c r="B2025" s="440">
        <v>43193</v>
      </c>
      <c r="C2025" s="363">
        <v>10245</v>
      </c>
    </row>
    <row r="2026" spans="2:3" x14ac:dyDescent="0.3">
      <c r="B2026" s="440">
        <v>43192</v>
      </c>
      <c r="C2026" s="363">
        <v>10211.799999999999</v>
      </c>
    </row>
    <row r="2027" spans="2:3" x14ac:dyDescent="0.3">
      <c r="B2027" s="440">
        <v>43187</v>
      </c>
      <c r="C2027" s="363">
        <v>10113.700000000001</v>
      </c>
    </row>
    <row r="2028" spans="2:3" x14ac:dyDescent="0.3">
      <c r="B2028" s="440">
        <v>43186</v>
      </c>
      <c r="C2028" s="363">
        <v>10184.15</v>
      </c>
    </row>
    <row r="2029" spans="2:3" x14ac:dyDescent="0.3">
      <c r="B2029" s="440">
        <v>43185</v>
      </c>
      <c r="C2029" s="363">
        <v>10130.65</v>
      </c>
    </row>
    <row r="2030" spans="2:3" x14ac:dyDescent="0.3">
      <c r="B2030" s="440">
        <v>43182</v>
      </c>
      <c r="C2030" s="363">
        <v>9998.0499999999993</v>
      </c>
    </row>
    <row r="2031" spans="2:3" x14ac:dyDescent="0.3">
      <c r="B2031" s="440">
        <v>43181</v>
      </c>
      <c r="C2031" s="363">
        <v>10114.75</v>
      </c>
    </row>
    <row r="2032" spans="2:3" x14ac:dyDescent="0.3">
      <c r="B2032" s="440">
        <v>43180</v>
      </c>
      <c r="C2032" s="363">
        <v>10155.25</v>
      </c>
    </row>
    <row r="2033" spans="2:3" x14ac:dyDescent="0.3">
      <c r="B2033" s="440">
        <v>43179</v>
      </c>
      <c r="C2033" s="363">
        <v>10124.35</v>
      </c>
    </row>
    <row r="2034" spans="2:3" x14ac:dyDescent="0.3">
      <c r="B2034" s="440">
        <v>43178</v>
      </c>
      <c r="C2034" s="363">
        <v>10094.25</v>
      </c>
    </row>
    <row r="2035" spans="2:3" x14ac:dyDescent="0.3">
      <c r="B2035" s="440">
        <v>43175</v>
      </c>
      <c r="C2035" s="363">
        <v>10195.15</v>
      </c>
    </row>
    <row r="2036" spans="2:3" x14ac:dyDescent="0.3">
      <c r="B2036" s="440">
        <v>43174</v>
      </c>
      <c r="C2036" s="363">
        <v>10360.15</v>
      </c>
    </row>
    <row r="2037" spans="2:3" x14ac:dyDescent="0.3">
      <c r="B2037" s="440">
        <v>43173</v>
      </c>
      <c r="C2037" s="363">
        <v>10410.9</v>
      </c>
    </row>
    <row r="2038" spans="2:3" x14ac:dyDescent="0.3">
      <c r="B2038" s="440">
        <v>43172</v>
      </c>
      <c r="C2038" s="363">
        <v>10426.85</v>
      </c>
    </row>
    <row r="2039" spans="2:3" x14ac:dyDescent="0.3">
      <c r="B2039" s="440">
        <v>43171</v>
      </c>
      <c r="C2039" s="363">
        <v>10421.4</v>
      </c>
    </row>
    <row r="2040" spans="2:3" x14ac:dyDescent="0.3">
      <c r="B2040" s="440">
        <v>43168</v>
      </c>
      <c r="C2040" s="363">
        <v>10226.85</v>
      </c>
    </row>
    <row r="2041" spans="2:3" x14ac:dyDescent="0.3">
      <c r="B2041" s="440">
        <v>43167</v>
      </c>
      <c r="C2041" s="363">
        <v>10242.65</v>
      </c>
    </row>
    <row r="2042" spans="2:3" x14ac:dyDescent="0.3">
      <c r="B2042" s="440">
        <v>43166</v>
      </c>
      <c r="C2042" s="363">
        <v>10154.200000000001</v>
      </c>
    </row>
    <row r="2043" spans="2:3" x14ac:dyDescent="0.3">
      <c r="B2043" s="440">
        <v>43165</v>
      </c>
      <c r="C2043" s="363">
        <v>10249.25</v>
      </c>
    </row>
    <row r="2044" spans="2:3" x14ac:dyDescent="0.3">
      <c r="B2044" s="440">
        <v>43164</v>
      </c>
      <c r="C2044" s="363">
        <v>10358.85</v>
      </c>
    </row>
    <row r="2045" spans="2:3" x14ac:dyDescent="0.3">
      <c r="B2045" s="440">
        <v>43160</v>
      </c>
      <c r="C2045" s="363">
        <v>10458.35</v>
      </c>
    </row>
    <row r="2046" spans="2:3" x14ac:dyDescent="0.3">
      <c r="B2046" s="440">
        <v>43159</v>
      </c>
      <c r="C2046" s="363">
        <v>10492.85</v>
      </c>
    </row>
    <row r="2047" spans="2:3" x14ac:dyDescent="0.3">
      <c r="B2047" s="440">
        <v>43158</v>
      </c>
      <c r="C2047" s="363">
        <v>10554.3</v>
      </c>
    </row>
    <row r="2048" spans="2:3" x14ac:dyDescent="0.3">
      <c r="B2048" s="440">
        <v>43157</v>
      </c>
      <c r="C2048" s="363">
        <v>10582.6</v>
      </c>
    </row>
    <row r="2049" spans="2:3" x14ac:dyDescent="0.3">
      <c r="B2049" s="440">
        <v>43154</v>
      </c>
      <c r="C2049" s="363">
        <v>10491.05</v>
      </c>
    </row>
    <row r="2050" spans="2:3" x14ac:dyDescent="0.3">
      <c r="B2050" s="440">
        <v>43153</v>
      </c>
      <c r="C2050" s="363">
        <v>10382.700000000001</v>
      </c>
    </row>
    <row r="2051" spans="2:3" x14ac:dyDescent="0.3">
      <c r="B2051" s="440">
        <v>43152</v>
      </c>
      <c r="C2051" s="363">
        <v>10397.450000000001</v>
      </c>
    </row>
    <row r="2052" spans="2:3" x14ac:dyDescent="0.3">
      <c r="B2052" s="440">
        <v>43151</v>
      </c>
      <c r="C2052" s="363">
        <v>10360.4</v>
      </c>
    </row>
    <row r="2053" spans="2:3" x14ac:dyDescent="0.3">
      <c r="B2053" s="440">
        <v>43150</v>
      </c>
      <c r="C2053" s="363">
        <v>10378.4</v>
      </c>
    </row>
    <row r="2054" spans="2:3" x14ac:dyDescent="0.3">
      <c r="B2054" s="440">
        <v>43147</v>
      </c>
      <c r="C2054" s="363">
        <v>10452.299999999999</v>
      </c>
    </row>
    <row r="2055" spans="2:3" x14ac:dyDescent="0.3">
      <c r="B2055" s="440">
        <v>43146</v>
      </c>
      <c r="C2055" s="363">
        <v>10545.5</v>
      </c>
    </row>
    <row r="2056" spans="2:3" x14ac:dyDescent="0.3">
      <c r="B2056" s="440">
        <v>43145</v>
      </c>
      <c r="C2056" s="363">
        <v>10500.9</v>
      </c>
    </row>
    <row r="2057" spans="2:3" x14ac:dyDescent="0.3">
      <c r="B2057" s="440">
        <v>43143</v>
      </c>
      <c r="C2057" s="363">
        <v>10539.75</v>
      </c>
    </row>
    <row r="2058" spans="2:3" x14ac:dyDescent="0.3">
      <c r="B2058" s="440">
        <v>43140</v>
      </c>
      <c r="C2058" s="363">
        <v>10454.950000000001</v>
      </c>
    </row>
    <row r="2059" spans="2:3" x14ac:dyDescent="0.3">
      <c r="B2059" s="440">
        <v>43139</v>
      </c>
      <c r="C2059" s="363">
        <v>10576.85</v>
      </c>
    </row>
    <row r="2060" spans="2:3" x14ac:dyDescent="0.3">
      <c r="B2060" s="440">
        <v>43138</v>
      </c>
      <c r="C2060" s="363">
        <v>10476.700000000001</v>
      </c>
    </row>
    <row r="2061" spans="2:3" x14ac:dyDescent="0.3">
      <c r="B2061" s="440">
        <v>43137</v>
      </c>
      <c r="C2061" s="363">
        <v>10498.25</v>
      </c>
    </row>
    <row r="2062" spans="2:3" x14ac:dyDescent="0.3">
      <c r="B2062" s="440">
        <v>43136</v>
      </c>
      <c r="C2062" s="363">
        <v>10666.55</v>
      </c>
    </row>
    <row r="2063" spans="2:3" x14ac:dyDescent="0.3">
      <c r="B2063" s="440">
        <v>43133</v>
      </c>
      <c r="C2063" s="363">
        <v>10760.6</v>
      </c>
    </row>
    <row r="2064" spans="2:3" x14ac:dyDescent="0.3">
      <c r="B2064" s="440">
        <v>43132</v>
      </c>
      <c r="C2064" s="363">
        <v>11016.9</v>
      </c>
    </row>
    <row r="2065" spans="2:3" x14ac:dyDescent="0.3">
      <c r="B2065" s="440">
        <v>43131</v>
      </c>
      <c r="C2065" s="363">
        <v>11027.7</v>
      </c>
    </row>
    <row r="2066" spans="2:3" x14ac:dyDescent="0.3">
      <c r="B2066" s="440">
        <v>43130</v>
      </c>
      <c r="C2066" s="363">
        <v>11049.65</v>
      </c>
    </row>
    <row r="2067" spans="2:3" x14ac:dyDescent="0.3">
      <c r="B2067" s="440">
        <v>43129</v>
      </c>
      <c r="C2067" s="363">
        <v>11130.4</v>
      </c>
    </row>
    <row r="2068" spans="2:3" x14ac:dyDescent="0.3">
      <c r="B2068" s="440">
        <v>43125</v>
      </c>
      <c r="C2068" s="363">
        <v>11069.65</v>
      </c>
    </row>
    <row r="2069" spans="2:3" x14ac:dyDescent="0.3">
      <c r="B2069" s="440">
        <v>43124</v>
      </c>
      <c r="C2069" s="363">
        <v>11086</v>
      </c>
    </row>
    <row r="2070" spans="2:3" x14ac:dyDescent="0.3">
      <c r="B2070" s="440">
        <v>43123</v>
      </c>
      <c r="C2070" s="363">
        <v>11083.7</v>
      </c>
    </row>
    <row r="2071" spans="2:3" x14ac:dyDescent="0.3">
      <c r="B2071" s="440">
        <v>43122</v>
      </c>
      <c r="C2071" s="363">
        <v>10966.2</v>
      </c>
    </row>
    <row r="2072" spans="2:3" x14ac:dyDescent="0.3">
      <c r="B2072" s="440">
        <v>43119</v>
      </c>
      <c r="C2072" s="363">
        <v>10894.7</v>
      </c>
    </row>
    <row r="2073" spans="2:3" x14ac:dyDescent="0.3">
      <c r="B2073" s="440">
        <v>43118</v>
      </c>
      <c r="C2073" s="363">
        <v>10817</v>
      </c>
    </row>
    <row r="2074" spans="2:3" x14ac:dyDescent="0.3">
      <c r="B2074" s="440">
        <v>43117</v>
      </c>
      <c r="C2074" s="363">
        <v>10788.55</v>
      </c>
    </row>
    <row r="2075" spans="2:3" x14ac:dyDescent="0.3">
      <c r="B2075" s="440">
        <v>43116</v>
      </c>
      <c r="C2075" s="363">
        <v>10700.45</v>
      </c>
    </row>
    <row r="2076" spans="2:3" x14ac:dyDescent="0.3">
      <c r="B2076" s="440">
        <v>43115</v>
      </c>
      <c r="C2076" s="363">
        <v>10741.55</v>
      </c>
    </row>
    <row r="2077" spans="2:3" x14ac:dyDescent="0.3">
      <c r="B2077" s="440">
        <v>43112</v>
      </c>
      <c r="C2077" s="363">
        <v>10681.25</v>
      </c>
    </row>
    <row r="2078" spans="2:3" x14ac:dyDescent="0.3">
      <c r="B2078" s="440">
        <v>43111</v>
      </c>
      <c r="C2078" s="363">
        <v>10651.2</v>
      </c>
    </row>
    <row r="2079" spans="2:3" x14ac:dyDescent="0.3">
      <c r="B2079" s="440">
        <v>43110</v>
      </c>
      <c r="C2079" s="363">
        <v>10632.2</v>
      </c>
    </row>
    <row r="2080" spans="2:3" x14ac:dyDescent="0.3">
      <c r="B2080" s="440">
        <v>43109</v>
      </c>
      <c r="C2080" s="363">
        <v>10637</v>
      </c>
    </row>
    <row r="2081" spans="2:3" x14ac:dyDescent="0.3">
      <c r="B2081" s="440">
        <v>43108</v>
      </c>
      <c r="C2081" s="363">
        <v>10623.6</v>
      </c>
    </row>
    <row r="2082" spans="2:3" x14ac:dyDescent="0.3">
      <c r="B2082" s="440">
        <v>43105</v>
      </c>
      <c r="C2082" s="363">
        <v>10558.85</v>
      </c>
    </row>
    <row r="2083" spans="2:3" x14ac:dyDescent="0.3">
      <c r="B2083" s="440">
        <v>43104</v>
      </c>
      <c r="C2083" s="363">
        <v>10504.8</v>
      </c>
    </row>
    <row r="2084" spans="2:3" x14ac:dyDescent="0.3">
      <c r="B2084" s="440">
        <v>43103</v>
      </c>
      <c r="C2084" s="363">
        <v>10443.200000000001</v>
      </c>
    </row>
    <row r="2085" spans="2:3" x14ac:dyDescent="0.3">
      <c r="B2085" s="440">
        <v>43102</v>
      </c>
      <c r="C2085" s="363">
        <v>10442.200000000001</v>
      </c>
    </row>
    <row r="2086" spans="2:3" x14ac:dyDescent="0.3">
      <c r="B2086" s="440">
        <v>43101</v>
      </c>
      <c r="C2086" s="363">
        <v>10435.549999999999</v>
      </c>
    </row>
    <row r="2087" spans="2:3" x14ac:dyDescent="0.3">
      <c r="B2087" s="440">
        <v>43098</v>
      </c>
      <c r="C2087" s="363">
        <v>10530.7</v>
      </c>
    </row>
    <row r="2088" spans="2:3" x14ac:dyDescent="0.3">
      <c r="B2088" s="440">
        <v>43097</v>
      </c>
      <c r="C2088" s="363">
        <v>10477.9</v>
      </c>
    </row>
    <row r="2089" spans="2:3" x14ac:dyDescent="0.3">
      <c r="B2089" s="440">
        <v>43096</v>
      </c>
      <c r="C2089" s="363">
        <v>10490.75</v>
      </c>
    </row>
    <row r="2090" spans="2:3" x14ac:dyDescent="0.3">
      <c r="B2090" s="440">
        <v>43095</v>
      </c>
      <c r="C2090" s="363">
        <v>10531.5</v>
      </c>
    </row>
    <row r="2091" spans="2:3" x14ac:dyDescent="0.3">
      <c r="B2091" s="440">
        <v>43091</v>
      </c>
      <c r="C2091" s="363">
        <v>10493</v>
      </c>
    </row>
    <row r="2092" spans="2:3" x14ac:dyDescent="0.3">
      <c r="B2092" s="440">
        <v>43090</v>
      </c>
      <c r="C2092" s="363">
        <v>10440.299999999999</v>
      </c>
    </row>
    <row r="2093" spans="2:3" x14ac:dyDescent="0.3">
      <c r="B2093" s="440">
        <v>43089</v>
      </c>
      <c r="C2093" s="363">
        <v>10444.200000000001</v>
      </c>
    </row>
    <row r="2094" spans="2:3" x14ac:dyDescent="0.3">
      <c r="B2094" s="440">
        <v>43088</v>
      </c>
      <c r="C2094" s="363">
        <v>10463.200000000001</v>
      </c>
    </row>
    <row r="2095" spans="2:3" x14ac:dyDescent="0.3">
      <c r="B2095" s="440">
        <v>43087</v>
      </c>
      <c r="C2095" s="363">
        <v>10388.75</v>
      </c>
    </row>
    <row r="2096" spans="2:3" x14ac:dyDescent="0.3">
      <c r="B2096" s="440">
        <v>43084</v>
      </c>
      <c r="C2096" s="363">
        <v>10333.25</v>
      </c>
    </row>
    <row r="2097" spans="2:3" x14ac:dyDescent="0.3">
      <c r="B2097" s="440">
        <v>43083</v>
      </c>
      <c r="C2097" s="363">
        <v>10252.1</v>
      </c>
    </row>
    <row r="2098" spans="2:3" x14ac:dyDescent="0.3">
      <c r="B2098" s="440">
        <v>43082</v>
      </c>
      <c r="C2098" s="363">
        <v>10192.950000000001</v>
      </c>
    </row>
    <row r="2099" spans="2:3" x14ac:dyDescent="0.3">
      <c r="B2099" s="440">
        <v>43081</v>
      </c>
      <c r="C2099" s="363">
        <v>10240.15</v>
      </c>
    </row>
    <row r="2100" spans="2:3" x14ac:dyDescent="0.3">
      <c r="B2100" s="440">
        <v>43080</v>
      </c>
      <c r="C2100" s="363">
        <v>10322.25</v>
      </c>
    </row>
    <row r="2101" spans="2:3" x14ac:dyDescent="0.3">
      <c r="B2101" s="440">
        <v>43077</v>
      </c>
      <c r="C2101" s="363">
        <v>10265.65</v>
      </c>
    </row>
    <row r="2102" spans="2:3" x14ac:dyDescent="0.3">
      <c r="B2102" s="440">
        <v>43076</v>
      </c>
      <c r="C2102" s="363">
        <v>10166.700000000001</v>
      </c>
    </row>
    <row r="2103" spans="2:3" x14ac:dyDescent="0.3">
      <c r="B2103" s="440">
        <v>43075</v>
      </c>
      <c r="C2103" s="363">
        <v>10044.1</v>
      </c>
    </row>
    <row r="2104" spans="2:3" x14ac:dyDescent="0.3">
      <c r="B2104" s="440">
        <v>43074</v>
      </c>
      <c r="C2104" s="363">
        <v>10118.25</v>
      </c>
    </row>
    <row r="2105" spans="2:3" x14ac:dyDescent="0.3">
      <c r="B2105" s="440">
        <v>43073</v>
      </c>
      <c r="C2105" s="363">
        <v>10127.75</v>
      </c>
    </row>
    <row r="2106" spans="2:3" x14ac:dyDescent="0.3">
      <c r="B2106" s="440">
        <v>43070</v>
      </c>
      <c r="C2106" s="363">
        <v>10121.799999999999</v>
      </c>
    </row>
    <row r="2107" spans="2:3" x14ac:dyDescent="0.3">
      <c r="B2107" s="440">
        <v>43069</v>
      </c>
      <c r="C2107" s="363">
        <v>10226.549999999999</v>
      </c>
    </row>
    <row r="2108" spans="2:3" x14ac:dyDescent="0.3">
      <c r="B2108" s="440">
        <v>43068</v>
      </c>
      <c r="C2108" s="363">
        <v>10361.299999999999</v>
      </c>
    </row>
    <row r="2109" spans="2:3" x14ac:dyDescent="0.3">
      <c r="B2109" s="440">
        <v>43067</v>
      </c>
      <c r="C2109" s="363">
        <v>10370.25</v>
      </c>
    </row>
    <row r="2110" spans="2:3" x14ac:dyDescent="0.3">
      <c r="B2110" s="440">
        <v>43066</v>
      </c>
      <c r="C2110" s="363">
        <v>10399.549999999999</v>
      </c>
    </row>
    <row r="2111" spans="2:3" x14ac:dyDescent="0.3">
      <c r="B2111" s="440">
        <v>43063</v>
      </c>
      <c r="C2111" s="363">
        <v>10389.700000000001</v>
      </c>
    </row>
    <row r="2112" spans="2:3" x14ac:dyDescent="0.3">
      <c r="B2112" s="440">
        <v>43062</v>
      </c>
      <c r="C2112" s="363">
        <v>10348.75</v>
      </c>
    </row>
    <row r="2113" spans="2:3" x14ac:dyDescent="0.3">
      <c r="B2113" s="440">
        <v>43061</v>
      </c>
      <c r="C2113" s="363">
        <v>10342.299999999999</v>
      </c>
    </row>
    <row r="2114" spans="2:3" x14ac:dyDescent="0.3">
      <c r="B2114" s="440">
        <v>43060</v>
      </c>
      <c r="C2114" s="363">
        <v>10326.9</v>
      </c>
    </row>
    <row r="2115" spans="2:3" x14ac:dyDescent="0.3">
      <c r="B2115" s="440">
        <v>43059</v>
      </c>
      <c r="C2115" s="363">
        <v>10298.75</v>
      </c>
    </row>
    <row r="2116" spans="2:3" x14ac:dyDescent="0.3">
      <c r="B2116" s="440">
        <v>43056</v>
      </c>
      <c r="C2116" s="363">
        <v>10283.6</v>
      </c>
    </row>
    <row r="2117" spans="2:3" x14ac:dyDescent="0.3">
      <c r="B2117" s="440">
        <v>43055</v>
      </c>
      <c r="C2117" s="363">
        <v>10214.75</v>
      </c>
    </row>
    <row r="2118" spans="2:3" x14ac:dyDescent="0.3">
      <c r="B2118" s="440">
        <v>43054</v>
      </c>
      <c r="C2118" s="363">
        <v>10118.049999999999</v>
      </c>
    </row>
    <row r="2119" spans="2:3" x14ac:dyDescent="0.3">
      <c r="B2119" s="440">
        <v>43053</v>
      </c>
      <c r="C2119" s="363">
        <v>10186.6</v>
      </c>
    </row>
    <row r="2120" spans="2:3" x14ac:dyDescent="0.3">
      <c r="B2120" s="440">
        <v>43052</v>
      </c>
      <c r="C2120" s="363">
        <v>10224.950000000001</v>
      </c>
    </row>
    <row r="2121" spans="2:3" x14ac:dyDescent="0.3">
      <c r="B2121" s="440">
        <v>43049</v>
      </c>
      <c r="C2121" s="363">
        <v>10321.75</v>
      </c>
    </row>
    <row r="2122" spans="2:3" x14ac:dyDescent="0.3">
      <c r="B2122" s="440">
        <v>43048</v>
      </c>
      <c r="C2122" s="363">
        <v>10308.950000000001</v>
      </c>
    </row>
    <row r="2123" spans="2:3" x14ac:dyDescent="0.3">
      <c r="B2123" s="440">
        <v>43047</v>
      </c>
      <c r="C2123" s="363">
        <v>10303.15</v>
      </c>
    </row>
    <row r="2124" spans="2:3" x14ac:dyDescent="0.3">
      <c r="B2124" s="440">
        <v>43046</v>
      </c>
      <c r="C2124" s="363">
        <v>10350.15</v>
      </c>
    </row>
    <row r="2125" spans="2:3" x14ac:dyDescent="0.3">
      <c r="B2125" s="440">
        <v>43045</v>
      </c>
      <c r="C2125" s="363">
        <v>10451.799999999999</v>
      </c>
    </row>
    <row r="2126" spans="2:3" x14ac:dyDescent="0.3">
      <c r="B2126" s="440">
        <v>43042</v>
      </c>
      <c r="C2126" s="363">
        <v>10452.5</v>
      </c>
    </row>
    <row r="2127" spans="2:3" x14ac:dyDescent="0.3">
      <c r="B2127" s="440">
        <v>43041</v>
      </c>
      <c r="C2127" s="363">
        <v>10423.799999999999</v>
      </c>
    </row>
    <row r="2128" spans="2:3" x14ac:dyDescent="0.3">
      <c r="B2128" s="440">
        <v>43040</v>
      </c>
      <c r="C2128" s="363">
        <v>10440.5</v>
      </c>
    </row>
    <row r="2129" spans="2:3" x14ac:dyDescent="0.3">
      <c r="B2129" s="440">
        <v>43039</v>
      </c>
      <c r="C2129" s="363">
        <v>10335.299999999999</v>
      </c>
    </row>
    <row r="2130" spans="2:3" x14ac:dyDescent="0.3">
      <c r="B2130" s="440">
        <v>43038</v>
      </c>
      <c r="C2130" s="363">
        <v>10363.65</v>
      </c>
    </row>
    <row r="2131" spans="2:3" x14ac:dyDescent="0.3">
      <c r="B2131" s="440">
        <v>43035</v>
      </c>
      <c r="C2131" s="363">
        <v>10323.049999999999</v>
      </c>
    </row>
    <row r="2132" spans="2:3" x14ac:dyDescent="0.3">
      <c r="B2132" s="440">
        <v>43034</v>
      </c>
      <c r="C2132" s="363">
        <v>10343.799999999999</v>
      </c>
    </row>
    <row r="2133" spans="2:3" x14ac:dyDescent="0.3">
      <c r="B2133" s="440">
        <v>43033</v>
      </c>
      <c r="C2133" s="363">
        <v>10295.35</v>
      </c>
    </row>
    <row r="2134" spans="2:3" x14ac:dyDescent="0.3">
      <c r="B2134" s="440">
        <v>43032</v>
      </c>
      <c r="C2134" s="363">
        <v>10207.700000000001</v>
      </c>
    </row>
    <row r="2135" spans="2:3" x14ac:dyDescent="0.3">
      <c r="B2135" s="440">
        <v>43031</v>
      </c>
      <c r="C2135" s="363">
        <v>10184.85</v>
      </c>
    </row>
    <row r="2136" spans="2:3" x14ac:dyDescent="0.3">
      <c r="B2136" s="440">
        <v>43027</v>
      </c>
      <c r="C2136" s="363">
        <v>10146.549999999999</v>
      </c>
    </row>
    <row r="2137" spans="2:3" x14ac:dyDescent="0.3">
      <c r="B2137" s="440">
        <v>43026</v>
      </c>
      <c r="C2137" s="363">
        <v>10210.85</v>
      </c>
    </row>
    <row r="2138" spans="2:3" x14ac:dyDescent="0.3">
      <c r="B2138" s="440">
        <v>43025</v>
      </c>
      <c r="C2138" s="363">
        <v>10234.450000000001</v>
      </c>
    </row>
    <row r="2139" spans="2:3" x14ac:dyDescent="0.3">
      <c r="B2139" s="440">
        <v>43024</v>
      </c>
      <c r="C2139" s="363">
        <v>10230.85</v>
      </c>
    </row>
    <row r="2140" spans="2:3" x14ac:dyDescent="0.3">
      <c r="B2140" s="440">
        <v>43021</v>
      </c>
      <c r="C2140" s="363">
        <v>10167.450000000001</v>
      </c>
    </row>
    <row r="2141" spans="2:3" x14ac:dyDescent="0.3">
      <c r="B2141" s="440">
        <v>43020</v>
      </c>
      <c r="C2141" s="363">
        <v>10096.4</v>
      </c>
    </row>
    <row r="2142" spans="2:3" x14ac:dyDescent="0.3">
      <c r="B2142" s="440">
        <v>43019</v>
      </c>
      <c r="C2142" s="363">
        <v>9984.7999999999993</v>
      </c>
    </row>
    <row r="2143" spans="2:3" x14ac:dyDescent="0.3">
      <c r="B2143" s="440">
        <v>43018</v>
      </c>
      <c r="C2143" s="363">
        <v>10016.950000000001</v>
      </c>
    </row>
    <row r="2144" spans="2:3" x14ac:dyDescent="0.3">
      <c r="B2144" s="440">
        <v>43017</v>
      </c>
      <c r="C2144" s="363">
        <v>9988.75</v>
      </c>
    </row>
    <row r="2145" spans="2:3" x14ac:dyDescent="0.3">
      <c r="B2145" s="440">
        <v>43014</v>
      </c>
      <c r="C2145" s="363">
        <v>9979.7000000000007</v>
      </c>
    </row>
    <row r="2146" spans="2:3" x14ac:dyDescent="0.3">
      <c r="B2146" s="440">
        <v>43013</v>
      </c>
      <c r="C2146" s="363">
        <v>9888.7000000000007</v>
      </c>
    </row>
    <row r="2147" spans="2:3" x14ac:dyDescent="0.3">
      <c r="B2147" s="440">
        <v>43012</v>
      </c>
      <c r="C2147" s="363">
        <v>9914.9</v>
      </c>
    </row>
    <row r="2148" spans="2:3" x14ac:dyDescent="0.3">
      <c r="B2148" s="440">
        <v>43011</v>
      </c>
      <c r="C2148" s="363">
        <v>9859.5</v>
      </c>
    </row>
    <row r="2149" spans="2:3" x14ac:dyDescent="0.3">
      <c r="B2149" s="440">
        <v>43007</v>
      </c>
      <c r="C2149" s="363">
        <v>9788.6</v>
      </c>
    </row>
    <row r="2150" spans="2:3" x14ac:dyDescent="0.3">
      <c r="B2150" s="440">
        <v>43006</v>
      </c>
      <c r="C2150" s="363">
        <v>9768.9500000000007</v>
      </c>
    </row>
    <row r="2151" spans="2:3" x14ac:dyDescent="0.3">
      <c r="B2151" s="440">
        <v>43005</v>
      </c>
      <c r="C2151" s="363">
        <v>9735.75</v>
      </c>
    </row>
    <row r="2152" spans="2:3" x14ac:dyDescent="0.3">
      <c r="B2152" s="440">
        <v>43004</v>
      </c>
      <c r="C2152" s="363">
        <v>9871.5</v>
      </c>
    </row>
    <row r="2153" spans="2:3" x14ac:dyDescent="0.3">
      <c r="B2153" s="440">
        <v>43003</v>
      </c>
      <c r="C2153" s="363">
        <v>9872.6</v>
      </c>
    </row>
    <row r="2154" spans="2:3" x14ac:dyDescent="0.3">
      <c r="B2154" s="440">
        <v>43000</v>
      </c>
      <c r="C2154" s="363">
        <v>9964.4</v>
      </c>
    </row>
    <row r="2155" spans="2:3" x14ac:dyDescent="0.3">
      <c r="B2155" s="440">
        <v>42999</v>
      </c>
      <c r="C2155" s="363">
        <v>10121.9</v>
      </c>
    </row>
    <row r="2156" spans="2:3" x14ac:dyDescent="0.3">
      <c r="B2156" s="440">
        <v>42998</v>
      </c>
      <c r="C2156" s="363">
        <v>10141.15</v>
      </c>
    </row>
    <row r="2157" spans="2:3" x14ac:dyDescent="0.3">
      <c r="B2157" s="440">
        <v>42997</v>
      </c>
      <c r="C2157" s="363">
        <v>10147.549999999999</v>
      </c>
    </row>
    <row r="2158" spans="2:3" x14ac:dyDescent="0.3">
      <c r="B2158" s="440">
        <v>42996</v>
      </c>
      <c r="C2158" s="363">
        <v>10153.1</v>
      </c>
    </row>
    <row r="2159" spans="2:3" x14ac:dyDescent="0.3">
      <c r="B2159" s="440">
        <v>42993</v>
      </c>
      <c r="C2159" s="363">
        <v>10085.4</v>
      </c>
    </row>
    <row r="2160" spans="2:3" x14ac:dyDescent="0.3">
      <c r="B2160" s="440">
        <v>42992</v>
      </c>
      <c r="C2160" s="363">
        <v>10086.6</v>
      </c>
    </row>
    <row r="2161" spans="2:3" x14ac:dyDescent="0.3">
      <c r="B2161" s="440">
        <v>42991</v>
      </c>
      <c r="C2161" s="363">
        <v>10079.299999999999</v>
      </c>
    </row>
    <row r="2162" spans="2:3" x14ac:dyDescent="0.3">
      <c r="B2162" s="440">
        <v>42990</v>
      </c>
      <c r="C2162" s="363">
        <v>10093.049999999999</v>
      </c>
    </row>
    <row r="2163" spans="2:3" x14ac:dyDescent="0.3">
      <c r="B2163" s="440">
        <v>42989</v>
      </c>
      <c r="C2163" s="363">
        <v>10006.049999999999</v>
      </c>
    </row>
    <row r="2164" spans="2:3" x14ac:dyDescent="0.3">
      <c r="B2164" s="440">
        <v>42986</v>
      </c>
      <c r="C2164" s="363">
        <v>9934.7999999999993</v>
      </c>
    </row>
    <row r="2165" spans="2:3" x14ac:dyDescent="0.3">
      <c r="B2165" s="440">
        <v>42985</v>
      </c>
      <c r="C2165" s="363">
        <v>9929.9</v>
      </c>
    </row>
    <row r="2166" spans="2:3" x14ac:dyDescent="0.3">
      <c r="B2166" s="440">
        <v>42984</v>
      </c>
      <c r="C2166" s="363">
        <v>9916.2000000000007</v>
      </c>
    </row>
    <row r="2167" spans="2:3" x14ac:dyDescent="0.3">
      <c r="B2167" s="440">
        <v>42983</v>
      </c>
      <c r="C2167" s="363">
        <v>9952.2000000000007</v>
      </c>
    </row>
    <row r="2168" spans="2:3" x14ac:dyDescent="0.3">
      <c r="B2168" s="440">
        <v>42982</v>
      </c>
      <c r="C2168" s="363">
        <v>9912.85</v>
      </c>
    </row>
    <row r="2169" spans="2:3" x14ac:dyDescent="0.3">
      <c r="B2169" s="440">
        <v>42979</v>
      </c>
      <c r="C2169" s="363">
        <v>9974.4</v>
      </c>
    </row>
    <row r="2170" spans="2:3" x14ac:dyDescent="0.3">
      <c r="B2170" s="440">
        <v>42978</v>
      </c>
      <c r="C2170" s="363">
        <v>9917.9</v>
      </c>
    </row>
    <row r="2171" spans="2:3" x14ac:dyDescent="0.3">
      <c r="B2171" s="440">
        <v>42977</v>
      </c>
      <c r="C2171" s="363">
        <v>9884.4</v>
      </c>
    </row>
    <row r="2172" spans="2:3" x14ac:dyDescent="0.3">
      <c r="B2172" s="440">
        <v>42976</v>
      </c>
      <c r="C2172" s="363">
        <v>9796.0499999999993</v>
      </c>
    </row>
    <row r="2173" spans="2:3" x14ac:dyDescent="0.3">
      <c r="B2173" s="440">
        <v>42975</v>
      </c>
      <c r="C2173" s="363">
        <v>9912.7999999999993</v>
      </c>
    </row>
    <row r="2174" spans="2:3" x14ac:dyDescent="0.3">
      <c r="B2174" s="440">
        <v>42971</v>
      </c>
      <c r="C2174" s="363">
        <v>9857.0499999999993</v>
      </c>
    </row>
    <row r="2175" spans="2:3" x14ac:dyDescent="0.3">
      <c r="B2175" s="440">
        <v>42970</v>
      </c>
      <c r="C2175" s="363">
        <v>9852.5</v>
      </c>
    </row>
    <row r="2176" spans="2:3" x14ac:dyDescent="0.3">
      <c r="B2176" s="440">
        <v>42969</v>
      </c>
      <c r="C2176" s="363">
        <v>9765.5499999999993</v>
      </c>
    </row>
    <row r="2177" spans="2:3" x14ac:dyDescent="0.3">
      <c r="B2177" s="440">
        <v>42968</v>
      </c>
      <c r="C2177" s="363">
        <v>9754.35</v>
      </c>
    </row>
    <row r="2178" spans="2:3" x14ac:dyDescent="0.3">
      <c r="B2178" s="440">
        <v>42965</v>
      </c>
      <c r="C2178" s="363">
        <v>9837.4</v>
      </c>
    </row>
    <row r="2179" spans="2:3" x14ac:dyDescent="0.3">
      <c r="B2179" s="440">
        <v>42964</v>
      </c>
      <c r="C2179" s="363">
        <v>9904.15</v>
      </c>
    </row>
    <row r="2180" spans="2:3" x14ac:dyDescent="0.3">
      <c r="B2180" s="440">
        <v>42963</v>
      </c>
      <c r="C2180" s="363">
        <v>9897.2999999999993</v>
      </c>
    </row>
    <row r="2181" spans="2:3" x14ac:dyDescent="0.3">
      <c r="B2181" s="440">
        <v>42961</v>
      </c>
      <c r="C2181" s="363">
        <v>9794.15</v>
      </c>
    </row>
    <row r="2182" spans="2:3" x14ac:dyDescent="0.3">
      <c r="B2182" s="440">
        <v>42958</v>
      </c>
      <c r="C2182" s="363">
        <v>9710.7999999999993</v>
      </c>
    </row>
    <row r="2183" spans="2:3" x14ac:dyDescent="0.3">
      <c r="B2183" s="440">
        <v>42957</v>
      </c>
      <c r="C2183" s="363">
        <v>9820.25</v>
      </c>
    </row>
    <row r="2184" spans="2:3" x14ac:dyDescent="0.3">
      <c r="B2184" s="440">
        <v>42956</v>
      </c>
      <c r="C2184" s="363">
        <v>9908.0499999999993</v>
      </c>
    </row>
    <row r="2185" spans="2:3" x14ac:dyDescent="0.3">
      <c r="B2185" s="440">
        <v>42955</v>
      </c>
      <c r="C2185" s="363">
        <v>9978.5499999999993</v>
      </c>
    </row>
    <row r="2186" spans="2:3" x14ac:dyDescent="0.3">
      <c r="B2186" s="440">
        <v>42954</v>
      </c>
      <c r="C2186" s="363">
        <v>10057.4</v>
      </c>
    </row>
    <row r="2187" spans="2:3" x14ac:dyDescent="0.3">
      <c r="B2187" s="440">
        <v>42951</v>
      </c>
      <c r="C2187" s="363">
        <v>10066.4</v>
      </c>
    </row>
    <row r="2188" spans="2:3" x14ac:dyDescent="0.3">
      <c r="B2188" s="440">
        <v>42950</v>
      </c>
      <c r="C2188" s="363">
        <v>10013.65</v>
      </c>
    </row>
    <row r="2189" spans="2:3" x14ac:dyDescent="0.3">
      <c r="B2189" s="440">
        <v>42949</v>
      </c>
      <c r="C2189" s="363">
        <v>10081.5</v>
      </c>
    </row>
    <row r="2190" spans="2:3" x14ac:dyDescent="0.3">
      <c r="B2190" s="440">
        <v>42948</v>
      </c>
      <c r="C2190" s="363">
        <v>10114.65</v>
      </c>
    </row>
    <row r="2191" spans="2:3" x14ac:dyDescent="0.3">
      <c r="B2191" s="440">
        <v>42947</v>
      </c>
      <c r="C2191" s="363">
        <v>10077.1</v>
      </c>
    </row>
    <row r="2192" spans="2:3" x14ac:dyDescent="0.3">
      <c r="B2192" s="440">
        <v>42944</v>
      </c>
      <c r="C2192" s="363">
        <v>10014.5</v>
      </c>
    </row>
    <row r="2193" spans="2:3" x14ac:dyDescent="0.3">
      <c r="B2193" s="440">
        <v>42943</v>
      </c>
      <c r="C2193" s="363">
        <v>10020.549999999999</v>
      </c>
    </row>
    <row r="2194" spans="2:3" x14ac:dyDescent="0.3">
      <c r="B2194" s="440">
        <v>42942</v>
      </c>
      <c r="C2194" s="363">
        <v>10020.65</v>
      </c>
    </row>
    <row r="2195" spans="2:3" x14ac:dyDescent="0.3">
      <c r="B2195" s="440">
        <v>42941</v>
      </c>
      <c r="C2195" s="363">
        <v>9964.5499999999993</v>
      </c>
    </row>
    <row r="2196" spans="2:3" x14ac:dyDescent="0.3">
      <c r="B2196" s="440">
        <v>42940</v>
      </c>
      <c r="C2196" s="363">
        <v>9966.4</v>
      </c>
    </row>
    <row r="2197" spans="2:3" x14ac:dyDescent="0.3">
      <c r="B2197" s="440">
        <v>42937</v>
      </c>
      <c r="C2197" s="363">
        <v>9915.25</v>
      </c>
    </row>
    <row r="2198" spans="2:3" x14ac:dyDescent="0.3">
      <c r="B2198" s="440">
        <v>42936</v>
      </c>
      <c r="C2198" s="363">
        <v>9873.2999999999993</v>
      </c>
    </row>
    <row r="2199" spans="2:3" x14ac:dyDescent="0.3">
      <c r="B2199" s="440">
        <v>42935</v>
      </c>
      <c r="C2199" s="363">
        <v>9899.6</v>
      </c>
    </row>
    <row r="2200" spans="2:3" x14ac:dyDescent="0.3">
      <c r="B2200" s="440">
        <v>42934</v>
      </c>
      <c r="C2200" s="363">
        <v>9827.15</v>
      </c>
    </row>
    <row r="2201" spans="2:3" x14ac:dyDescent="0.3">
      <c r="B2201" s="440">
        <v>42933</v>
      </c>
      <c r="C2201" s="363">
        <v>9915.9500000000007</v>
      </c>
    </row>
    <row r="2202" spans="2:3" x14ac:dyDescent="0.3">
      <c r="B2202" s="440">
        <v>42930</v>
      </c>
      <c r="C2202" s="363">
        <v>9886.35</v>
      </c>
    </row>
    <row r="2203" spans="2:3" x14ac:dyDescent="0.3">
      <c r="B2203" s="440">
        <v>42929</v>
      </c>
      <c r="C2203" s="363">
        <v>9891.7000000000007</v>
      </c>
    </row>
    <row r="2204" spans="2:3" x14ac:dyDescent="0.3">
      <c r="B2204" s="440">
        <v>42928</v>
      </c>
      <c r="C2204" s="363">
        <v>9816.1</v>
      </c>
    </row>
    <row r="2205" spans="2:3" x14ac:dyDescent="0.3">
      <c r="B2205" s="440">
        <v>42927</v>
      </c>
      <c r="C2205" s="363">
        <v>9786.0499999999993</v>
      </c>
    </row>
    <row r="2206" spans="2:3" x14ac:dyDescent="0.3">
      <c r="B2206" s="440">
        <v>42926</v>
      </c>
      <c r="C2206" s="363">
        <v>9771.0499999999993</v>
      </c>
    </row>
    <row r="2207" spans="2:3" x14ac:dyDescent="0.3">
      <c r="B2207" s="440">
        <v>42923</v>
      </c>
      <c r="C2207" s="363">
        <v>9665.7999999999993</v>
      </c>
    </row>
    <row r="2208" spans="2:3" x14ac:dyDescent="0.3">
      <c r="B2208" s="440">
        <v>42922</v>
      </c>
      <c r="C2208" s="363">
        <v>9674.5499999999993</v>
      </c>
    </row>
    <row r="2209" spans="2:3" x14ac:dyDescent="0.3">
      <c r="B2209" s="440">
        <v>42921</v>
      </c>
      <c r="C2209" s="363">
        <v>9637.6</v>
      </c>
    </row>
    <row r="2210" spans="2:3" x14ac:dyDescent="0.3">
      <c r="B2210" s="440">
        <v>42920</v>
      </c>
      <c r="C2210" s="363">
        <v>9613.2999999999993</v>
      </c>
    </row>
    <row r="2211" spans="2:3" x14ac:dyDescent="0.3">
      <c r="B2211" s="440">
        <v>42919</v>
      </c>
      <c r="C2211" s="363">
        <v>9615</v>
      </c>
    </row>
    <row r="2212" spans="2:3" x14ac:dyDescent="0.3">
      <c r="B2212" s="440">
        <v>42916</v>
      </c>
      <c r="C2212" s="363">
        <v>9520.9</v>
      </c>
    </row>
    <row r="2213" spans="2:3" x14ac:dyDescent="0.3">
      <c r="B2213" s="440">
        <v>42915</v>
      </c>
      <c r="C2213" s="363">
        <v>9504.1</v>
      </c>
    </row>
    <row r="2214" spans="2:3" x14ac:dyDescent="0.3">
      <c r="B2214" s="440">
        <v>42914</v>
      </c>
      <c r="C2214" s="363">
        <v>9491.25</v>
      </c>
    </row>
    <row r="2215" spans="2:3" x14ac:dyDescent="0.3">
      <c r="B2215" s="440">
        <v>42913</v>
      </c>
      <c r="C2215" s="363">
        <v>9511.4</v>
      </c>
    </row>
    <row r="2216" spans="2:3" x14ac:dyDescent="0.3">
      <c r="B2216" s="440">
        <v>42909</v>
      </c>
      <c r="C2216" s="363">
        <v>9574.9500000000007</v>
      </c>
    </row>
    <row r="2217" spans="2:3" x14ac:dyDescent="0.3">
      <c r="B2217" s="440">
        <v>42908</v>
      </c>
      <c r="C2217" s="363">
        <v>9630</v>
      </c>
    </row>
    <row r="2218" spans="2:3" x14ac:dyDescent="0.3">
      <c r="B2218" s="440">
        <v>42907</v>
      </c>
      <c r="C2218" s="363">
        <v>9633.6</v>
      </c>
    </row>
    <row r="2219" spans="2:3" x14ac:dyDescent="0.3">
      <c r="B2219" s="440">
        <v>42906</v>
      </c>
      <c r="C2219" s="363">
        <v>9653.5</v>
      </c>
    </row>
    <row r="2220" spans="2:3" x14ac:dyDescent="0.3">
      <c r="B2220" s="440">
        <v>42905</v>
      </c>
      <c r="C2220" s="363">
        <v>9657.5499999999993</v>
      </c>
    </row>
    <row r="2221" spans="2:3" x14ac:dyDescent="0.3">
      <c r="B2221" s="440">
        <v>42902</v>
      </c>
      <c r="C2221" s="363">
        <v>9588.0499999999993</v>
      </c>
    </row>
    <row r="2222" spans="2:3" x14ac:dyDescent="0.3">
      <c r="B2222" s="440">
        <v>42901</v>
      </c>
      <c r="C2222" s="363">
        <v>9578.0499999999993</v>
      </c>
    </row>
    <row r="2223" spans="2:3" x14ac:dyDescent="0.3">
      <c r="B2223" s="440">
        <v>42900</v>
      </c>
      <c r="C2223" s="363">
        <v>9618.15</v>
      </c>
    </row>
    <row r="2224" spans="2:3" x14ac:dyDescent="0.3">
      <c r="B2224" s="440">
        <v>42899</v>
      </c>
      <c r="C2224" s="363">
        <v>9606.9</v>
      </c>
    </row>
    <row r="2225" spans="2:3" x14ac:dyDescent="0.3">
      <c r="B2225" s="440">
        <v>42898</v>
      </c>
      <c r="C2225" s="363">
        <v>9616.4</v>
      </c>
    </row>
    <row r="2226" spans="2:3" x14ac:dyDescent="0.3">
      <c r="B2226" s="440">
        <v>42895</v>
      </c>
      <c r="C2226" s="363">
        <v>9668.25</v>
      </c>
    </row>
    <row r="2227" spans="2:3" x14ac:dyDescent="0.3">
      <c r="B2227" s="440">
        <v>42894</v>
      </c>
      <c r="C2227" s="363">
        <v>9647.25</v>
      </c>
    </row>
    <row r="2228" spans="2:3" x14ac:dyDescent="0.3">
      <c r="B2228" s="440">
        <v>42893</v>
      </c>
      <c r="C2228" s="363">
        <v>9663.9</v>
      </c>
    </row>
    <row r="2229" spans="2:3" x14ac:dyDescent="0.3">
      <c r="B2229" s="440">
        <v>42892</v>
      </c>
      <c r="C2229" s="363">
        <v>9637.15</v>
      </c>
    </row>
    <row r="2230" spans="2:3" x14ac:dyDescent="0.3">
      <c r="B2230" s="440">
        <v>42891</v>
      </c>
      <c r="C2230" s="363">
        <v>9675.1</v>
      </c>
    </row>
    <row r="2231" spans="2:3" x14ac:dyDescent="0.3">
      <c r="B2231" s="440">
        <v>42888</v>
      </c>
      <c r="C2231" s="363">
        <v>9653.5</v>
      </c>
    </row>
    <row r="2232" spans="2:3" x14ac:dyDescent="0.3">
      <c r="B2232" s="440">
        <v>42887</v>
      </c>
      <c r="C2232" s="363">
        <v>9616.1</v>
      </c>
    </row>
    <row r="2233" spans="2:3" x14ac:dyDescent="0.3">
      <c r="B2233" s="440">
        <v>42886</v>
      </c>
      <c r="C2233" s="363">
        <v>9621.25</v>
      </c>
    </row>
    <row r="2234" spans="2:3" x14ac:dyDescent="0.3">
      <c r="B2234" s="440">
        <v>42885</v>
      </c>
      <c r="C2234" s="363">
        <v>9624.5499999999993</v>
      </c>
    </row>
    <row r="2235" spans="2:3" x14ac:dyDescent="0.3">
      <c r="B2235" s="440">
        <v>42884</v>
      </c>
      <c r="C2235" s="363">
        <v>9604.9</v>
      </c>
    </row>
    <row r="2236" spans="2:3" x14ac:dyDescent="0.3">
      <c r="B2236" s="440">
        <v>42881</v>
      </c>
      <c r="C2236" s="363">
        <v>9595.1</v>
      </c>
    </row>
    <row r="2237" spans="2:3" x14ac:dyDescent="0.3">
      <c r="B2237" s="440">
        <v>42880</v>
      </c>
      <c r="C2237" s="363">
        <v>9509.75</v>
      </c>
    </row>
    <row r="2238" spans="2:3" x14ac:dyDescent="0.3">
      <c r="B2238" s="440">
        <v>42879</v>
      </c>
      <c r="C2238" s="363">
        <v>9360.5499999999993</v>
      </c>
    </row>
    <row r="2239" spans="2:3" x14ac:dyDescent="0.3">
      <c r="B2239" s="440">
        <v>42878</v>
      </c>
      <c r="C2239" s="363">
        <v>9386.15</v>
      </c>
    </row>
    <row r="2240" spans="2:3" x14ac:dyDescent="0.3">
      <c r="B2240" s="440">
        <v>42877</v>
      </c>
      <c r="C2240" s="363">
        <v>9438.25</v>
      </c>
    </row>
    <row r="2241" spans="2:3" x14ac:dyDescent="0.3">
      <c r="B2241" s="440">
        <v>42874</v>
      </c>
      <c r="C2241" s="363">
        <v>9427.9</v>
      </c>
    </row>
    <row r="2242" spans="2:3" x14ac:dyDescent="0.3">
      <c r="B2242" s="440">
        <v>42873</v>
      </c>
      <c r="C2242" s="363">
        <v>9429.4500000000007</v>
      </c>
    </row>
    <row r="2243" spans="2:3" x14ac:dyDescent="0.3">
      <c r="B2243" s="440">
        <v>42872</v>
      </c>
      <c r="C2243" s="363">
        <v>9525.75</v>
      </c>
    </row>
    <row r="2244" spans="2:3" x14ac:dyDescent="0.3">
      <c r="B2244" s="440">
        <v>42871</v>
      </c>
      <c r="C2244" s="363">
        <v>9512.25</v>
      </c>
    </row>
    <row r="2245" spans="2:3" x14ac:dyDescent="0.3">
      <c r="B2245" s="440">
        <v>42870</v>
      </c>
      <c r="C2245" s="363">
        <v>9445.4</v>
      </c>
    </row>
    <row r="2246" spans="2:3" x14ac:dyDescent="0.3">
      <c r="B2246" s="440">
        <v>42867</v>
      </c>
      <c r="C2246" s="363">
        <v>9400.9</v>
      </c>
    </row>
    <row r="2247" spans="2:3" x14ac:dyDescent="0.3">
      <c r="B2247" s="440">
        <v>42866</v>
      </c>
      <c r="C2247" s="363">
        <v>9422.4</v>
      </c>
    </row>
    <row r="2248" spans="2:3" x14ac:dyDescent="0.3">
      <c r="B2248" s="440">
        <v>42865</v>
      </c>
      <c r="C2248" s="363">
        <v>9407.2999999999993</v>
      </c>
    </row>
    <row r="2249" spans="2:3" x14ac:dyDescent="0.3">
      <c r="B2249" s="440">
        <v>42864</v>
      </c>
      <c r="C2249" s="363">
        <v>9316.85</v>
      </c>
    </row>
    <row r="2250" spans="2:3" x14ac:dyDescent="0.3">
      <c r="B2250" s="440">
        <v>42863</v>
      </c>
      <c r="C2250" s="363">
        <v>9314.0499999999993</v>
      </c>
    </row>
    <row r="2251" spans="2:3" x14ac:dyDescent="0.3">
      <c r="B2251" s="440">
        <v>42860</v>
      </c>
      <c r="C2251" s="363">
        <v>9285.2999999999993</v>
      </c>
    </row>
    <row r="2252" spans="2:3" x14ac:dyDescent="0.3">
      <c r="B2252" s="440">
        <v>42859</v>
      </c>
      <c r="C2252" s="363">
        <v>9359.9</v>
      </c>
    </row>
    <row r="2253" spans="2:3" x14ac:dyDescent="0.3">
      <c r="B2253" s="440">
        <v>42858</v>
      </c>
      <c r="C2253" s="363">
        <v>9311.9500000000007</v>
      </c>
    </row>
    <row r="2254" spans="2:3" x14ac:dyDescent="0.3">
      <c r="B2254" s="440">
        <v>42857</v>
      </c>
      <c r="C2254" s="363">
        <v>9313.7999999999993</v>
      </c>
    </row>
    <row r="2255" spans="2:3" x14ac:dyDescent="0.3">
      <c r="B2255" s="440">
        <v>42853</v>
      </c>
      <c r="C2255" s="363">
        <v>9304.0499999999993</v>
      </c>
    </row>
    <row r="2256" spans="2:3" x14ac:dyDescent="0.3">
      <c r="B2256" s="440">
        <v>42852</v>
      </c>
      <c r="C2256" s="363">
        <v>9342.15</v>
      </c>
    </row>
    <row r="2257" spans="2:3" x14ac:dyDescent="0.3">
      <c r="B2257" s="440">
        <v>42851</v>
      </c>
      <c r="C2257" s="363">
        <v>9351.85</v>
      </c>
    </row>
    <row r="2258" spans="2:3" x14ac:dyDescent="0.3">
      <c r="B2258" s="440">
        <v>42850</v>
      </c>
      <c r="C2258" s="363">
        <v>9306.6</v>
      </c>
    </row>
    <row r="2259" spans="2:3" x14ac:dyDescent="0.3">
      <c r="B2259" s="440">
        <v>42849</v>
      </c>
      <c r="C2259" s="363">
        <v>9217.9500000000007</v>
      </c>
    </row>
    <row r="2260" spans="2:3" x14ac:dyDescent="0.3">
      <c r="B2260" s="440">
        <v>42846</v>
      </c>
      <c r="C2260" s="363">
        <v>9119.4</v>
      </c>
    </row>
    <row r="2261" spans="2:3" x14ac:dyDescent="0.3">
      <c r="B2261" s="440">
        <v>42845</v>
      </c>
      <c r="C2261" s="363">
        <v>9136.4</v>
      </c>
    </row>
    <row r="2262" spans="2:3" x14ac:dyDescent="0.3">
      <c r="B2262" s="440">
        <v>42844</v>
      </c>
      <c r="C2262" s="363">
        <v>9103.5</v>
      </c>
    </row>
    <row r="2263" spans="2:3" x14ac:dyDescent="0.3">
      <c r="B2263" s="440">
        <v>42843</v>
      </c>
      <c r="C2263" s="363">
        <v>9105.15</v>
      </c>
    </row>
    <row r="2264" spans="2:3" x14ac:dyDescent="0.3">
      <c r="B2264" s="440">
        <v>42842</v>
      </c>
      <c r="C2264" s="363">
        <v>9139.2999999999993</v>
      </c>
    </row>
    <row r="2265" spans="2:3" x14ac:dyDescent="0.3">
      <c r="B2265" s="440">
        <v>42838</v>
      </c>
      <c r="C2265" s="363">
        <v>9150.7999999999993</v>
      </c>
    </row>
    <row r="2266" spans="2:3" x14ac:dyDescent="0.3">
      <c r="B2266" s="440">
        <v>42837</v>
      </c>
      <c r="C2266" s="363">
        <v>9203.4500000000007</v>
      </c>
    </row>
    <row r="2267" spans="2:3" x14ac:dyDescent="0.3">
      <c r="B2267" s="440">
        <v>42836</v>
      </c>
      <c r="C2267" s="363">
        <v>9237</v>
      </c>
    </row>
    <row r="2268" spans="2:3" x14ac:dyDescent="0.3">
      <c r="B2268" s="440">
        <v>42835</v>
      </c>
      <c r="C2268" s="363">
        <v>9181.4500000000007</v>
      </c>
    </row>
    <row r="2269" spans="2:3" x14ac:dyDescent="0.3">
      <c r="B2269" s="440">
        <v>42832</v>
      </c>
      <c r="C2269" s="363">
        <v>9198.2999999999993</v>
      </c>
    </row>
    <row r="2270" spans="2:3" x14ac:dyDescent="0.3">
      <c r="B2270" s="440">
        <v>42831</v>
      </c>
      <c r="C2270" s="363">
        <v>9261.9500000000007</v>
      </c>
    </row>
    <row r="2271" spans="2:3" x14ac:dyDescent="0.3">
      <c r="B2271" s="440">
        <v>42830</v>
      </c>
      <c r="C2271" s="363">
        <v>9265.15</v>
      </c>
    </row>
    <row r="2272" spans="2:3" x14ac:dyDescent="0.3">
      <c r="B2272" s="440">
        <v>42828</v>
      </c>
      <c r="C2272" s="363">
        <v>9237.85</v>
      </c>
    </row>
    <row r="2273" spans="2:3" x14ac:dyDescent="0.3">
      <c r="B2273" s="440">
        <v>42825</v>
      </c>
      <c r="C2273" s="363">
        <v>9173.75</v>
      </c>
    </row>
    <row r="2274" spans="2:3" x14ac:dyDescent="0.3">
      <c r="B2274" s="440">
        <v>42824</v>
      </c>
      <c r="C2274" s="363">
        <v>9173.75</v>
      </c>
    </row>
    <row r="2275" spans="2:3" x14ac:dyDescent="0.3">
      <c r="B2275" s="440">
        <v>42823</v>
      </c>
      <c r="C2275" s="363">
        <v>9143.7999999999993</v>
      </c>
    </row>
    <row r="2276" spans="2:3" x14ac:dyDescent="0.3">
      <c r="B2276" s="440">
        <v>42822</v>
      </c>
      <c r="C2276" s="363">
        <v>9100.7999999999993</v>
      </c>
    </row>
    <row r="2277" spans="2:3" x14ac:dyDescent="0.3">
      <c r="B2277" s="440">
        <v>42821</v>
      </c>
      <c r="C2277" s="363">
        <v>9045.2000000000007</v>
      </c>
    </row>
    <row r="2278" spans="2:3" x14ac:dyDescent="0.3">
      <c r="B2278" s="440">
        <v>42818</v>
      </c>
      <c r="C2278" s="363">
        <v>9108</v>
      </c>
    </row>
    <row r="2279" spans="2:3" x14ac:dyDescent="0.3">
      <c r="B2279" s="440">
        <v>42817</v>
      </c>
      <c r="C2279" s="363">
        <v>9086.2999999999993</v>
      </c>
    </row>
    <row r="2280" spans="2:3" x14ac:dyDescent="0.3">
      <c r="B2280" s="440">
        <v>42816</v>
      </c>
      <c r="C2280" s="363">
        <v>9030.4500000000007</v>
      </c>
    </row>
    <row r="2281" spans="2:3" x14ac:dyDescent="0.3">
      <c r="B2281" s="440">
        <v>42815</v>
      </c>
      <c r="C2281" s="363">
        <v>9121.5</v>
      </c>
    </row>
    <row r="2282" spans="2:3" x14ac:dyDescent="0.3">
      <c r="B2282" s="440">
        <v>42814</v>
      </c>
      <c r="C2282" s="363">
        <v>9126.85</v>
      </c>
    </row>
    <row r="2283" spans="2:3" x14ac:dyDescent="0.3">
      <c r="B2283" s="440">
        <v>42811</v>
      </c>
      <c r="C2283" s="363">
        <v>9160.0499999999993</v>
      </c>
    </row>
    <row r="2284" spans="2:3" x14ac:dyDescent="0.3">
      <c r="B2284" s="440">
        <v>42810</v>
      </c>
      <c r="C2284" s="363">
        <v>9153.7000000000007</v>
      </c>
    </row>
    <row r="2285" spans="2:3" x14ac:dyDescent="0.3">
      <c r="B2285" s="440">
        <v>42809</v>
      </c>
      <c r="C2285" s="363">
        <v>9084.7999999999993</v>
      </c>
    </row>
    <row r="2286" spans="2:3" x14ac:dyDescent="0.3">
      <c r="B2286" s="440">
        <v>42808</v>
      </c>
      <c r="C2286" s="363">
        <v>9087</v>
      </c>
    </row>
    <row r="2287" spans="2:3" x14ac:dyDescent="0.3">
      <c r="B2287" s="440">
        <v>42804</v>
      </c>
      <c r="C2287" s="363">
        <v>8934.5499999999993</v>
      </c>
    </row>
    <row r="2288" spans="2:3" x14ac:dyDescent="0.3">
      <c r="B2288" s="440">
        <v>42803</v>
      </c>
      <c r="C2288" s="363">
        <v>8927</v>
      </c>
    </row>
    <row r="2289" spans="2:3" x14ac:dyDescent="0.3">
      <c r="B2289" s="440">
        <v>42802</v>
      </c>
      <c r="C2289" s="363">
        <v>8924.2999999999993</v>
      </c>
    </row>
    <row r="2290" spans="2:3" x14ac:dyDescent="0.3">
      <c r="B2290" s="440">
        <v>42801</v>
      </c>
      <c r="C2290" s="363">
        <v>8946.9</v>
      </c>
    </row>
    <row r="2291" spans="2:3" x14ac:dyDescent="0.3">
      <c r="B2291" s="440">
        <v>42800</v>
      </c>
      <c r="C2291" s="363">
        <v>8963.4500000000007</v>
      </c>
    </row>
    <row r="2292" spans="2:3" x14ac:dyDescent="0.3">
      <c r="B2292" s="440">
        <v>42797</v>
      </c>
      <c r="C2292" s="363">
        <v>8897.5499999999993</v>
      </c>
    </row>
    <row r="2293" spans="2:3" x14ac:dyDescent="0.3">
      <c r="B2293" s="440">
        <v>42796</v>
      </c>
      <c r="C2293" s="363">
        <v>8899.75</v>
      </c>
    </row>
    <row r="2294" spans="2:3" x14ac:dyDescent="0.3">
      <c r="B2294" s="440">
        <v>42795</v>
      </c>
      <c r="C2294" s="363">
        <v>8945.7999999999993</v>
      </c>
    </row>
    <row r="2295" spans="2:3" x14ac:dyDescent="0.3">
      <c r="B2295" s="440">
        <v>42794</v>
      </c>
      <c r="C2295" s="363">
        <v>8879.6</v>
      </c>
    </row>
    <row r="2296" spans="2:3" x14ac:dyDescent="0.3">
      <c r="B2296" s="440">
        <v>42793</v>
      </c>
      <c r="C2296" s="363">
        <v>8896.7000000000007</v>
      </c>
    </row>
    <row r="2297" spans="2:3" x14ac:dyDescent="0.3">
      <c r="B2297" s="440">
        <v>42789</v>
      </c>
      <c r="C2297" s="363">
        <v>8939.5</v>
      </c>
    </row>
    <row r="2298" spans="2:3" x14ac:dyDescent="0.3">
      <c r="B2298" s="440">
        <v>42788</v>
      </c>
      <c r="C2298" s="363">
        <v>8926.9</v>
      </c>
    </row>
    <row r="2299" spans="2:3" x14ac:dyDescent="0.3">
      <c r="B2299" s="440">
        <v>42787</v>
      </c>
      <c r="C2299" s="363">
        <v>8907.85</v>
      </c>
    </row>
    <row r="2300" spans="2:3" x14ac:dyDescent="0.3">
      <c r="B2300" s="440">
        <v>42786</v>
      </c>
      <c r="C2300" s="363">
        <v>8879.2000000000007</v>
      </c>
    </row>
    <row r="2301" spans="2:3" x14ac:dyDescent="0.3">
      <c r="B2301" s="440">
        <v>42783</v>
      </c>
      <c r="C2301" s="363">
        <v>8821.7000000000007</v>
      </c>
    </row>
    <row r="2302" spans="2:3" x14ac:dyDescent="0.3">
      <c r="B2302" s="440">
        <v>42782</v>
      </c>
      <c r="C2302" s="363">
        <v>8778</v>
      </c>
    </row>
    <row r="2303" spans="2:3" x14ac:dyDescent="0.3">
      <c r="B2303" s="440">
        <v>42781</v>
      </c>
      <c r="C2303" s="363">
        <v>8724.7000000000007</v>
      </c>
    </row>
    <row r="2304" spans="2:3" x14ac:dyDescent="0.3">
      <c r="B2304" s="440">
        <v>42780</v>
      </c>
      <c r="C2304" s="363">
        <v>8792.2999999999993</v>
      </c>
    </row>
    <row r="2305" spans="2:3" x14ac:dyDescent="0.3">
      <c r="B2305" s="440">
        <v>42779</v>
      </c>
      <c r="C2305" s="363">
        <v>8805.0499999999993</v>
      </c>
    </row>
    <row r="2306" spans="2:3" x14ac:dyDescent="0.3">
      <c r="B2306" s="440">
        <v>42776</v>
      </c>
      <c r="C2306" s="363">
        <v>8793.5499999999993</v>
      </c>
    </row>
    <row r="2307" spans="2:3" x14ac:dyDescent="0.3">
      <c r="B2307" s="440">
        <v>42775</v>
      </c>
      <c r="C2307" s="363">
        <v>8778.4</v>
      </c>
    </row>
    <row r="2308" spans="2:3" x14ac:dyDescent="0.3">
      <c r="B2308" s="440">
        <v>42774</v>
      </c>
      <c r="C2308" s="363">
        <v>8769.0499999999993</v>
      </c>
    </row>
    <row r="2309" spans="2:3" x14ac:dyDescent="0.3">
      <c r="B2309" s="440">
        <v>42773</v>
      </c>
      <c r="C2309" s="363">
        <v>8768.2999999999993</v>
      </c>
    </row>
    <row r="2310" spans="2:3" x14ac:dyDescent="0.3">
      <c r="B2310" s="440">
        <v>42772</v>
      </c>
      <c r="C2310" s="363">
        <v>8801.0499999999993</v>
      </c>
    </row>
    <row r="2311" spans="2:3" x14ac:dyDescent="0.3">
      <c r="B2311" s="440">
        <v>42769</v>
      </c>
      <c r="C2311" s="363">
        <v>8740.9500000000007</v>
      </c>
    </row>
    <row r="2312" spans="2:3" x14ac:dyDescent="0.3">
      <c r="B2312" s="440">
        <v>42768</v>
      </c>
      <c r="C2312" s="363">
        <v>8734.25</v>
      </c>
    </row>
    <row r="2313" spans="2:3" x14ac:dyDescent="0.3">
      <c r="B2313" s="440">
        <v>42767</v>
      </c>
      <c r="C2313" s="363">
        <v>8716.4</v>
      </c>
    </row>
    <row r="2314" spans="2:3" x14ac:dyDescent="0.3">
      <c r="B2314" s="440">
        <v>42766</v>
      </c>
      <c r="C2314" s="363">
        <v>8561.2999999999993</v>
      </c>
    </row>
    <row r="2315" spans="2:3" x14ac:dyDescent="0.3">
      <c r="B2315" s="440">
        <v>42765</v>
      </c>
      <c r="C2315" s="363">
        <v>8632.75</v>
      </c>
    </row>
    <row r="2316" spans="2:3" x14ac:dyDescent="0.3">
      <c r="B2316" s="440">
        <v>42762</v>
      </c>
      <c r="C2316" s="363">
        <v>8641.25</v>
      </c>
    </row>
    <row r="2317" spans="2:3" x14ac:dyDescent="0.3">
      <c r="B2317" s="440">
        <v>42760</v>
      </c>
      <c r="C2317" s="363">
        <v>8602.75</v>
      </c>
    </row>
    <row r="2318" spans="2:3" x14ac:dyDescent="0.3">
      <c r="B2318" s="440">
        <v>42759</v>
      </c>
      <c r="C2318" s="363">
        <v>8475.7999999999993</v>
      </c>
    </row>
    <row r="2319" spans="2:3" x14ac:dyDescent="0.3">
      <c r="B2319" s="440">
        <v>42758</v>
      </c>
      <c r="C2319" s="363">
        <v>8391.5</v>
      </c>
    </row>
    <row r="2320" spans="2:3" x14ac:dyDescent="0.3">
      <c r="B2320" s="440">
        <v>42755</v>
      </c>
      <c r="C2320" s="363">
        <v>8349.35</v>
      </c>
    </row>
    <row r="2321" spans="2:3" x14ac:dyDescent="0.3">
      <c r="B2321" s="440">
        <v>42754</v>
      </c>
      <c r="C2321" s="363">
        <v>8435.1</v>
      </c>
    </row>
    <row r="2322" spans="2:3" x14ac:dyDescent="0.3">
      <c r="B2322" s="440">
        <v>42753</v>
      </c>
      <c r="C2322" s="363">
        <v>8417</v>
      </c>
    </row>
    <row r="2323" spans="2:3" x14ac:dyDescent="0.3">
      <c r="B2323" s="440">
        <v>42752</v>
      </c>
      <c r="C2323" s="363">
        <v>8398</v>
      </c>
    </row>
    <row r="2324" spans="2:3" x14ac:dyDescent="0.3">
      <c r="B2324" s="440">
        <v>42751</v>
      </c>
      <c r="C2324" s="363">
        <v>8412.7999999999993</v>
      </c>
    </row>
    <row r="2325" spans="2:3" x14ac:dyDescent="0.3">
      <c r="B2325" s="440">
        <v>42748</v>
      </c>
      <c r="C2325" s="363">
        <v>8400.35</v>
      </c>
    </row>
    <row r="2326" spans="2:3" x14ac:dyDescent="0.3">
      <c r="B2326" s="440">
        <v>42747</v>
      </c>
      <c r="C2326" s="363">
        <v>8407.2000000000007</v>
      </c>
    </row>
    <row r="2327" spans="2:3" x14ac:dyDescent="0.3">
      <c r="B2327" s="440">
        <v>42746</v>
      </c>
      <c r="C2327" s="363">
        <v>8380.65</v>
      </c>
    </row>
    <row r="2328" spans="2:3" x14ac:dyDescent="0.3">
      <c r="B2328" s="440">
        <v>42745</v>
      </c>
      <c r="C2328" s="363">
        <v>8288.6</v>
      </c>
    </row>
    <row r="2329" spans="2:3" x14ac:dyDescent="0.3">
      <c r="B2329" s="440">
        <v>42744</v>
      </c>
      <c r="C2329" s="363">
        <v>8236.0499999999993</v>
      </c>
    </row>
    <row r="2330" spans="2:3" x14ac:dyDescent="0.3">
      <c r="B2330" s="440">
        <v>42741</v>
      </c>
      <c r="C2330" s="363">
        <v>8243.7999999999993</v>
      </c>
    </row>
    <row r="2331" spans="2:3" x14ac:dyDescent="0.3">
      <c r="B2331" s="440">
        <v>42740</v>
      </c>
      <c r="C2331" s="363">
        <v>8273.7999999999993</v>
      </c>
    </row>
    <row r="2332" spans="2:3" x14ac:dyDescent="0.3">
      <c r="B2332" s="440">
        <v>42739</v>
      </c>
      <c r="C2332" s="363">
        <v>8190.5</v>
      </c>
    </row>
    <row r="2333" spans="2:3" x14ac:dyDescent="0.3">
      <c r="B2333" s="440">
        <v>42738</v>
      </c>
      <c r="C2333" s="363">
        <v>8192.25</v>
      </c>
    </row>
    <row r="2334" spans="2:3" x14ac:dyDescent="0.3">
      <c r="B2334" s="440">
        <v>42737</v>
      </c>
      <c r="C2334" s="363">
        <v>8179.5</v>
      </c>
    </row>
    <row r="2335" spans="2:3" x14ac:dyDescent="0.3">
      <c r="B2335" s="440">
        <v>42734</v>
      </c>
      <c r="C2335" s="363">
        <v>8185.8</v>
      </c>
    </row>
    <row r="2336" spans="2:3" x14ac:dyDescent="0.3">
      <c r="B2336" s="440">
        <v>42733</v>
      </c>
      <c r="C2336" s="363">
        <v>8103.6</v>
      </c>
    </row>
    <row r="2337" spans="2:3" x14ac:dyDescent="0.3">
      <c r="B2337" s="440">
        <v>42732</v>
      </c>
      <c r="C2337" s="363">
        <v>8034.85</v>
      </c>
    </row>
    <row r="2338" spans="2:3" x14ac:dyDescent="0.3">
      <c r="B2338" s="440">
        <v>42731</v>
      </c>
      <c r="C2338" s="363">
        <v>8032.85</v>
      </c>
    </row>
    <row r="2339" spans="2:3" x14ac:dyDescent="0.3">
      <c r="B2339" s="440">
        <v>42730</v>
      </c>
      <c r="C2339" s="363">
        <v>7908.25</v>
      </c>
    </row>
    <row r="2340" spans="2:3" x14ac:dyDescent="0.3">
      <c r="B2340" s="440">
        <v>42727</v>
      </c>
      <c r="C2340" s="363">
        <v>7985.75</v>
      </c>
    </row>
    <row r="2341" spans="2:3" x14ac:dyDescent="0.3">
      <c r="B2341" s="440">
        <v>42726</v>
      </c>
      <c r="C2341" s="363">
        <v>7979.1</v>
      </c>
    </row>
    <row r="2342" spans="2:3" x14ac:dyDescent="0.3">
      <c r="B2342" s="440">
        <v>42725</v>
      </c>
      <c r="C2342" s="363">
        <v>8061.3</v>
      </c>
    </row>
    <row r="2343" spans="2:3" x14ac:dyDescent="0.3">
      <c r="B2343" s="440">
        <v>42724</v>
      </c>
      <c r="C2343" s="363">
        <v>8082.4</v>
      </c>
    </row>
    <row r="2344" spans="2:3" x14ac:dyDescent="0.3">
      <c r="B2344" s="440">
        <v>42723</v>
      </c>
      <c r="C2344" s="363">
        <v>8104.35</v>
      </c>
    </row>
    <row r="2345" spans="2:3" x14ac:dyDescent="0.3">
      <c r="B2345" s="440">
        <v>42720</v>
      </c>
      <c r="C2345" s="363">
        <v>8139.45</v>
      </c>
    </row>
    <row r="2346" spans="2:3" x14ac:dyDescent="0.3">
      <c r="B2346" s="440">
        <v>42719</v>
      </c>
      <c r="C2346" s="363">
        <v>8153.6</v>
      </c>
    </row>
    <row r="2347" spans="2:3" x14ac:dyDescent="0.3">
      <c r="B2347" s="440">
        <v>42718</v>
      </c>
      <c r="C2347" s="363">
        <v>8182.45</v>
      </c>
    </row>
    <row r="2348" spans="2:3" x14ac:dyDescent="0.3">
      <c r="B2348" s="440">
        <v>42717</v>
      </c>
      <c r="C2348" s="363">
        <v>8221.7999999999993</v>
      </c>
    </row>
    <row r="2349" spans="2:3" x14ac:dyDescent="0.3">
      <c r="B2349" s="440">
        <v>42716</v>
      </c>
      <c r="C2349" s="363">
        <v>8170.8</v>
      </c>
    </row>
    <row r="2350" spans="2:3" x14ac:dyDescent="0.3">
      <c r="B2350" s="440">
        <v>42713</v>
      </c>
      <c r="C2350" s="363">
        <v>8261.75</v>
      </c>
    </row>
    <row r="2351" spans="2:3" x14ac:dyDescent="0.3">
      <c r="B2351" s="440">
        <v>42712</v>
      </c>
      <c r="C2351" s="363">
        <v>8246.85</v>
      </c>
    </row>
    <row r="2352" spans="2:3" x14ac:dyDescent="0.3">
      <c r="B2352" s="440">
        <v>42711</v>
      </c>
      <c r="C2352" s="363">
        <v>8102.05</v>
      </c>
    </row>
    <row r="2353" spans="2:3" x14ac:dyDescent="0.3">
      <c r="B2353" s="440">
        <v>42710</v>
      </c>
      <c r="C2353" s="363">
        <v>8143.15</v>
      </c>
    </row>
    <row r="2354" spans="2:3" x14ac:dyDescent="0.3">
      <c r="B2354" s="440">
        <v>42709</v>
      </c>
      <c r="C2354" s="363">
        <v>8128.75</v>
      </c>
    </row>
    <row r="2355" spans="2:3" x14ac:dyDescent="0.3">
      <c r="B2355" s="440">
        <v>42706</v>
      </c>
      <c r="C2355" s="363">
        <v>8086.8</v>
      </c>
    </row>
    <row r="2356" spans="2:3" x14ac:dyDescent="0.3">
      <c r="B2356" s="440">
        <v>42705</v>
      </c>
      <c r="C2356" s="363">
        <v>8192.9</v>
      </c>
    </row>
    <row r="2357" spans="2:3" x14ac:dyDescent="0.3">
      <c r="B2357" s="440">
        <v>42704</v>
      </c>
      <c r="C2357" s="363">
        <v>8224.5</v>
      </c>
    </row>
    <row r="2358" spans="2:3" x14ac:dyDescent="0.3">
      <c r="B2358" s="440">
        <v>42703</v>
      </c>
      <c r="C2358" s="363">
        <v>8142.15</v>
      </c>
    </row>
    <row r="2359" spans="2:3" x14ac:dyDescent="0.3">
      <c r="B2359" s="440">
        <v>42702</v>
      </c>
      <c r="C2359" s="363">
        <v>8126.9</v>
      </c>
    </row>
    <row r="2360" spans="2:3" x14ac:dyDescent="0.3">
      <c r="B2360" s="440">
        <v>42699</v>
      </c>
      <c r="C2360" s="363">
        <v>8114.3</v>
      </c>
    </row>
    <row r="2361" spans="2:3" x14ac:dyDescent="0.3">
      <c r="B2361" s="440">
        <v>42698</v>
      </c>
      <c r="C2361" s="363">
        <v>7965.5</v>
      </c>
    </row>
    <row r="2362" spans="2:3" x14ac:dyDescent="0.3">
      <c r="B2362" s="440">
        <v>42697</v>
      </c>
      <c r="C2362" s="363">
        <v>8033.3</v>
      </c>
    </row>
    <row r="2363" spans="2:3" x14ac:dyDescent="0.3">
      <c r="B2363" s="440">
        <v>42696</v>
      </c>
      <c r="C2363" s="363">
        <v>8002.3</v>
      </c>
    </row>
    <row r="2364" spans="2:3" x14ac:dyDescent="0.3">
      <c r="B2364" s="440">
        <v>42695</v>
      </c>
      <c r="C2364" s="363">
        <v>7929.1</v>
      </c>
    </row>
    <row r="2365" spans="2:3" x14ac:dyDescent="0.3">
      <c r="B2365" s="440">
        <v>42692</v>
      </c>
      <c r="C2365" s="363">
        <v>8074.1</v>
      </c>
    </row>
    <row r="2366" spans="2:3" x14ac:dyDescent="0.3">
      <c r="B2366" s="440">
        <v>42691</v>
      </c>
      <c r="C2366" s="363">
        <v>8079.95</v>
      </c>
    </row>
    <row r="2367" spans="2:3" x14ac:dyDescent="0.3">
      <c r="B2367" s="440">
        <v>42690</v>
      </c>
      <c r="C2367" s="363">
        <v>8111.6</v>
      </c>
    </row>
    <row r="2368" spans="2:3" x14ac:dyDescent="0.3">
      <c r="B2368" s="440">
        <v>42689</v>
      </c>
      <c r="C2368" s="363">
        <v>8108.45</v>
      </c>
    </row>
    <row r="2369" spans="2:3" x14ac:dyDescent="0.3">
      <c r="B2369" s="440">
        <v>42685</v>
      </c>
      <c r="C2369" s="363">
        <v>8296.2999999999993</v>
      </c>
    </row>
    <row r="2370" spans="2:3" x14ac:dyDescent="0.3">
      <c r="B2370" s="440">
        <v>42684</v>
      </c>
      <c r="C2370" s="363">
        <v>8525.75</v>
      </c>
    </row>
    <row r="2371" spans="2:3" x14ac:dyDescent="0.3">
      <c r="B2371" s="440">
        <v>42683</v>
      </c>
      <c r="C2371" s="363">
        <v>8432</v>
      </c>
    </row>
    <row r="2372" spans="2:3" x14ac:dyDescent="0.3">
      <c r="B2372" s="440">
        <v>42682</v>
      </c>
      <c r="C2372" s="363">
        <v>8543.5499999999993</v>
      </c>
    </row>
    <row r="2373" spans="2:3" x14ac:dyDescent="0.3">
      <c r="B2373" s="440">
        <v>42681</v>
      </c>
      <c r="C2373" s="363">
        <v>8497.0499999999993</v>
      </c>
    </row>
    <row r="2374" spans="2:3" x14ac:dyDescent="0.3">
      <c r="B2374" s="440">
        <v>42678</v>
      </c>
      <c r="C2374" s="363">
        <v>8433.75</v>
      </c>
    </row>
    <row r="2375" spans="2:3" x14ac:dyDescent="0.3">
      <c r="B2375" s="440">
        <v>42677</v>
      </c>
      <c r="C2375" s="363">
        <v>8484.9500000000007</v>
      </c>
    </row>
    <row r="2376" spans="2:3" x14ac:dyDescent="0.3">
      <c r="B2376" s="440">
        <v>42676</v>
      </c>
      <c r="C2376" s="363">
        <v>8514</v>
      </c>
    </row>
    <row r="2377" spans="2:3" x14ac:dyDescent="0.3">
      <c r="B2377" s="440">
        <v>42675</v>
      </c>
      <c r="C2377" s="363">
        <v>8626.25</v>
      </c>
    </row>
    <row r="2378" spans="2:3" x14ac:dyDescent="0.3">
      <c r="B2378" s="440">
        <v>42673</v>
      </c>
      <c r="C2378" s="363">
        <v>8625.7000000000007</v>
      </c>
    </row>
    <row r="2379" spans="2:3" x14ac:dyDescent="0.3">
      <c r="B2379" s="440">
        <v>42671</v>
      </c>
      <c r="C2379" s="363">
        <v>8638</v>
      </c>
    </row>
    <row r="2380" spans="2:3" x14ac:dyDescent="0.3">
      <c r="B2380" s="440">
        <v>42670</v>
      </c>
      <c r="C2380" s="363">
        <v>8615.25</v>
      </c>
    </row>
    <row r="2381" spans="2:3" x14ac:dyDescent="0.3">
      <c r="B2381" s="440">
        <v>42669</v>
      </c>
      <c r="C2381" s="363">
        <v>8615.25</v>
      </c>
    </row>
    <row r="2382" spans="2:3" x14ac:dyDescent="0.3">
      <c r="B2382" s="440">
        <v>42668</v>
      </c>
      <c r="C2382" s="363">
        <v>8691.2999999999993</v>
      </c>
    </row>
    <row r="2383" spans="2:3" x14ac:dyDescent="0.3">
      <c r="B2383" s="440">
        <v>42667</v>
      </c>
      <c r="C2383" s="363">
        <v>8708.9500000000007</v>
      </c>
    </row>
    <row r="2384" spans="2:3" x14ac:dyDescent="0.3">
      <c r="B2384" s="440">
        <v>42664</v>
      </c>
      <c r="C2384" s="363">
        <v>8693.0499999999993</v>
      </c>
    </row>
    <row r="2385" spans="2:3" x14ac:dyDescent="0.3">
      <c r="B2385" s="440">
        <v>42663</v>
      </c>
      <c r="C2385" s="363">
        <v>8699.4</v>
      </c>
    </row>
    <row r="2386" spans="2:3" x14ac:dyDescent="0.3">
      <c r="B2386" s="440">
        <v>42662</v>
      </c>
      <c r="C2386" s="363">
        <v>8659.1</v>
      </c>
    </row>
    <row r="2387" spans="2:3" x14ac:dyDescent="0.3">
      <c r="B2387" s="440">
        <v>42661</v>
      </c>
      <c r="C2387" s="363">
        <v>8677.9</v>
      </c>
    </row>
    <row r="2388" spans="2:3" x14ac:dyDescent="0.3">
      <c r="B2388" s="440">
        <v>42660</v>
      </c>
      <c r="C2388" s="363">
        <v>8520.4</v>
      </c>
    </row>
    <row r="2389" spans="2:3" x14ac:dyDescent="0.3">
      <c r="B2389" s="440">
        <v>42657</v>
      </c>
      <c r="C2389" s="363">
        <v>8583.4</v>
      </c>
    </row>
    <row r="2390" spans="2:3" x14ac:dyDescent="0.3">
      <c r="B2390" s="440">
        <v>42656</v>
      </c>
      <c r="C2390" s="363">
        <v>8573.35</v>
      </c>
    </row>
    <row r="2391" spans="2:3" x14ac:dyDescent="0.3">
      <c r="B2391" s="440">
        <v>42653</v>
      </c>
      <c r="C2391" s="363">
        <v>8708.7999999999993</v>
      </c>
    </row>
    <row r="2392" spans="2:3" x14ac:dyDescent="0.3">
      <c r="B2392" s="440">
        <v>42650</v>
      </c>
      <c r="C2392" s="363">
        <v>8697.6</v>
      </c>
    </row>
    <row r="2393" spans="2:3" x14ac:dyDescent="0.3">
      <c r="B2393" s="440">
        <v>42649</v>
      </c>
      <c r="C2393" s="363">
        <v>8709.5499999999993</v>
      </c>
    </row>
    <row r="2394" spans="2:3" x14ac:dyDescent="0.3">
      <c r="B2394" s="440">
        <v>42648</v>
      </c>
      <c r="C2394" s="363">
        <v>8743.9500000000007</v>
      </c>
    </row>
    <row r="2395" spans="2:3" x14ac:dyDescent="0.3">
      <c r="B2395" s="440">
        <v>42647</v>
      </c>
      <c r="C2395" s="363">
        <v>8769.15</v>
      </c>
    </row>
    <row r="2396" spans="2:3" x14ac:dyDescent="0.3">
      <c r="B2396" s="440">
        <v>42646</v>
      </c>
      <c r="C2396" s="363">
        <v>8738.1</v>
      </c>
    </row>
    <row r="2397" spans="2:3" x14ac:dyDescent="0.3">
      <c r="B2397" s="440">
        <v>42643</v>
      </c>
      <c r="C2397" s="363">
        <v>8611.15</v>
      </c>
    </row>
    <row r="2398" spans="2:3" x14ac:dyDescent="0.3">
      <c r="B2398" s="440">
        <v>42642</v>
      </c>
      <c r="C2398" s="363">
        <v>8591.25</v>
      </c>
    </row>
    <row r="2399" spans="2:3" x14ac:dyDescent="0.3">
      <c r="B2399" s="440">
        <v>42641</v>
      </c>
      <c r="C2399" s="363">
        <v>8745.15</v>
      </c>
    </row>
    <row r="2400" spans="2:3" x14ac:dyDescent="0.3">
      <c r="B2400" s="440">
        <v>42640</v>
      </c>
      <c r="C2400" s="363">
        <v>8706.4</v>
      </c>
    </row>
    <row r="2401" spans="2:3" x14ac:dyDescent="0.3">
      <c r="B2401" s="440">
        <v>42639</v>
      </c>
      <c r="C2401" s="363">
        <v>8723.0499999999993</v>
      </c>
    </row>
    <row r="2402" spans="2:3" x14ac:dyDescent="0.3">
      <c r="B2402" s="440">
        <v>42636</v>
      </c>
      <c r="C2402" s="363">
        <v>8831.5499999999993</v>
      </c>
    </row>
    <row r="2403" spans="2:3" x14ac:dyDescent="0.3">
      <c r="B2403" s="440">
        <v>42635</v>
      </c>
      <c r="C2403" s="363">
        <v>8867.4500000000007</v>
      </c>
    </row>
    <row r="2404" spans="2:3" x14ac:dyDescent="0.3">
      <c r="B2404" s="440">
        <v>42634</v>
      </c>
      <c r="C2404" s="363">
        <v>8777.15</v>
      </c>
    </row>
    <row r="2405" spans="2:3" x14ac:dyDescent="0.3">
      <c r="B2405" s="440">
        <v>42633</v>
      </c>
      <c r="C2405" s="363">
        <v>8775.9</v>
      </c>
    </row>
    <row r="2406" spans="2:3" x14ac:dyDescent="0.3">
      <c r="B2406" s="440">
        <v>42632</v>
      </c>
      <c r="C2406" s="363">
        <v>8808.4</v>
      </c>
    </row>
    <row r="2407" spans="2:3" x14ac:dyDescent="0.3">
      <c r="B2407" s="440">
        <v>42629</v>
      </c>
      <c r="C2407" s="363">
        <v>8779.85</v>
      </c>
    </row>
    <row r="2408" spans="2:3" x14ac:dyDescent="0.3">
      <c r="B2408" s="440">
        <v>42628</v>
      </c>
      <c r="C2408" s="363">
        <v>8742.5499999999993</v>
      </c>
    </row>
    <row r="2409" spans="2:3" x14ac:dyDescent="0.3">
      <c r="B2409" s="440">
        <v>42627</v>
      </c>
      <c r="C2409" s="363">
        <v>8726.6</v>
      </c>
    </row>
    <row r="2410" spans="2:3" x14ac:dyDescent="0.3">
      <c r="B2410" s="440">
        <v>42625</v>
      </c>
      <c r="C2410" s="363">
        <v>8715.6</v>
      </c>
    </row>
    <row r="2411" spans="2:3" x14ac:dyDescent="0.3">
      <c r="B2411" s="440">
        <v>42622</v>
      </c>
      <c r="C2411" s="363">
        <v>8866.7000000000007</v>
      </c>
    </row>
    <row r="2412" spans="2:3" x14ac:dyDescent="0.3">
      <c r="B2412" s="440">
        <v>42621</v>
      </c>
      <c r="C2412" s="363">
        <v>8952.5</v>
      </c>
    </row>
    <row r="2413" spans="2:3" x14ac:dyDescent="0.3">
      <c r="B2413" s="440">
        <v>42620</v>
      </c>
      <c r="C2413" s="363">
        <v>8917.9500000000007</v>
      </c>
    </row>
    <row r="2414" spans="2:3" x14ac:dyDescent="0.3">
      <c r="B2414" s="440">
        <v>42619</v>
      </c>
      <c r="C2414" s="363">
        <v>8943</v>
      </c>
    </row>
    <row r="2415" spans="2:3" x14ac:dyDescent="0.3">
      <c r="B2415" s="440">
        <v>42615</v>
      </c>
      <c r="C2415" s="363">
        <v>8809.65</v>
      </c>
    </row>
    <row r="2416" spans="2:3" x14ac:dyDescent="0.3">
      <c r="B2416" s="440">
        <v>42614</v>
      </c>
      <c r="C2416" s="363">
        <v>8774.65</v>
      </c>
    </row>
    <row r="2417" spans="2:3" x14ac:dyDescent="0.3">
      <c r="B2417" s="440">
        <v>42613</v>
      </c>
      <c r="C2417" s="363">
        <v>8786.2000000000007</v>
      </c>
    </row>
    <row r="2418" spans="2:3" x14ac:dyDescent="0.3">
      <c r="B2418" s="440">
        <v>42612</v>
      </c>
      <c r="C2418" s="363">
        <v>8744.35</v>
      </c>
    </row>
    <row r="2419" spans="2:3" x14ac:dyDescent="0.3">
      <c r="B2419" s="440">
        <v>42611</v>
      </c>
      <c r="C2419" s="363">
        <v>8607.4500000000007</v>
      </c>
    </row>
    <row r="2420" spans="2:3" x14ac:dyDescent="0.3">
      <c r="B2420" s="440">
        <v>42608</v>
      </c>
      <c r="C2420" s="363">
        <v>8572.5499999999993</v>
      </c>
    </row>
    <row r="2421" spans="2:3" x14ac:dyDescent="0.3">
      <c r="B2421" s="440">
        <v>42607</v>
      </c>
      <c r="C2421" s="363">
        <v>8592.2000000000007</v>
      </c>
    </row>
    <row r="2422" spans="2:3" x14ac:dyDescent="0.3">
      <c r="B2422" s="440">
        <v>42606</v>
      </c>
      <c r="C2422" s="363">
        <v>8650.2999999999993</v>
      </c>
    </row>
    <row r="2423" spans="2:3" x14ac:dyDescent="0.3">
      <c r="B2423" s="440">
        <v>42605</v>
      </c>
      <c r="C2423" s="363">
        <v>8632.6</v>
      </c>
    </row>
    <row r="2424" spans="2:3" x14ac:dyDescent="0.3">
      <c r="B2424" s="440">
        <v>42604</v>
      </c>
      <c r="C2424" s="363">
        <v>8629.15</v>
      </c>
    </row>
    <row r="2425" spans="2:3" x14ac:dyDescent="0.3">
      <c r="B2425" s="440">
        <v>42601</v>
      </c>
      <c r="C2425" s="363">
        <v>8666.9</v>
      </c>
    </row>
    <row r="2426" spans="2:3" x14ac:dyDescent="0.3">
      <c r="B2426" s="440">
        <v>42600</v>
      </c>
      <c r="C2426" s="363">
        <v>8673.25</v>
      </c>
    </row>
    <row r="2427" spans="2:3" x14ac:dyDescent="0.3">
      <c r="B2427" s="440">
        <v>42599</v>
      </c>
      <c r="C2427" s="363">
        <v>8624.0499999999993</v>
      </c>
    </row>
    <row r="2428" spans="2:3" x14ac:dyDescent="0.3">
      <c r="B2428" s="440">
        <v>42598</v>
      </c>
      <c r="C2428" s="363">
        <v>8642.5499999999993</v>
      </c>
    </row>
    <row r="2429" spans="2:3" x14ac:dyDescent="0.3">
      <c r="B2429" s="440">
        <v>42594</v>
      </c>
      <c r="C2429" s="363">
        <v>8672.15</v>
      </c>
    </row>
    <row r="2430" spans="2:3" x14ac:dyDescent="0.3">
      <c r="B2430" s="440">
        <v>42593</v>
      </c>
      <c r="C2430" s="363">
        <v>8592.15</v>
      </c>
    </row>
    <row r="2431" spans="2:3" x14ac:dyDescent="0.3">
      <c r="B2431" s="440">
        <v>42592</v>
      </c>
      <c r="C2431" s="363">
        <v>8575.2999999999993</v>
      </c>
    </row>
    <row r="2432" spans="2:3" x14ac:dyDescent="0.3">
      <c r="B2432" s="440">
        <v>42591</v>
      </c>
      <c r="C2432" s="363">
        <v>8678.25</v>
      </c>
    </row>
    <row r="2433" spans="2:3" x14ac:dyDescent="0.3">
      <c r="B2433" s="440">
        <v>42590</v>
      </c>
      <c r="C2433" s="363">
        <v>8711.35</v>
      </c>
    </row>
    <row r="2434" spans="2:3" x14ac:dyDescent="0.3">
      <c r="B2434" s="440">
        <v>42587</v>
      </c>
      <c r="C2434" s="363">
        <v>8683.15</v>
      </c>
    </row>
    <row r="2435" spans="2:3" x14ac:dyDescent="0.3">
      <c r="B2435" s="440">
        <v>42586</v>
      </c>
      <c r="C2435" s="363">
        <v>8551.1</v>
      </c>
    </row>
    <row r="2436" spans="2:3" x14ac:dyDescent="0.3">
      <c r="B2436" s="440">
        <v>42585</v>
      </c>
      <c r="C2436" s="363">
        <v>8544.85</v>
      </c>
    </row>
    <row r="2437" spans="2:3" x14ac:dyDescent="0.3">
      <c r="B2437" s="440">
        <v>42584</v>
      </c>
      <c r="C2437" s="363">
        <v>8622.9</v>
      </c>
    </row>
    <row r="2438" spans="2:3" x14ac:dyDescent="0.3">
      <c r="B2438" s="440">
        <v>42583</v>
      </c>
      <c r="C2438" s="363">
        <v>8636.5499999999993</v>
      </c>
    </row>
    <row r="2439" spans="2:3" x14ac:dyDescent="0.3">
      <c r="B2439" s="440">
        <v>42580</v>
      </c>
      <c r="C2439" s="363">
        <v>8638.5</v>
      </c>
    </row>
    <row r="2440" spans="2:3" x14ac:dyDescent="0.3">
      <c r="B2440" s="440">
        <v>42579</v>
      </c>
      <c r="C2440" s="363">
        <v>8666.2999999999993</v>
      </c>
    </row>
    <row r="2441" spans="2:3" x14ac:dyDescent="0.3">
      <c r="B2441" s="440">
        <v>42578</v>
      </c>
      <c r="C2441" s="363">
        <v>8615.7999999999993</v>
      </c>
    </row>
    <row r="2442" spans="2:3" x14ac:dyDescent="0.3">
      <c r="B2442" s="440">
        <v>42577</v>
      </c>
      <c r="C2442" s="363">
        <v>8590.65</v>
      </c>
    </row>
    <row r="2443" spans="2:3" x14ac:dyDescent="0.3">
      <c r="B2443" s="440">
        <v>42576</v>
      </c>
      <c r="C2443" s="363">
        <v>8635.65</v>
      </c>
    </row>
    <row r="2444" spans="2:3" x14ac:dyDescent="0.3">
      <c r="B2444" s="440">
        <v>42573</v>
      </c>
      <c r="C2444" s="363">
        <v>8541.2000000000007</v>
      </c>
    </row>
    <row r="2445" spans="2:3" x14ac:dyDescent="0.3">
      <c r="B2445" s="440">
        <v>42572</v>
      </c>
      <c r="C2445" s="363">
        <v>8510.1</v>
      </c>
    </row>
    <row r="2446" spans="2:3" x14ac:dyDescent="0.3">
      <c r="B2446" s="440">
        <v>42571</v>
      </c>
      <c r="C2446" s="363">
        <v>8565.85</v>
      </c>
    </row>
    <row r="2447" spans="2:3" x14ac:dyDescent="0.3">
      <c r="B2447" s="440">
        <v>42570</v>
      </c>
      <c r="C2447" s="363">
        <v>8528.5499999999993</v>
      </c>
    </row>
    <row r="2448" spans="2:3" x14ac:dyDescent="0.3">
      <c r="B2448" s="440">
        <v>42569</v>
      </c>
      <c r="C2448" s="363">
        <v>8508.7000000000007</v>
      </c>
    </row>
    <row r="2449" spans="2:3" x14ac:dyDescent="0.3">
      <c r="B2449" s="440">
        <v>42566</v>
      </c>
      <c r="C2449" s="363">
        <v>8541.4</v>
      </c>
    </row>
    <row r="2450" spans="2:3" x14ac:dyDescent="0.3">
      <c r="B2450" s="440">
        <v>42565</v>
      </c>
      <c r="C2450" s="363">
        <v>8565</v>
      </c>
    </row>
    <row r="2451" spans="2:3" x14ac:dyDescent="0.3">
      <c r="B2451" s="440">
        <v>42564</v>
      </c>
      <c r="C2451" s="363">
        <v>8519.5</v>
      </c>
    </row>
    <row r="2452" spans="2:3" x14ac:dyDescent="0.3">
      <c r="B2452" s="440">
        <v>42563</v>
      </c>
      <c r="C2452" s="363">
        <v>8521.0499999999993</v>
      </c>
    </row>
    <row r="2453" spans="2:3" x14ac:dyDescent="0.3">
      <c r="B2453" s="440">
        <v>42562</v>
      </c>
      <c r="C2453" s="363">
        <v>8467.9</v>
      </c>
    </row>
    <row r="2454" spans="2:3" x14ac:dyDescent="0.3">
      <c r="B2454" s="440">
        <v>42559</v>
      </c>
      <c r="C2454" s="363">
        <v>8323.2000000000007</v>
      </c>
    </row>
    <row r="2455" spans="2:3" x14ac:dyDescent="0.3">
      <c r="B2455" s="440">
        <v>42558</v>
      </c>
      <c r="C2455" s="363">
        <v>8337.9</v>
      </c>
    </row>
    <row r="2456" spans="2:3" x14ac:dyDescent="0.3">
      <c r="B2456" s="440">
        <v>42556</v>
      </c>
      <c r="C2456" s="363">
        <v>8335.9500000000007</v>
      </c>
    </row>
    <row r="2457" spans="2:3" x14ac:dyDescent="0.3">
      <c r="B2457" s="440">
        <v>42555</v>
      </c>
      <c r="C2457" s="363">
        <v>8370.7000000000007</v>
      </c>
    </row>
    <row r="2458" spans="2:3" x14ac:dyDescent="0.3">
      <c r="B2458" s="440">
        <v>42552</v>
      </c>
      <c r="C2458" s="363">
        <v>8328.35</v>
      </c>
    </row>
    <row r="2459" spans="2:3" x14ac:dyDescent="0.3">
      <c r="B2459" s="440">
        <v>42551</v>
      </c>
      <c r="C2459" s="363">
        <v>8287.75</v>
      </c>
    </row>
    <row r="2460" spans="2:3" x14ac:dyDescent="0.3">
      <c r="B2460" s="440">
        <v>42550</v>
      </c>
      <c r="C2460" s="363">
        <v>8204</v>
      </c>
    </row>
    <row r="2461" spans="2:3" x14ac:dyDescent="0.3">
      <c r="B2461" s="440">
        <v>42549</v>
      </c>
      <c r="C2461" s="363">
        <v>8127.85</v>
      </c>
    </row>
    <row r="2462" spans="2:3" x14ac:dyDescent="0.3">
      <c r="B2462" s="440">
        <v>42548</v>
      </c>
      <c r="C2462" s="363">
        <v>8094.7</v>
      </c>
    </row>
    <row r="2463" spans="2:3" x14ac:dyDescent="0.3">
      <c r="B2463" s="440">
        <v>42545</v>
      </c>
      <c r="C2463" s="363">
        <v>8088.6</v>
      </c>
    </row>
    <row r="2464" spans="2:3" x14ac:dyDescent="0.3">
      <c r="B2464" s="440">
        <v>42544</v>
      </c>
      <c r="C2464" s="363">
        <v>8270.4500000000007</v>
      </c>
    </row>
    <row r="2465" spans="2:3" x14ac:dyDescent="0.3">
      <c r="B2465" s="440">
        <v>42543</v>
      </c>
      <c r="C2465" s="363">
        <v>8203.7000000000007</v>
      </c>
    </row>
    <row r="2466" spans="2:3" x14ac:dyDescent="0.3">
      <c r="B2466" s="440">
        <v>42542</v>
      </c>
      <c r="C2466" s="363">
        <v>8219.9</v>
      </c>
    </row>
    <row r="2467" spans="2:3" x14ac:dyDescent="0.3">
      <c r="B2467" s="440">
        <v>42541</v>
      </c>
      <c r="C2467" s="363">
        <v>8238.5</v>
      </c>
    </row>
    <row r="2468" spans="2:3" x14ac:dyDescent="0.3">
      <c r="B2468" s="440">
        <v>42538</v>
      </c>
      <c r="C2468" s="363">
        <v>8170.2</v>
      </c>
    </row>
    <row r="2469" spans="2:3" x14ac:dyDescent="0.3">
      <c r="B2469" s="440">
        <v>42537</v>
      </c>
      <c r="C2469" s="363">
        <v>8140.75</v>
      </c>
    </row>
    <row r="2470" spans="2:3" x14ac:dyDescent="0.3">
      <c r="B2470" s="440">
        <v>42536</v>
      </c>
      <c r="C2470" s="363">
        <v>8206.6</v>
      </c>
    </row>
    <row r="2471" spans="2:3" x14ac:dyDescent="0.3">
      <c r="B2471" s="440">
        <v>42535</v>
      </c>
      <c r="C2471" s="363">
        <v>8108.85</v>
      </c>
    </row>
    <row r="2472" spans="2:3" x14ac:dyDescent="0.3">
      <c r="B2472" s="440">
        <v>42534</v>
      </c>
      <c r="C2472" s="363">
        <v>8110.6</v>
      </c>
    </row>
    <row r="2473" spans="2:3" x14ac:dyDescent="0.3">
      <c r="B2473" s="440">
        <v>42531</v>
      </c>
      <c r="C2473" s="363">
        <v>8170.05</v>
      </c>
    </row>
    <row r="2474" spans="2:3" x14ac:dyDescent="0.3">
      <c r="B2474" s="440">
        <v>42530</v>
      </c>
      <c r="C2474" s="363">
        <v>8203.6</v>
      </c>
    </row>
    <row r="2475" spans="2:3" x14ac:dyDescent="0.3">
      <c r="B2475" s="440">
        <v>42529</v>
      </c>
      <c r="C2475" s="363">
        <v>8273.0499999999993</v>
      </c>
    </row>
    <row r="2476" spans="2:3" x14ac:dyDescent="0.3">
      <c r="B2476" s="440">
        <v>42528</v>
      </c>
      <c r="C2476" s="363">
        <v>8266.4500000000007</v>
      </c>
    </row>
    <row r="2477" spans="2:3" x14ac:dyDescent="0.3">
      <c r="B2477" s="440">
        <v>42527</v>
      </c>
      <c r="C2477" s="363">
        <v>8201.0499999999993</v>
      </c>
    </row>
    <row r="2478" spans="2:3" x14ac:dyDescent="0.3">
      <c r="B2478" s="440">
        <v>42524</v>
      </c>
      <c r="C2478" s="363">
        <v>8220.7999999999993</v>
      </c>
    </row>
    <row r="2479" spans="2:3" x14ac:dyDescent="0.3">
      <c r="B2479" s="440">
        <v>42523</v>
      </c>
      <c r="C2479" s="363">
        <v>8218.9500000000007</v>
      </c>
    </row>
    <row r="2480" spans="2:3" x14ac:dyDescent="0.3">
      <c r="B2480" s="440">
        <v>42522</v>
      </c>
      <c r="C2480" s="363">
        <v>8179.95</v>
      </c>
    </row>
    <row r="2481" spans="2:7" x14ac:dyDescent="0.3">
      <c r="B2481" s="440">
        <v>42521</v>
      </c>
      <c r="C2481" s="363">
        <v>8160.1</v>
      </c>
    </row>
    <row r="2482" spans="2:7" x14ac:dyDescent="0.3">
      <c r="B2482" s="440">
        <v>42520</v>
      </c>
      <c r="C2482" s="363">
        <v>8178.5</v>
      </c>
      <c r="F2482" s="323"/>
      <c r="G2482" s="323"/>
    </row>
    <row r="2483" spans="2:7" x14ac:dyDescent="0.3">
      <c r="F2483" s="323"/>
      <c r="G2483" s="323"/>
    </row>
    <row r="2484" spans="2:7" x14ac:dyDescent="0.3">
      <c r="F2484" s="323"/>
      <c r="G2484" s="323"/>
    </row>
    <row r="2485" spans="2:7" x14ac:dyDescent="0.3">
      <c r="F2485" s="323"/>
      <c r="G2485" s="323"/>
    </row>
    <row r="2486" spans="2:7" x14ac:dyDescent="0.3">
      <c r="F2486" s="323"/>
      <c r="G2486" s="323"/>
    </row>
    <row r="2487" spans="2:7" x14ac:dyDescent="0.3">
      <c r="F2487" s="323"/>
      <c r="G2487" s="323"/>
    </row>
    <row r="2488" spans="2:7" x14ac:dyDescent="0.3">
      <c r="F2488" s="323"/>
      <c r="G2488" s="323"/>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BEED9"/>
  </sheetPr>
  <dimension ref="A1:R32"/>
  <sheetViews>
    <sheetView showGridLines="0" topLeftCell="A6" zoomScale="88" workbookViewId="0">
      <selection activeCell="Q30" sqref="Q30"/>
    </sheetView>
  </sheetViews>
  <sheetFormatPr defaultRowHeight="14.4" x14ac:dyDescent="0.3"/>
  <cols>
    <col min="1" max="1" width="2.109375" customWidth="1"/>
    <col min="2" max="2" width="24" bestFit="1" customWidth="1"/>
    <col min="3" max="3" width="13.44140625" customWidth="1"/>
    <col min="4" max="4" width="7" bestFit="1" customWidth="1"/>
    <col min="5" max="5" width="11.21875" customWidth="1"/>
    <col min="6" max="6" width="10.109375" bestFit="1" customWidth="1"/>
    <col min="9" max="9" width="9.6640625" customWidth="1"/>
    <col min="15" max="15" width="12.109375" customWidth="1"/>
    <col min="16" max="17" width="12" bestFit="1" customWidth="1"/>
    <col min="18" max="18" width="3.88671875" customWidth="1"/>
    <col min="19" max="16384" width="8.88671875" style="255"/>
  </cols>
  <sheetData>
    <row r="1" spans="2:18" x14ac:dyDescent="0.3">
      <c r="B1" s="40"/>
      <c r="C1" s="40"/>
      <c r="D1" s="40"/>
      <c r="E1" s="40"/>
      <c r="F1" s="40"/>
      <c r="G1" s="40"/>
      <c r="H1" s="40"/>
      <c r="I1" s="40"/>
      <c r="J1" s="40"/>
      <c r="K1" s="40"/>
      <c r="L1" s="40"/>
      <c r="M1" s="40"/>
      <c r="N1" s="40"/>
      <c r="O1" s="40"/>
      <c r="P1" s="40"/>
      <c r="Q1" s="40"/>
      <c r="R1" s="23"/>
    </row>
    <row r="2" spans="2:18" x14ac:dyDescent="0.3">
      <c r="B2" s="40"/>
      <c r="C2" s="40"/>
      <c r="D2" s="40"/>
      <c r="E2" s="40"/>
      <c r="F2" s="40"/>
      <c r="G2" s="40"/>
      <c r="H2" s="40"/>
      <c r="I2" s="40"/>
      <c r="J2" s="40"/>
      <c r="K2" s="40"/>
      <c r="L2" s="40"/>
      <c r="M2" s="40"/>
      <c r="N2" s="40"/>
      <c r="O2" s="40"/>
      <c r="P2" s="40"/>
      <c r="Q2" s="40"/>
      <c r="R2" s="23"/>
    </row>
    <row r="3" spans="2:18" x14ac:dyDescent="0.3">
      <c r="B3" s="40"/>
      <c r="C3" s="40"/>
      <c r="D3" s="40"/>
      <c r="E3" s="40"/>
      <c r="F3" s="40"/>
      <c r="G3" s="40"/>
      <c r="H3" s="40"/>
      <c r="I3" s="40"/>
      <c r="J3" s="40"/>
      <c r="K3" s="40"/>
      <c r="L3" s="40"/>
      <c r="M3" s="40"/>
      <c r="N3" s="40"/>
      <c r="O3" s="40"/>
      <c r="P3" s="40"/>
      <c r="Q3" s="40"/>
      <c r="R3" s="23"/>
    </row>
    <row r="4" spans="2:18" x14ac:dyDescent="0.3">
      <c r="B4" s="40"/>
      <c r="C4" s="40"/>
      <c r="D4" s="40"/>
      <c r="E4" s="40"/>
      <c r="F4" s="40"/>
      <c r="G4" s="40"/>
      <c r="H4" s="40"/>
      <c r="I4" s="40"/>
      <c r="J4" s="40"/>
      <c r="K4" s="40"/>
      <c r="L4" s="40"/>
      <c r="M4" s="40"/>
      <c r="N4" s="40"/>
      <c r="O4" s="40"/>
      <c r="P4" s="40"/>
      <c r="Q4" s="40"/>
      <c r="R4" s="23"/>
    </row>
    <row r="5" spans="2:18" x14ac:dyDescent="0.3">
      <c r="B5" s="40"/>
      <c r="C5" s="40"/>
      <c r="D5" s="40"/>
      <c r="E5" s="40"/>
      <c r="F5" s="40"/>
      <c r="G5" s="40"/>
      <c r="H5" s="40"/>
      <c r="I5" s="40"/>
      <c r="J5" s="40"/>
      <c r="K5" s="40"/>
      <c r="L5" s="40"/>
      <c r="M5" s="40"/>
      <c r="N5" s="40"/>
      <c r="O5" s="40"/>
      <c r="P5" s="40"/>
      <c r="Q5" s="40"/>
    </row>
    <row r="6" spans="2:18" x14ac:dyDescent="0.3">
      <c r="B6" s="58"/>
      <c r="O6" s="58" t="s">
        <v>276</v>
      </c>
    </row>
    <row r="7" spans="2:18" ht="18" x14ac:dyDescent="0.35">
      <c r="B7" s="541" t="s">
        <v>75</v>
      </c>
      <c r="C7" s="541"/>
      <c r="D7" s="541"/>
      <c r="E7" s="541"/>
      <c r="F7" s="541"/>
      <c r="G7" s="541"/>
      <c r="H7" s="541"/>
      <c r="I7" s="541"/>
      <c r="J7" s="541"/>
      <c r="K7" s="541"/>
      <c r="L7" s="296"/>
      <c r="M7" s="296"/>
      <c r="N7" s="296"/>
      <c r="O7" s="296"/>
      <c r="P7" s="296"/>
      <c r="Q7" s="296"/>
    </row>
    <row r="9" spans="2:18" x14ac:dyDescent="0.3">
      <c r="B9" s="41" t="s">
        <v>76</v>
      </c>
      <c r="C9" s="542" t="s">
        <v>77</v>
      </c>
      <c r="D9" s="542"/>
      <c r="E9" s="542"/>
      <c r="F9" s="542"/>
      <c r="G9" s="542"/>
      <c r="H9" s="542"/>
      <c r="I9" s="542"/>
      <c r="J9" s="41"/>
      <c r="K9" s="542" t="s">
        <v>78</v>
      </c>
      <c r="L9" s="542"/>
      <c r="M9" s="542"/>
      <c r="N9" s="42"/>
      <c r="O9" s="543" t="s">
        <v>77</v>
      </c>
      <c r="P9" s="543"/>
      <c r="Q9" s="543"/>
    </row>
    <row r="10" spans="2:18" ht="28.8" x14ac:dyDescent="0.3">
      <c r="B10" s="43" t="s">
        <v>79</v>
      </c>
      <c r="C10" s="44" t="s">
        <v>80</v>
      </c>
      <c r="D10" s="45" t="s">
        <v>72</v>
      </c>
      <c r="E10" s="45" t="s">
        <v>81</v>
      </c>
      <c r="F10" s="45" t="s">
        <v>82</v>
      </c>
      <c r="G10" s="45" t="s">
        <v>83</v>
      </c>
      <c r="H10" s="45" t="s">
        <v>103</v>
      </c>
      <c r="I10" s="45" t="s">
        <v>84</v>
      </c>
      <c r="J10" s="42"/>
      <c r="K10" s="42" t="s">
        <v>85</v>
      </c>
      <c r="L10" s="42" t="s">
        <v>86</v>
      </c>
      <c r="M10" s="45" t="s">
        <v>87</v>
      </c>
      <c r="N10" s="42"/>
      <c r="O10" s="45" t="s">
        <v>88</v>
      </c>
      <c r="P10" s="45" t="s">
        <v>89</v>
      </c>
      <c r="Q10" s="42" t="s">
        <v>90</v>
      </c>
    </row>
    <row r="11" spans="2:18" x14ac:dyDescent="0.3">
      <c r="N11" s="18"/>
      <c r="O11" s="18"/>
      <c r="P11" s="18"/>
      <c r="Q11" s="18"/>
    </row>
    <row r="12" spans="2:18" x14ac:dyDescent="0.3">
      <c r="B12" s="55" t="str">
        <f>'Comps Data'!B9</f>
        <v>Divi's Laboratories</v>
      </c>
      <c r="C12" s="56" t="s">
        <v>270</v>
      </c>
      <c r="D12" s="279">
        <f>'Comps Data'!C9</f>
        <v>6791</v>
      </c>
      <c r="E12" s="280">
        <f>('Comps Data'!D9)</f>
        <v>265.5</v>
      </c>
      <c r="F12" s="281">
        <f>D12*E12</f>
        <v>1803010.5</v>
      </c>
      <c r="G12" s="280">
        <f>('Comps Data'!E9)</f>
        <v>900</v>
      </c>
      <c r="H12" s="280">
        <f>('Comps Data'!F9)</f>
        <v>37150</v>
      </c>
      <c r="I12" s="281">
        <f t="shared" ref="I12:I17" si="0">F12+G12-H12</f>
        <v>1766760.5</v>
      </c>
      <c r="J12" s="282"/>
      <c r="K12" s="280">
        <f>('Comps Data'!G9)</f>
        <v>103140</v>
      </c>
      <c r="L12" s="280">
        <f>('Comps Data'!O9)</f>
        <v>38312.681159420288</v>
      </c>
      <c r="M12" s="280">
        <f>('Comps Data'!I9)</f>
        <v>21900</v>
      </c>
      <c r="N12" s="46"/>
      <c r="O12" s="53">
        <f t="shared" ref="O12:O17" si="1">$I12/$K12</f>
        <v>17.129731433003684</v>
      </c>
      <c r="P12" s="54">
        <f t="shared" ref="P12:P17" si="2">$I12/$L12</f>
        <v>46.114248508175486</v>
      </c>
      <c r="Q12" s="53">
        <f t="shared" ref="Q12:Q17" si="3">F12/M12</f>
        <v>82.329246575342466</v>
      </c>
    </row>
    <row r="13" spans="2:18" x14ac:dyDescent="0.3">
      <c r="B13" s="55" t="str">
        <f>'Comps Data'!B10</f>
        <v>Torrent Pharmaceuticals</v>
      </c>
      <c r="C13" s="56" t="s">
        <v>271</v>
      </c>
      <c r="D13" s="283">
        <f>'Comps Data'!C10</f>
        <v>4529.1000000000004</v>
      </c>
      <c r="E13" s="280">
        <f>('Comps Data'!D10)</f>
        <v>338.40000000000003</v>
      </c>
      <c r="F13" s="281">
        <f t="shared" ref="F13:F17" si="4">D13*E13</f>
        <v>1532647.4400000002</v>
      </c>
      <c r="G13" s="280">
        <f>('Comps Data'!E10)</f>
        <v>28220</v>
      </c>
      <c r="H13" s="280">
        <f>('Comps Data'!F10)</f>
        <v>5794.6</v>
      </c>
      <c r="I13" s="281">
        <f t="shared" si="0"/>
        <v>1555072.84</v>
      </c>
      <c r="J13" s="284"/>
      <c r="K13" s="280">
        <f>('Comps Data'!G10)</f>
        <v>127420</v>
      </c>
      <c r="L13" s="280">
        <f>('Comps Data'!O10)</f>
        <v>40722.059326868228</v>
      </c>
      <c r="M13" s="280">
        <f>('Comps Data'!I10)</f>
        <v>19150</v>
      </c>
      <c r="N13" s="47"/>
      <c r="O13" s="54">
        <f t="shared" si="1"/>
        <v>12.204307330089469</v>
      </c>
      <c r="P13" s="54">
        <f t="shared" si="2"/>
        <v>38.187480341250087</v>
      </c>
      <c r="Q13" s="54">
        <f t="shared" si="3"/>
        <v>80.033808877284599</v>
      </c>
    </row>
    <row r="14" spans="2:18" x14ac:dyDescent="0.3">
      <c r="B14" s="55" t="str">
        <f>'Comps Data'!B11</f>
        <v>Lupin</v>
      </c>
      <c r="C14" s="57" t="s">
        <v>272</v>
      </c>
      <c r="D14" s="279">
        <f>'Comps Data'!C11</f>
        <v>2275</v>
      </c>
      <c r="E14" s="280">
        <f>('Comps Data'!D11)</f>
        <v>457.2</v>
      </c>
      <c r="F14" s="281">
        <f t="shared" si="4"/>
        <v>1040130</v>
      </c>
      <c r="G14" s="280">
        <f>('Comps Data'!E11)</f>
        <v>62170</v>
      </c>
      <c r="H14" s="280">
        <f>('Comps Data'!F11)</f>
        <v>31423.3</v>
      </c>
      <c r="I14" s="281">
        <f t="shared" si="0"/>
        <v>1070876.7</v>
      </c>
      <c r="J14" s="282"/>
      <c r="K14" s="280">
        <f>('Comps Data'!G11)</f>
        <v>261505</v>
      </c>
      <c r="L14" s="280">
        <f>('Comps Data'!O11)</f>
        <v>79914.194018964263</v>
      </c>
      <c r="M14" s="280">
        <f>('Comps Data'!I11)</f>
        <v>32470</v>
      </c>
      <c r="N14" s="46"/>
      <c r="O14" s="53">
        <f t="shared" si="1"/>
        <v>4.0950524846561249</v>
      </c>
      <c r="P14" s="54">
        <f t="shared" si="2"/>
        <v>13.400331607497318</v>
      </c>
      <c r="Q14" s="53">
        <f t="shared" si="3"/>
        <v>32.033569448721899</v>
      </c>
    </row>
    <row r="15" spans="2:18" x14ac:dyDescent="0.3">
      <c r="B15" s="55" t="str">
        <f>'Comps Data'!B12</f>
        <v>Dr Reddy's Laboratories</v>
      </c>
      <c r="C15" s="56" t="s">
        <v>274</v>
      </c>
      <c r="D15" s="279">
        <f>'Comps Data'!C12</f>
        <v>1320</v>
      </c>
      <c r="E15" s="280">
        <f>('Comps Data'!D12)</f>
        <v>834.7</v>
      </c>
      <c r="F15" s="281">
        <f t="shared" si="4"/>
        <v>1101804</v>
      </c>
      <c r="G15" s="280">
        <f>('Comps Data'!E12)</f>
        <v>58540</v>
      </c>
      <c r="H15" s="280">
        <f>('Comps Data'!F12)</f>
        <v>24602</v>
      </c>
      <c r="I15" s="281">
        <f t="shared" si="0"/>
        <v>1135742</v>
      </c>
      <c r="J15" s="282"/>
      <c r="K15" s="280">
        <f>('Comps Data'!G12)</f>
        <v>346822</v>
      </c>
      <c r="L15" s="280">
        <f>('Comps Data'!O12)</f>
        <v>94845.381165919272</v>
      </c>
      <c r="M15" s="280">
        <f>('Comps Data'!I12)</f>
        <v>55490</v>
      </c>
      <c r="N15" s="46"/>
      <c r="O15" s="53">
        <f t="shared" si="1"/>
        <v>3.2747115234904358</v>
      </c>
      <c r="P15" s="54">
        <f t="shared" si="2"/>
        <v>11.974668518788192</v>
      </c>
      <c r="Q15" s="53">
        <f t="shared" si="3"/>
        <v>19.855901964317894</v>
      </c>
    </row>
    <row r="16" spans="2:18" x14ac:dyDescent="0.3">
      <c r="B16" s="55" t="str">
        <f>'Comps Data'!B13</f>
        <v>Cipla</v>
      </c>
      <c r="C16" s="57" t="s">
        <v>273</v>
      </c>
      <c r="D16" s="279">
        <f>'Comps Data'!C13</f>
        <v>1422</v>
      </c>
      <c r="E16" s="280">
        <f>('Comps Data'!D13)</f>
        <v>807.8</v>
      </c>
      <c r="F16" s="281">
        <f t="shared" si="4"/>
        <v>1148691.5999999999</v>
      </c>
      <c r="G16" s="280">
        <f>('Comps Data'!E13)</f>
        <v>4673.7</v>
      </c>
      <c r="H16" s="280">
        <f>('Comps Data'!F13)</f>
        <v>7998.4000000000005</v>
      </c>
      <c r="I16" s="281">
        <f t="shared" si="0"/>
        <v>1145366.8999999999</v>
      </c>
      <c r="J16" s="282"/>
      <c r="K16" s="280">
        <f>('Comps Data'!G13)</f>
        <v>283510.80000000005</v>
      </c>
      <c r="L16" s="280">
        <f>('Comps Data'!O13)</f>
        <v>74882.21466364323</v>
      </c>
      <c r="M16" s="280">
        <f>('Comps Data'!I13)</f>
        <v>51450</v>
      </c>
      <c r="N16" s="46"/>
      <c r="O16" s="53">
        <f t="shared" si="1"/>
        <v>4.0399409828479191</v>
      </c>
      <c r="P16" s="54">
        <f t="shared" si="2"/>
        <v>15.29557993369683</v>
      </c>
      <c r="Q16" s="53">
        <f t="shared" si="3"/>
        <v>22.326367346938774</v>
      </c>
    </row>
    <row r="17" spans="2:18" x14ac:dyDescent="0.3">
      <c r="B17" s="55" t="str">
        <f>'Comps Data'!B14</f>
        <v>Zydus Lifesciences</v>
      </c>
      <c r="C17" s="56" t="s">
        <v>275</v>
      </c>
      <c r="D17" s="279">
        <f>'Comps Data'!C14</f>
        <v>1096.45</v>
      </c>
      <c r="E17" s="280">
        <f>('Comps Data'!D14)</f>
        <v>1006.2</v>
      </c>
      <c r="F17" s="281">
        <f t="shared" si="4"/>
        <v>1103247.99</v>
      </c>
      <c r="G17" s="280">
        <f>('Comps Data'!E14)</f>
        <v>96361</v>
      </c>
      <c r="H17" s="280">
        <f>('Comps Data'!F14)</f>
        <v>29568</v>
      </c>
      <c r="I17" s="281">
        <f t="shared" si="0"/>
        <v>1170040.99</v>
      </c>
      <c r="J17" s="280"/>
      <c r="K17" s="280">
        <f>('Comps Data'!G14)</f>
        <v>260893</v>
      </c>
      <c r="L17" s="280">
        <f>('Comps Data'!O14)</f>
        <v>85024.354026845642</v>
      </c>
      <c r="M17" s="280">
        <f>('Comps Data'!I14)</f>
        <v>46430</v>
      </c>
      <c r="N17" s="46"/>
      <c r="O17" s="53">
        <f t="shared" si="1"/>
        <v>4.4847542479100628</v>
      </c>
      <c r="P17" s="54">
        <f t="shared" si="2"/>
        <v>13.761245273684414</v>
      </c>
      <c r="Q17" s="53">
        <f t="shared" si="3"/>
        <v>23.761533275899204</v>
      </c>
    </row>
    <row r="18" spans="2:18" x14ac:dyDescent="0.3">
      <c r="K18" s="19"/>
      <c r="L18" s="19"/>
      <c r="M18" s="19"/>
      <c r="N18" s="19"/>
      <c r="O18" s="19"/>
      <c r="P18" s="19"/>
      <c r="Q18" s="19"/>
    </row>
    <row r="19" spans="2:18" x14ac:dyDescent="0.3">
      <c r="B19" s="48" t="s">
        <v>91</v>
      </c>
      <c r="C19" s="48"/>
      <c r="D19" s="48"/>
      <c r="E19" s="48"/>
      <c r="F19" s="48"/>
      <c r="G19" s="48"/>
      <c r="H19" s="48"/>
      <c r="I19" s="48"/>
      <c r="J19" s="48"/>
      <c r="K19" s="48"/>
      <c r="L19" s="49"/>
      <c r="M19" s="48"/>
      <c r="N19" s="49"/>
      <c r="O19" s="50">
        <f>AVERAGE(O12:O17)</f>
        <v>7.5380830003329491</v>
      </c>
      <c r="P19" s="50">
        <f>AVERAGE(P12:P17)</f>
        <v>23.122259030515391</v>
      </c>
      <c r="Q19" s="50">
        <f>AVERAGE(Q12:Q17)</f>
        <v>43.390071248084134</v>
      </c>
    </row>
    <row r="20" spans="2:18" x14ac:dyDescent="0.3">
      <c r="B20" s="48" t="s">
        <v>92</v>
      </c>
      <c r="C20" s="48"/>
      <c r="D20" s="48"/>
      <c r="E20" s="48"/>
      <c r="F20" s="48"/>
      <c r="G20" s="48"/>
      <c r="H20" s="48"/>
      <c r="I20" s="48"/>
      <c r="J20" s="48"/>
      <c r="K20" s="48"/>
      <c r="L20" s="49"/>
      <c r="M20" s="48"/>
      <c r="N20" s="49"/>
      <c r="O20" s="50">
        <f>MEDIAN(O12:O17)</f>
        <v>4.2899033662830934</v>
      </c>
      <c r="P20" s="50">
        <f>MEDIAN(P12:P17)</f>
        <v>14.528412603690622</v>
      </c>
      <c r="Q20" s="50">
        <f>MEDIAN(Q12:Q17)</f>
        <v>27.897551362310551</v>
      </c>
    </row>
    <row r="21" spans="2:18" x14ac:dyDescent="0.3">
      <c r="B21" s="23"/>
      <c r="C21" s="23"/>
      <c r="D21" s="23"/>
      <c r="E21" s="23"/>
      <c r="F21" s="23"/>
      <c r="G21" s="23"/>
      <c r="H21" s="23"/>
      <c r="I21" s="23"/>
      <c r="J21" s="23"/>
      <c r="K21" s="23"/>
      <c r="L21" s="23"/>
      <c r="M21" s="23"/>
      <c r="N21" s="23"/>
      <c r="O21" s="23"/>
      <c r="P21" s="23"/>
      <c r="Q21" s="23"/>
      <c r="R21" s="23"/>
    </row>
    <row r="22" spans="2:18" x14ac:dyDescent="0.3">
      <c r="B22" s="48" t="str">
        <f>'Comps Data'!B8</f>
        <v>Sun Pharma.Inds.</v>
      </c>
      <c r="C22" s="48"/>
      <c r="D22" s="48"/>
      <c r="E22" s="48"/>
      <c r="F22" s="48"/>
      <c r="G22" s="48"/>
      <c r="H22" s="48"/>
      <c r="I22" s="48"/>
      <c r="J22" s="48"/>
      <c r="K22" s="48"/>
      <c r="L22" s="49"/>
      <c r="M22" s="48"/>
      <c r="N22" s="49"/>
      <c r="O22" s="50">
        <f>'Comps Data'!J8/'Comps Data'!G8</f>
        <v>7.0268522167843228</v>
      </c>
      <c r="P22" s="50">
        <f>'Comps Data'!K8</f>
        <v>20.350000000000001</v>
      </c>
      <c r="Q22" s="50">
        <f>'Comps Data'!H8/'Comps Data'!I8</f>
        <v>38.546337204225964</v>
      </c>
      <c r="R22" s="23"/>
    </row>
    <row r="23" spans="2:18" x14ac:dyDescent="0.3">
      <c r="K23" s="19"/>
      <c r="L23" s="19"/>
      <c r="M23" s="19"/>
      <c r="N23" s="19"/>
      <c r="O23" s="19"/>
      <c r="P23" s="19"/>
      <c r="Q23" s="19"/>
    </row>
    <row r="24" spans="2:18" x14ac:dyDescent="0.3">
      <c r="B24" s="80" t="s">
        <v>300</v>
      </c>
      <c r="C24" s="81"/>
      <c r="D24" s="81"/>
      <c r="E24" s="81"/>
      <c r="F24" s="81"/>
      <c r="G24" s="81"/>
      <c r="H24" s="81"/>
      <c r="I24" s="81"/>
      <c r="J24" s="81"/>
      <c r="K24" s="81"/>
      <c r="L24" s="81"/>
      <c r="M24" s="81"/>
      <c r="N24" s="81"/>
      <c r="O24" s="285" t="s">
        <v>88</v>
      </c>
      <c r="P24" s="285" t="s">
        <v>89</v>
      </c>
      <c r="Q24" s="286" t="s">
        <v>90</v>
      </c>
    </row>
    <row r="25" spans="2:18" x14ac:dyDescent="0.3">
      <c r="K25" s="19"/>
      <c r="L25" s="19"/>
      <c r="M25" s="19"/>
      <c r="N25" s="19"/>
      <c r="O25" s="19"/>
      <c r="P25" s="19"/>
      <c r="Q25" s="19"/>
    </row>
    <row r="26" spans="2:18" x14ac:dyDescent="0.3">
      <c r="B26" s="55" t="s">
        <v>93</v>
      </c>
      <c r="C26" s="55"/>
      <c r="D26" s="55"/>
      <c r="E26" s="55"/>
      <c r="F26" s="55"/>
      <c r="G26" s="55"/>
      <c r="H26" s="55"/>
      <c r="I26" s="55"/>
      <c r="J26" s="55"/>
      <c r="K26" s="55"/>
      <c r="L26" s="55"/>
      <c r="M26" s="55"/>
      <c r="N26" s="55"/>
      <c r="O26" s="288">
        <f>(O20*'Comps Data'!G8)</f>
        <v>2437055.064264792</v>
      </c>
      <c r="P26" s="288">
        <f>(P20*'Comps Data'!O8)</f>
        <v>2849918.2609963953</v>
      </c>
      <c r="Q26" s="287">
        <f>Q29-Q28+Q27</f>
        <v>3085759.3575254278</v>
      </c>
    </row>
    <row r="27" spans="2:18" x14ac:dyDescent="0.3">
      <c r="B27" s="46" t="str">
        <f>'DCF Valuation'!B34</f>
        <v>Less:Debt &amp; Minority Interest</v>
      </c>
      <c r="C27" s="46"/>
      <c r="D27" s="46"/>
      <c r="E27" s="46"/>
      <c r="F27" s="46"/>
      <c r="G27" s="46"/>
      <c r="H27" s="46"/>
      <c r="I27" s="46"/>
      <c r="J27" s="46"/>
      <c r="K27" s="46"/>
      <c r="L27" s="46"/>
      <c r="M27" s="46"/>
      <c r="N27" s="46"/>
      <c r="O27" s="52">
        <f>'DCF Valuation'!C34</f>
        <v>21375.599999999999</v>
      </c>
      <c r="P27" s="52">
        <f>O27</f>
        <v>21375.599999999999</v>
      </c>
      <c r="Q27" s="52">
        <f>P27</f>
        <v>21375.599999999999</v>
      </c>
    </row>
    <row r="28" spans="2:18" ht="15" thickBot="1" x14ac:dyDescent="0.35">
      <c r="B28" s="289" t="str">
        <f>'DCF Valuation'!B33</f>
        <v>Add: Cash &amp; other Financial asset</v>
      </c>
      <c r="C28" s="289"/>
      <c r="D28" s="289"/>
      <c r="E28" s="289"/>
      <c r="F28" s="289"/>
      <c r="G28" s="289"/>
      <c r="H28" s="289"/>
      <c r="I28" s="289"/>
      <c r="J28" s="289"/>
      <c r="K28" s="289"/>
      <c r="L28" s="289"/>
      <c r="M28" s="289"/>
      <c r="N28" s="289"/>
      <c r="O28" s="290">
        <f>'DCF Valuation'!C33</f>
        <v>130722.79999999999</v>
      </c>
      <c r="P28" s="290">
        <f>O28</f>
        <v>130722.79999999999</v>
      </c>
      <c r="Q28" s="290">
        <f>P28</f>
        <v>130722.79999999999</v>
      </c>
    </row>
    <row r="29" spans="2:18" ht="15" thickBot="1" x14ac:dyDescent="0.35">
      <c r="B29" s="293" t="s">
        <v>94</v>
      </c>
      <c r="C29" s="293"/>
      <c r="D29" s="293"/>
      <c r="E29" s="293"/>
      <c r="F29" s="293"/>
      <c r="G29" s="293"/>
      <c r="H29" s="293"/>
      <c r="I29" s="293"/>
      <c r="J29" s="293"/>
      <c r="K29" s="293"/>
      <c r="L29" s="293"/>
      <c r="M29" s="293"/>
      <c r="N29" s="293"/>
      <c r="O29" s="294">
        <f>O26-O27+O28</f>
        <v>2546402.2642647917</v>
      </c>
      <c r="P29" s="294">
        <f>P26-P27</f>
        <v>2828542.6609963952</v>
      </c>
      <c r="Q29" s="295">
        <f>(Q20*'Comps Data'!I8)</f>
        <v>3195106.5575254275</v>
      </c>
    </row>
    <row r="30" spans="2:18" ht="15" thickTop="1" x14ac:dyDescent="0.3">
      <c r="B30" s="291" t="s">
        <v>95</v>
      </c>
      <c r="C30" s="291"/>
      <c r="D30" s="291"/>
      <c r="E30" s="291"/>
      <c r="F30" s="291"/>
      <c r="G30" s="291"/>
      <c r="H30" s="291"/>
      <c r="I30" s="291"/>
      <c r="J30" s="291"/>
      <c r="K30" s="291"/>
      <c r="L30" s="291"/>
      <c r="M30" s="291"/>
      <c r="N30" s="291"/>
      <c r="O30" s="292">
        <f>'Comps Data'!D8</f>
        <v>2399.3000000000002</v>
      </c>
      <c r="P30" s="292">
        <f>O30</f>
        <v>2399.3000000000002</v>
      </c>
      <c r="Q30" s="292">
        <f>P30</f>
        <v>2399.3000000000002</v>
      </c>
    </row>
    <row r="31" spans="2:18" x14ac:dyDescent="0.3">
      <c r="O31" s="3"/>
      <c r="Q31" s="3"/>
    </row>
    <row r="32" spans="2:18" x14ac:dyDescent="0.3">
      <c r="B32" s="48" t="s">
        <v>96</v>
      </c>
      <c r="C32" s="48"/>
      <c r="D32" s="48"/>
      <c r="E32" s="48"/>
      <c r="F32" s="48"/>
      <c r="G32" s="48"/>
      <c r="H32" s="48"/>
      <c r="I32" s="48"/>
      <c r="J32" s="48"/>
      <c r="K32" s="48"/>
      <c r="L32" s="48"/>
      <c r="M32" s="48"/>
      <c r="N32" s="48"/>
      <c r="O32" s="51">
        <f>O29/O30</f>
        <v>1061.3104923372616</v>
      </c>
      <c r="P32" s="51">
        <f t="shared" ref="P32:Q32" si="5">P29/P30</f>
        <v>1178.9032888744196</v>
      </c>
      <c r="Q32" s="51">
        <f t="shared" si="5"/>
        <v>1331.6828064541439</v>
      </c>
    </row>
  </sheetData>
  <mergeCells count="4">
    <mergeCell ref="B7:K7"/>
    <mergeCell ref="C9:I9"/>
    <mergeCell ref="K9:M9"/>
    <mergeCell ref="O9:Q9"/>
  </mergeCells>
  <hyperlinks>
    <hyperlink ref="C12" r:id="rId1" display="https://www.nseindia.com/get-quotes/equity?symbol=DIVISLAB"/>
    <hyperlink ref="C13" r:id="rId2" display="https://www.nseindia.com/get-quotes/equity?symbol=TORNTPHARM"/>
    <hyperlink ref="C15" r:id="rId3" display="https://www.nseindia.com/get-quotes/equity?symbol=DRREDDY"/>
    <hyperlink ref="C17" r:id="rId4" display="https://www.nseindia.com/get-quotes/equity?symbol=ZYDUSLIFE"/>
  </hyperlinks>
  <pageMargins left="1" right="1" top="1" bottom="1" header="0.5" footer="0.5"/>
  <pageSetup paperSize="3" orientation="landscape" r:id="rId5"/>
  <drawing r:id="rId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BEED9"/>
  </sheetPr>
  <dimension ref="A1:P14"/>
  <sheetViews>
    <sheetView showGridLines="0" workbookViewId="0">
      <selection activeCell="C15" sqref="C15"/>
    </sheetView>
  </sheetViews>
  <sheetFormatPr defaultRowHeight="14.4" x14ac:dyDescent="0.3"/>
  <cols>
    <col min="1" max="1" width="1.88671875" customWidth="1"/>
    <col min="2" max="2" width="21.21875" customWidth="1"/>
    <col min="3" max="3" width="7.88671875" bestFit="1" customWidth="1"/>
    <col min="4" max="4" width="15.88671875" bestFit="1" customWidth="1"/>
    <col min="5" max="5" width="10.33203125" bestFit="1" customWidth="1"/>
    <col min="6" max="6" width="13.88671875" bestFit="1" customWidth="1"/>
    <col min="7" max="7" width="10.5546875" bestFit="1" customWidth="1"/>
    <col min="8" max="8" width="13.44140625" bestFit="1" customWidth="1"/>
    <col min="9" max="9" width="9.5546875" bestFit="1" customWidth="1"/>
    <col min="10" max="10" width="10.5546875" bestFit="1" customWidth="1"/>
    <col min="11" max="11" width="11.33203125" bestFit="1" customWidth="1"/>
    <col min="12" max="12" width="8.5546875" bestFit="1" customWidth="1"/>
    <col min="13" max="13" width="10.21875" bestFit="1" customWidth="1"/>
    <col min="14" max="14" width="11" bestFit="1" customWidth="1"/>
    <col min="15" max="15" width="9.77734375" bestFit="1" customWidth="1"/>
    <col min="16" max="16" width="2.88671875" customWidth="1"/>
    <col min="17" max="17" width="8.109375" style="255" customWidth="1"/>
    <col min="18" max="18" width="9.5546875" style="255" customWidth="1"/>
    <col min="19" max="16384" width="8.88671875" style="255"/>
  </cols>
  <sheetData>
    <row r="1" spans="2:16" x14ac:dyDescent="0.3">
      <c r="B1" s="40"/>
      <c r="C1" s="40"/>
      <c r="D1" s="40"/>
      <c r="E1" s="40"/>
      <c r="F1" s="40"/>
      <c r="G1" s="40"/>
      <c r="H1" s="40"/>
      <c r="I1" s="40"/>
      <c r="J1" s="40"/>
      <c r="K1" s="40"/>
      <c r="L1" s="40"/>
      <c r="M1" s="40"/>
      <c r="N1" s="40"/>
      <c r="O1" s="40"/>
      <c r="P1" s="23"/>
    </row>
    <row r="2" spans="2:16" x14ac:dyDescent="0.3">
      <c r="B2" s="40"/>
      <c r="C2" s="40"/>
      <c r="D2" s="40"/>
      <c r="E2" s="40"/>
      <c r="F2" s="40"/>
      <c r="G2" s="40"/>
      <c r="H2" s="40"/>
      <c r="I2" s="40"/>
      <c r="J2" s="40"/>
      <c r="K2" s="40"/>
      <c r="L2" s="40"/>
      <c r="M2" s="40"/>
      <c r="N2" s="40"/>
      <c r="O2" s="40"/>
      <c r="P2" s="23"/>
    </row>
    <row r="3" spans="2:16" x14ac:dyDescent="0.3">
      <c r="B3" s="40"/>
      <c r="C3" s="40"/>
      <c r="D3" s="40"/>
      <c r="E3" s="40"/>
      <c r="F3" s="40"/>
      <c r="G3" s="40"/>
      <c r="H3" s="40"/>
      <c r="I3" s="40"/>
      <c r="J3" s="40"/>
      <c r="K3" s="40"/>
      <c r="L3" s="40"/>
      <c r="M3" s="40"/>
      <c r="N3" s="40"/>
      <c r="O3" s="40"/>
      <c r="P3" s="23"/>
    </row>
    <row r="4" spans="2:16" x14ac:dyDescent="0.3">
      <c r="B4" s="40"/>
      <c r="C4" s="40"/>
      <c r="D4" s="40"/>
      <c r="E4" s="40"/>
      <c r="F4" s="40"/>
      <c r="G4" s="40"/>
      <c r="H4" s="40"/>
      <c r="I4" s="40"/>
      <c r="J4" s="40"/>
      <c r="K4" s="40"/>
      <c r="L4" s="40"/>
      <c r="M4" s="40"/>
      <c r="N4" s="40"/>
      <c r="O4" s="40"/>
      <c r="P4" s="23"/>
    </row>
    <row r="5" spans="2:16" x14ac:dyDescent="0.3">
      <c r="B5" s="40"/>
      <c r="C5" s="40"/>
      <c r="D5" s="40"/>
      <c r="E5" s="40"/>
      <c r="F5" s="40"/>
      <c r="G5" s="40"/>
      <c r="H5" s="40"/>
      <c r="I5" s="40"/>
      <c r="J5" s="40"/>
      <c r="K5" s="40"/>
      <c r="L5" s="40"/>
      <c r="M5" s="40"/>
      <c r="N5" s="40"/>
      <c r="O5" s="40"/>
      <c r="P5" s="23"/>
    </row>
    <row r="6" spans="2:16" x14ac:dyDescent="0.3">
      <c r="B6" s="60" t="s">
        <v>403</v>
      </c>
      <c r="C6" s="23"/>
      <c r="D6" s="23"/>
      <c r="E6" s="13">
        <v>10</v>
      </c>
      <c r="F6" s="23"/>
      <c r="G6" s="23"/>
      <c r="H6" s="23"/>
      <c r="I6" s="23"/>
      <c r="J6" s="23"/>
      <c r="K6" s="23"/>
      <c r="L6" s="494" t="s">
        <v>276</v>
      </c>
      <c r="M6" s="494"/>
      <c r="N6" s="494"/>
      <c r="O6" s="494"/>
      <c r="P6" s="23"/>
    </row>
    <row r="7" spans="2:16" x14ac:dyDescent="0.3">
      <c r="B7" s="43" t="s">
        <v>97</v>
      </c>
      <c r="C7" s="43" t="s">
        <v>98</v>
      </c>
      <c r="D7" s="43" t="s">
        <v>99</v>
      </c>
      <c r="E7" s="43" t="s">
        <v>100</v>
      </c>
      <c r="F7" s="43" t="s">
        <v>101</v>
      </c>
      <c r="G7" s="43" t="s">
        <v>102</v>
      </c>
      <c r="H7" s="43" t="s">
        <v>260</v>
      </c>
      <c r="I7" s="43" t="s">
        <v>267</v>
      </c>
      <c r="J7" s="43" t="s">
        <v>261</v>
      </c>
      <c r="K7" s="43" t="s">
        <v>262</v>
      </c>
      <c r="L7" s="43" t="s">
        <v>266</v>
      </c>
      <c r="M7" s="43" t="s">
        <v>268</v>
      </c>
      <c r="N7" s="43" t="s">
        <v>46</v>
      </c>
      <c r="O7" s="43" t="s">
        <v>86</v>
      </c>
    </row>
    <row r="8" spans="2:16" x14ac:dyDescent="0.3">
      <c r="B8" s="59" t="s">
        <v>263</v>
      </c>
      <c r="C8" s="91">
        <f>'Intro &amp; Core Assumptions'!C11:F11</f>
        <v>1840</v>
      </c>
      <c r="D8" s="91">
        <v>2399.3000000000002</v>
      </c>
      <c r="E8" s="91">
        <v>52151</v>
      </c>
      <c r="F8" s="91">
        <v>113316.20000000001</v>
      </c>
      <c r="G8" s="91">
        <v>568090.89999999991</v>
      </c>
      <c r="H8" s="91">
        <f>C8*D8</f>
        <v>4414712</v>
      </c>
      <c r="I8" s="91">
        <v>114530</v>
      </c>
      <c r="J8" s="91">
        <v>3991890.8000000003</v>
      </c>
      <c r="K8" s="91">
        <v>20.350000000000001</v>
      </c>
      <c r="L8" s="91">
        <v>27720</v>
      </c>
      <c r="M8" s="91">
        <f t="shared" ref="M8:M14" si="0">L8+I8</f>
        <v>142250</v>
      </c>
      <c r="N8" s="90">
        <f>L8/M8</f>
        <v>0.19486818980667839</v>
      </c>
      <c r="O8" s="91">
        <f>J8/K8</f>
        <v>196161.71007371007</v>
      </c>
    </row>
    <row r="9" spans="2:16" x14ac:dyDescent="0.3">
      <c r="B9" s="59" t="s">
        <v>279</v>
      </c>
      <c r="C9" s="91">
        <v>6791</v>
      </c>
      <c r="D9" s="91">
        <v>265.5</v>
      </c>
      <c r="E9" s="91">
        <v>900</v>
      </c>
      <c r="F9" s="91">
        <v>37150</v>
      </c>
      <c r="G9" s="91">
        <v>103140</v>
      </c>
      <c r="H9" s="91">
        <f t="shared" ref="H9:H14" si="1">C9*D9</f>
        <v>1803010.5</v>
      </c>
      <c r="I9" s="91">
        <v>21900</v>
      </c>
      <c r="J9" s="91">
        <v>1639016.5</v>
      </c>
      <c r="K9" s="91">
        <v>42.78</v>
      </c>
      <c r="L9" s="91">
        <v>7250</v>
      </c>
      <c r="M9" s="91">
        <f t="shared" si="0"/>
        <v>29150</v>
      </c>
      <c r="N9" s="90">
        <f t="shared" ref="N9:N14" si="2">L9/M9</f>
        <v>0.24871355060034306</v>
      </c>
      <c r="O9" s="91">
        <f t="shared" ref="O9:O14" si="3">J9/K9</f>
        <v>38312.681159420288</v>
      </c>
    </row>
    <row r="10" spans="2:16" x14ac:dyDescent="0.3">
      <c r="B10" s="59" t="s">
        <v>280</v>
      </c>
      <c r="C10" s="91">
        <v>4529.1000000000004</v>
      </c>
      <c r="D10" s="91">
        <v>338.40000000000003</v>
      </c>
      <c r="E10" s="91">
        <v>28220</v>
      </c>
      <c r="F10" s="91">
        <v>5794.6</v>
      </c>
      <c r="G10" s="91">
        <v>127420</v>
      </c>
      <c r="H10" s="91">
        <f t="shared" si="1"/>
        <v>1532647.4400000002</v>
      </c>
      <c r="I10" s="91">
        <v>19150</v>
      </c>
      <c r="J10" s="91">
        <v>1427715.4000000001</v>
      </c>
      <c r="K10" s="91">
        <v>35.06</v>
      </c>
      <c r="L10" s="91">
        <v>7610</v>
      </c>
      <c r="M10" s="91">
        <f t="shared" si="0"/>
        <v>26760</v>
      </c>
      <c r="N10" s="90">
        <f t="shared" si="2"/>
        <v>0.28437967115097162</v>
      </c>
      <c r="O10" s="91">
        <f t="shared" si="3"/>
        <v>40722.059326868228</v>
      </c>
    </row>
    <row r="11" spans="2:16" x14ac:dyDescent="0.3">
      <c r="B11" s="59" t="s">
        <v>264</v>
      </c>
      <c r="C11" s="91">
        <v>2275</v>
      </c>
      <c r="D11" s="91">
        <v>457.2</v>
      </c>
      <c r="E11" s="91">
        <v>62170</v>
      </c>
      <c r="F11" s="91">
        <v>31423.3</v>
      </c>
      <c r="G11" s="91">
        <v>261505</v>
      </c>
      <c r="H11" s="91">
        <f t="shared" si="1"/>
        <v>1040130</v>
      </c>
      <c r="I11" s="91">
        <v>32470</v>
      </c>
      <c r="J11" s="91">
        <v>1095623.6000000001</v>
      </c>
      <c r="K11" s="91">
        <v>13.71</v>
      </c>
      <c r="L11" s="91">
        <v>7080</v>
      </c>
      <c r="M11" s="91">
        <f t="shared" si="0"/>
        <v>39550</v>
      </c>
      <c r="N11" s="90">
        <f t="shared" si="2"/>
        <v>0.17901390644753476</v>
      </c>
      <c r="O11" s="91">
        <f t="shared" si="3"/>
        <v>79914.194018964263</v>
      </c>
    </row>
    <row r="12" spans="2:16" x14ac:dyDescent="0.3">
      <c r="B12" s="59" t="s">
        <v>282</v>
      </c>
      <c r="C12" s="91">
        <v>1320</v>
      </c>
      <c r="D12" s="91">
        <v>834.7</v>
      </c>
      <c r="E12" s="91">
        <v>58540</v>
      </c>
      <c r="F12" s="91">
        <v>24602</v>
      </c>
      <c r="G12" s="91">
        <v>346822</v>
      </c>
      <c r="H12" s="91">
        <f t="shared" si="1"/>
        <v>1101804</v>
      </c>
      <c r="I12" s="91">
        <v>55490</v>
      </c>
      <c r="J12" s="91">
        <v>1057526</v>
      </c>
      <c r="K12" s="91">
        <v>11.15</v>
      </c>
      <c r="L12" s="91">
        <v>19540</v>
      </c>
      <c r="M12" s="91">
        <f t="shared" si="0"/>
        <v>75030</v>
      </c>
      <c r="N12" s="90">
        <f t="shared" si="2"/>
        <v>0.26042916166866587</v>
      </c>
      <c r="O12" s="91">
        <f t="shared" si="3"/>
        <v>94845.381165919272</v>
      </c>
    </row>
    <row r="13" spans="2:16" x14ac:dyDescent="0.3">
      <c r="B13" s="59" t="s">
        <v>265</v>
      </c>
      <c r="C13" s="91">
        <v>1422</v>
      </c>
      <c r="D13" s="91">
        <v>807.8</v>
      </c>
      <c r="E13" s="91">
        <v>4673.7</v>
      </c>
      <c r="F13" s="91">
        <v>7998.4000000000005</v>
      </c>
      <c r="G13" s="91">
        <v>283510.80000000005</v>
      </c>
      <c r="H13" s="91">
        <f t="shared" si="1"/>
        <v>1148691.5999999999</v>
      </c>
      <c r="I13" s="91">
        <v>51450</v>
      </c>
      <c r="J13" s="91">
        <v>990691.7</v>
      </c>
      <c r="K13" s="91">
        <v>13.23</v>
      </c>
      <c r="L13" s="91">
        <v>15297.6</v>
      </c>
      <c r="M13" s="91">
        <f t="shared" si="0"/>
        <v>66747.600000000006</v>
      </c>
      <c r="N13" s="90">
        <f t="shared" si="2"/>
        <v>0.22918576847706881</v>
      </c>
      <c r="O13" s="91">
        <f t="shared" si="3"/>
        <v>74882.21466364323</v>
      </c>
    </row>
    <row r="14" spans="2:16" x14ac:dyDescent="0.3">
      <c r="B14" s="59" t="s">
        <v>281</v>
      </c>
      <c r="C14" s="91">
        <v>1096.45</v>
      </c>
      <c r="D14" s="91">
        <v>1006.2</v>
      </c>
      <c r="E14" s="91">
        <v>96361</v>
      </c>
      <c r="F14" s="91">
        <v>29568</v>
      </c>
      <c r="G14" s="91">
        <v>260893</v>
      </c>
      <c r="H14" s="91">
        <f t="shared" si="1"/>
        <v>1103247.99</v>
      </c>
      <c r="I14" s="91">
        <v>46430</v>
      </c>
      <c r="J14" s="91">
        <v>1013490.3</v>
      </c>
      <c r="K14" s="91">
        <v>11.92</v>
      </c>
      <c r="L14" s="91">
        <v>14119</v>
      </c>
      <c r="M14" s="91">
        <f t="shared" si="0"/>
        <v>60549</v>
      </c>
      <c r="N14" s="90">
        <f t="shared" si="2"/>
        <v>0.23318304183388661</v>
      </c>
      <c r="O14" s="91">
        <f t="shared" si="3"/>
        <v>85024.354026845642</v>
      </c>
    </row>
  </sheetData>
  <mergeCells count="1">
    <mergeCell ref="L6:O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BEED9"/>
  </sheetPr>
  <dimension ref="A1:AK49"/>
  <sheetViews>
    <sheetView showGridLines="0" topLeftCell="B1" zoomScale="78" workbookViewId="0">
      <selection activeCell="V34" sqref="V34"/>
    </sheetView>
  </sheetViews>
  <sheetFormatPr defaultRowHeight="14.4" x14ac:dyDescent="0.3"/>
  <cols>
    <col min="1" max="1" width="1.88671875" customWidth="1"/>
    <col min="2" max="2" width="23.88671875" bestFit="1" customWidth="1"/>
    <col min="3" max="17" width="8.109375" bestFit="1" customWidth="1"/>
    <col min="18" max="18" width="16.5546875" customWidth="1"/>
    <col min="19" max="19" width="8.109375" bestFit="1" customWidth="1"/>
    <col min="20" max="20" width="8.33203125" bestFit="1" customWidth="1"/>
    <col min="21" max="21" width="1.88671875" customWidth="1"/>
    <col min="37" max="37" width="2.77734375" customWidth="1"/>
    <col min="38" max="16384" width="8.88671875" style="255"/>
  </cols>
  <sheetData>
    <row r="1" spans="1:37" s="142" customFormat="1" x14ac:dyDescent="0.3">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row>
    <row r="2" spans="1:37" s="142" customFormat="1" x14ac:dyDescent="0.3">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row>
    <row r="3" spans="1:37" s="142" customFormat="1" x14ac:dyDescent="0.3">
      <c r="B3" s="40"/>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row>
    <row r="4" spans="1:37" s="142" customFormat="1" x14ac:dyDescent="0.3">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row>
    <row r="5" spans="1:37" customFormat="1" x14ac:dyDescent="0.3">
      <c r="B5" s="40"/>
      <c r="C5" s="40"/>
      <c r="D5" s="40"/>
      <c r="E5" s="40"/>
      <c r="F5" s="40"/>
      <c r="G5" s="40"/>
      <c r="H5" s="40"/>
      <c r="I5" s="40"/>
      <c r="J5" s="40"/>
      <c r="K5" s="40"/>
      <c r="L5" s="40"/>
      <c r="M5" s="40"/>
      <c r="N5" s="40"/>
      <c r="O5" s="40"/>
      <c r="P5" s="40"/>
      <c r="Q5" s="40"/>
      <c r="R5" s="40"/>
      <c r="S5" s="40"/>
      <c r="T5" s="40"/>
      <c r="U5" s="40"/>
      <c r="V5" s="40"/>
      <c r="W5" s="40"/>
      <c r="X5" s="40"/>
      <c r="Y5" s="40"/>
      <c r="Z5" s="40"/>
      <c r="AA5" s="40"/>
      <c r="AB5" s="40"/>
      <c r="AC5" s="40"/>
      <c r="AD5" s="40"/>
      <c r="AE5" s="40"/>
      <c r="AF5" s="40"/>
      <c r="AG5" s="40"/>
      <c r="AH5" s="40"/>
      <c r="AI5" s="40"/>
      <c r="AJ5" s="40"/>
    </row>
    <row r="6" spans="1:37" x14ac:dyDescent="0.3">
      <c r="A6" s="142"/>
      <c r="B6" s="142"/>
      <c r="C6" s="142"/>
      <c r="D6" s="142"/>
      <c r="E6" s="142"/>
      <c r="F6" s="142"/>
      <c r="G6" s="142"/>
      <c r="H6" s="142"/>
      <c r="I6" s="142"/>
      <c r="J6" s="142"/>
      <c r="K6" s="142"/>
      <c r="L6" s="142"/>
      <c r="M6" s="142"/>
      <c r="N6" s="142"/>
      <c r="O6" s="142"/>
      <c r="P6" s="142"/>
      <c r="Q6" s="142"/>
      <c r="R6" s="142"/>
      <c r="S6" s="142"/>
      <c r="T6" s="142"/>
      <c r="U6" s="142"/>
      <c r="V6" s="142"/>
      <c r="W6" s="142"/>
      <c r="X6" s="142"/>
      <c r="Y6" s="142"/>
      <c r="Z6" s="142"/>
      <c r="AA6" s="142"/>
      <c r="AB6" s="142"/>
      <c r="AC6" s="142"/>
      <c r="AD6" s="142"/>
      <c r="AE6" s="142"/>
      <c r="AF6" s="142"/>
      <c r="AG6" s="142"/>
      <c r="AH6" s="142"/>
      <c r="AI6" s="142"/>
      <c r="AJ6" s="142"/>
      <c r="AK6" s="142"/>
    </row>
    <row r="7" spans="1:37" ht="14.4" customHeight="1" x14ac:dyDescent="0.3">
      <c r="A7" s="142"/>
      <c r="B7" s="548" t="s">
        <v>14</v>
      </c>
      <c r="C7" s="547" t="s">
        <v>13</v>
      </c>
      <c r="D7" s="547"/>
      <c r="E7" s="547"/>
      <c r="F7" s="547"/>
      <c r="G7" s="547"/>
      <c r="H7" s="547" t="s">
        <v>12</v>
      </c>
      <c r="I7" s="547"/>
      <c r="J7" s="547"/>
      <c r="K7" s="547"/>
      <c r="L7" s="547"/>
      <c r="M7" s="547"/>
      <c r="N7" s="547"/>
      <c r="O7" s="547"/>
      <c r="P7" s="547"/>
      <c r="Q7" s="547"/>
      <c r="R7" s="545" t="s">
        <v>316</v>
      </c>
      <c r="S7" s="545" t="s">
        <v>317</v>
      </c>
      <c r="T7" s="545" t="s">
        <v>92</v>
      </c>
      <c r="U7" s="142"/>
      <c r="V7" s="559" t="s">
        <v>371</v>
      </c>
      <c r="W7" s="560"/>
      <c r="X7" s="560"/>
      <c r="Y7" s="560"/>
      <c r="Z7" s="560"/>
      <c r="AA7" s="560"/>
      <c r="AB7" s="560"/>
      <c r="AC7" s="560"/>
      <c r="AD7" s="560"/>
      <c r="AE7" s="560"/>
      <c r="AF7" s="560"/>
      <c r="AG7" s="560"/>
      <c r="AH7" s="560"/>
      <c r="AI7" s="560"/>
      <c r="AJ7" s="561"/>
      <c r="AK7" s="142"/>
    </row>
    <row r="8" spans="1:37" ht="14.4" customHeight="1" x14ac:dyDescent="0.3">
      <c r="B8" s="549"/>
      <c r="C8" s="393">
        <v>44286</v>
      </c>
      <c r="D8" s="393">
        <v>44651</v>
      </c>
      <c r="E8" s="393">
        <v>45016</v>
      </c>
      <c r="F8" s="393">
        <v>45382</v>
      </c>
      <c r="G8" s="394">
        <f>F8+365</f>
        <v>45747</v>
      </c>
      <c r="H8" s="394">
        <f t="shared" ref="H8:Q8" si="0">G8+365</f>
        <v>46112</v>
      </c>
      <c r="I8" s="394">
        <f t="shared" si="0"/>
        <v>46477</v>
      </c>
      <c r="J8" s="394">
        <f t="shared" si="0"/>
        <v>46842</v>
      </c>
      <c r="K8" s="394">
        <f t="shared" si="0"/>
        <v>47207</v>
      </c>
      <c r="L8" s="394">
        <f t="shared" si="0"/>
        <v>47572</v>
      </c>
      <c r="M8" s="394">
        <f t="shared" si="0"/>
        <v>47937</v>
      </c>
      <c r="N8" s="394">
        <f t="shared" si="0"/>
        <v>48302</v>
      </c>
      <c r="O8" s="394">
        <f t="shared" si="0"/>
        <v>48667</v>
      </c>
      <c r="P8" s="394">
        <f t="shared" si="0"/>
        <v>49032</v>
      </c>
      <c r="Q8" s="394">
        <f t="shared" si="0"/>
        <v>49397</v>
      </c>
      <c r="R8" s="546"/>
      <c r="S8" s="546"/>
      <c r="T8" s="546"/>
      <c r="V8" s="562"/>
      <c r="W8" s="563"/>
      <c r="X8" s="563"/>
      <c r="Y8" s="563"/>
      <c r="Z8" s="563"/>
      <c r="AA8" s="563"/>
      <c r="AB8" s="563"/>
      <c r="AC8" s="563"/>
      <c r="AD8" s="563"/>
      <c r="AE8" s="563"/>
      <c r="AF8" s="563"/>
      <c r="AG8" s="563"/>
      <c r="AH8" s="563"/>
      <c r="AI8" s="563"/>
      <c r="AJ8" s="564"/>
    </row>
    <row r="9" spans="1:37" ht="15.6" customHeight="1" x14ac:dyDescent="0.3">
      <c r="A9" s="323"/>
      <c r="B9" s="342"/>
      <c r="C9" s="343"/>
      <c r="D9" s="343"/>
      <c r="E9" s="343"/>
      <c r="F9" s="343"/>
      <c r="G9" s="340"/>
      <c r="H9" s="340"/>
      <c r="I9" s="340"/>
      <c r="J9" s="340"/>
      <c r="K9" s="340"/>
      <c r="L9" s="340"/>
      <c r="M9" s="340"/>
      <c r="N9" s="340"/>
      <c r="O9" s="340"/>
      <c r="P9" s="340"/>
      <c r="Q9" s="340"/>
      <c r="R9" s="142"/>
      <c r="S9" s="344"/>
      <c r="T9" s="344"/>
      <c r="U9" s="142"/>
      <c r="V9" s="142"/>
      <c r="W9" s="399"/>
      <c r="X9" s="399"/>
      <c r="Y9" s="399"/>
      <c r="Z9" s="399"/>
      <c r="AA9" s="399"/>
      <c r="AB9" s="399"/>
      <c r="AC9" s="399"/>
      <c r="AD9" s="399"/>
      <c r="AE9" s="399"/>
      <c r="AF9" s="399"/>
      <c r="AG9" s="399"/>
      <c r="AH9" s="399"/>
      <c r="AI9" s="399"/>
      <c r="AJ9" s="399"/>
      <c r="AK9" s="142"/>
    </row>
    <row r="10" spans="1:37" ht="16.8" customHeight="1" x14ac:dyDescent="0.3">
      <c r="B10" s="544" t="s">
        <v>328</v>
      </c>
      <c r="C10" s="544"/>
      <c r="D10" s="544"/>
      <c r="E10" s="544"/>
      <c r="F10" s="544"/>
      <c r="G10" s="544"/>
      <c r="H10" s="544"/>
      <c r="I10" s="544"/>
      <c r="J10" s="544"/>
      <c r="K10" s="544"/>
      <c r="L10" s="544"/>
      <c r="M10" s="544"/>
      <c r="N10" s="544"/>
      <c r="O10" s="544"/>
      <c r="P10" s="544"/>
      <c r="Q10" s="544"/>
      <c r="R10" s="349"/>
      <c r="S10" s="346"/>
      <c r="T10" s="346"/>
      <c r="AK10" s="142"/>
    </row>
    <row r="11" spans="1:37" ht="55.8" customHeight="1" x14ac:dyDescent="0.3">
      <c r="B11" s="341" t="s">
        <v>318</v>
      </c>
      <c r="C11" s="395">
        <f>'Income Statement'!C11/'Income Statement'!C9</f>
        <v>0.74058022326015716</v>
      </c>
      <c r="D11" s="395">
        <f>'Income Statement'!D11/'Income Statement'!D9</f>
        <v>0.73220342578572373</v>
      </c>
      <c r="E11" s="395">
        <f>'Income Statement'!E11/'Income Statement'!E9</f>
        <v>0.75704694560959296</v>
      </c>
      <c r="F11" s="395">
        <f>'Income Statement'!F11/'Income Statement'!F9</f>
        <v>0.78013809144305257</v>
      </c>
      <c r="G11" s="395">
        <f>'Income Statement'!G11/'Income Statement'!G9</f>
        <v>0.79559378330737851</v>
      </c>
      <c r="H11" s="339">
        <f>'Income Statement'!H11/'Income Statement'!H9</f>
        <v>0.76111249388118096</v>
      </c>
      <c r="I11" s="339">
        <f>'Income Statement'!I11/'Income Statement'!I9</f>
        <v>0.76111249388118096</v>
      </c>
      <c r="J11" s="339">
        <f>'Income Statement'!J11/'Income Statement'!J9</f>
        <v>0.76111249388118085</v>
      </c>
      <c r="K11" s="339">
        <f>'Income Statement'!K11/'Income Statement'!K9</f>
        <v>0.76111249388118096</v>
      </c>
      <c r="L11" s="339">
        <f>'Income Statement'!L11/'Income Statement'!L9</f>
        <v>0.76111249388118096</v>
      </c>
      <c r="M11" s="339">
        <f>'Income Statement'!M11/'Income Statement'!M9</f>
        <v>0.76111249388118107</v>
      </c>
      <c r="N11" s="339">
        <f>'Income Statement'!N11/'Income Statement'!N9</f>
        <v>0.76111249388118096</v>
      </c>
      <c r="O11" s="339">
        <f>'Income Statement'!O11/'Income Statement'!O9</f>
        <v>0.76111249388118096</v>
      </c>
      <c r="P11" s="339">
        <f>'Income Statement'!P11/'Income Statement'!P9</f>
        <v>0.76111249388118096</v>
      </c>
      <c r="Q11" s="339">
        <f>'Income Statement'!Q11/'Income Statement'!Q9</f>
        <v>0.76111249388118096</v>
      </c>
      <c r="R11" s="339"/>
      <c r="S11" s="347">
        <f t="shared" ref="S11:S18" si="1">AVERAGE(C11:Q11)</f>
        <v>0.76111249388118074</v>
      </c>
      <c r="T11" s="347">
        <f t="shared" ref="T11:T18" si="2">MEDIAN(C11:Q11)</f>
        <v>0.76111249388118096</v>
      </c>
      <c r="V11" s="553" t="s">
        <v>410</v>
      </c>
      <c r="W11" s="554"/>
      <c r="X11" s="554"/>
      <c r="Y11" s="554"/>
      <c r="Z11" s="554"/>
      <c r="AA11" s="554"/>
      <c r="AB11" s="554"/>
      <c r="AC11" s="554"/>
      <c r="AD11" s="554"/>
      <c r="AE11" s="554"/>
      <c r="AF11" s="554"/>
      <c r="AG11" s="554"/>
      <c r="AH11" s="554"/>
      <c r="AI11" s="554"/>
      <c r="AJ11" s="555"/>
    </row>
    <row r="12" spans="1:37" ht="54" customHeight="1" x14ac:dyDescent="0.3">
      <c r="B12" s="341" t="s">
        <v>319</v>
      </c>
      <c r="C12" s="395">
        <f>'Income Statement'!C14/'Income Statement'!C9</f>
        <v>0.25278179624301539</v>
      </c>
      <c r="D12" s="395">
        <f>'Income Statement'!D14/'Income Statement'!D9</f>
        <v>0.26500828234960544</v>
      </c>
      <c r="E12" s="395">
        <f>'Income Statement'!E14/'Income Statement'!E9</f>
        <v>0.26826267702813317</v>
      </c>
      <c r="F12" s="395">
        <f>'Income Statement'!F14/'Income Statement'!F9</f>
        <v>0.26779058846090015</v>
      </c>
      <c r="G12" s="395">
        <f>'Income Statement'!G14/'Income Statement'!G9</f>
        <v>0.28692673270640973</v>
      </c>
      <c r="H12" s="339">
        <f>'Income Statement'!H14/'Income Statement'!H9</f>
        <v>0.26815401535761285</v>
      </c>
      <c r="I12" s="339">
        <f>'Income Statement'!I14/'Income Statement'!I9</f>
        <v>0.2681540153576128</v>
      </c>
      <c r="J12" s="339">
        <f>'Income Statement'!J14/'Income Statement'!J9</f>
        <v>0.26815401535761274</v>
      </c>
      <c r="K12" s="339">
        <f>'Income Statement'!K14/'Income Statement'!K9</f>
        <v>0.26815401535761274</v>
      </c>
      <c r="L12" s="339">
        <f>'Income Statement'!L14/'Income Statement'!L9</f>
        <v>0.26815401535761269</v>
      </c>
      <c r="M12" s="339">
        <f>'Income Statement'!M14/'Income Statement'!M9</f>
        <v>0.26815401535761291</v>
      </c>
      <c r="N12" s="339">
        <f>'Income Statement'!N14/'Income Statement'!N9</f>
        <v>0.26815401535761274</v>
      </c>
      <c r="O12" s="339">
        <f>'Income Statement'!O14/'Income Statement'!O9</f>
        <v>0.26815401535761274</v>
      </c>
      <c r="P12" s="339">
        <f>'Income Statement'!P14/'Income Statement'!P9</f>
        <v>0.26815401535761263</v>
      </c>
      <c r="Q12" s="339">
        <f>'Income Statement'!Q14/'Income Statement'!Q9</f>
        <v>0.26815401535761285</v>
      </c>
      <c r="R12" s="339"/>
      <c r="S12" s="347">
        <f t="shared" si="1"/>
        <v>0.26815401535761274</v>
      </c>
      <c r="T12" s="347">
        <f t="shared" si="2"/>
        <v>0.26815401535761274</v>
      </c>
      <c r="V12" s="550" t="s">
        <v>411</v>
      </c>
      <c r="W12" s="551"/>
      <c r="X12" s="551"/>
      <c r="Y12" s="551"/>
      <c r="Z12" s="551"/>
      <c r="AA12" s="551"/>
      <c r="AB12" s="551"/>
      <c r="AC12" s="551"/>
      <c r="AD12" s="551"/>
      <c r="AE12" s="551"/>
      <c r="AF12" s="551"/>
      <c r="AG12" s="551"/>
      <c r="AH12" s="551"/>
      <c r="AI12" s="551"/>
      <c r="AJ12" s="552"/>
    </row>
    <row r="13" spans="1:37" ht="54" customHeight="1" x14ac:dyDescent="0.3">
      <c r="B13" s="341" t="s">
        <v>320</v>
      </c>
      <c r="C13" s="395">
        <f>'Income Statement'!C16/'Income Statement'!C9</f>
        <v>0.19069028907276653</v>
      </c>
      <c r="D13" s="395">
        <f>'Income Statement'!D16/'Income Statement'!D9</f>
        <v>0.2095492658162092</v>
      </c>
      <c r="E13" s="395">
        <f>'Income Statement'!E16/'Income Statement'!E9</f>
        <v>0.21062588069730268</v>
      </c>
      <c r="F13" s="395">
        <f>'Income Statement'!F16/'Income Statement'!F9</f>
        <v>0.21507293772688343</v>
      </c>
      <c r="G13" s="395">
        <f>'Income Statement'!G16/'Income Statement'!G9</f>
        <v>0.23794486865719111</v>
      </c>
      <c r="H13" s="339">
        <f>'Income Statement'!H16/'Income Statement'!H9</f>
        <v>0.22386979501300966</v>
      </c>
      <c r="I13" s="339">
        <f>'Income Statement'!I16/'Income Statement'!I9</f>
        <v>0.22853624613308798</v>
      </c>
      <c r="J13" s="339">
        <f>'Income Statement'!J16/'Income Statement'!J9</f>
        <v>0.2321715601195809</v>
      </c>
      <c r="K13" s="339">
        <f>'Income Statement'!K16/'Income Statement'!K9</f>
        <v>0.23575244334906781</v>
      </c>
      <c r="L13" s="339">
        <f>'Income Statement'!L16/'Income Statement'!L9</f>
        <v>0.23857729354563309</v>
      </c>
      <c r="M13" s="339">
        <f>'Income Statement'!M16/'Income Statement'!M9</f>
        <v>0.24100520607539958</v>
      </c>
      <c r="N13" s="339">
        <f>'Income Statement'!N16/'Income Statement'!N9</f>
        <v>0.24258629588536759</v>
      </c>
      <c r="O13" s="339">
        <f>'Income Statement'!O16/'Income Statement'!O9</f>
        <v>0.24406543934335831</v>
      </c>
      <c r="P13" s="339">
        <f>'Income Statement'!P16/'Income Statement'!P9</f>
        <v>0.24485458398940865</v>
      </c>
      <c r="Q13" s="339">
        <f>'Income Statement'!Q16/'Income Statement'!Q9</f>
        <v>0.24583064692416137</v>
      </c>
      <c r="R13" s="339"/>
      <c r="S13" s="347">
        <f t="shared" si="1"/>
        <v>0.22940885015656184</v>
      </c>
      <c r="T13" s="347">
        <f t="shared" si="2"/>
        <v>0.23575244334906781</v>
      </c>
      <c r="V13" s="550" t="s">
        <v>417</v>
      </c>
      <c r="W13" s="551"/>
      <c r="X13" s="551"/>
      <c r="Y13" s="551"/>
      <c r="Z13" s="551"/>
      <c r="AA13" s="551"/>
      <c r="AB13" s="551"/>
      <c r="AC13" s="551"/>
      <c r="AD13" s="551"/>
      <c r="AE13" s="551"/>
      <c r="AF13" s="551"/>
      <c r="AG13" s="551"/>
      <c r="AH13" s="551"/>
      <c r="AI13" s="551"/>
      <c r="AJ13" s="552"/>
    </row>
    <row r="14" spans="1:37" ht="42" customHeight="1" x14ac:dyDescent="0.3">
      <c r="B14" s="341" t="s">
        <v>321</v>
      </c>
      <c r="C14" s="395">
        <f>'Income Statement'!C19/'Income Statement'!C9</f>
        <v>8.3567923472766065E-2</v>
      </c>
      <c r="D14" s="395">
        <f>'Income Statement'!D19/'Income Statement'!D9</f>
        <v>0.11593271570780007</v>
      </c>
      <c r="E14" s="395">
        <f>'Income Statement'!E19/'Income Statement'!E9</f>
        <v>0.2143849656653378</v>
      </c>
      <c r="F14" s="395">
        <f>'Income Statement'!F19/'Income Statement'!F9</f>
        <v>0.22863113789864717</v>
      </c>
      <c r="G14" s="395">
        <f>'Income Statement'!G19/'Income Statement'!G9</f>
        <v>0.26155454593175459</v>
      </c>
      <c r="H14" s="339">
        <f>'Income Statement'!H19/'Income Statement'!H9</f>
        <v>0.23929619162295335</v>
      </c>
      <c r="I14" s="339">
        <f>'Income Statement'!I19/'Income Statement'!I9</f>
        <v>0.24420156867527351</v>
      </c>
      <c r="J14" s="339">
        <f>'Income Statement'!J19/'Income Statement'!J9</f>
        <v>0.2480540880547136</v>
      </c>
      <c r="K14" s="339">
        <f>'Income Statement'!K19/'Income Statement'!K9</f>
        <v>0.25183243073233424</v>
      </c>
      <c r="L14" s="339">
        <f>'Income Statement'!L19/'Income Statement'!L9</f>
        <v>0.25483678951811212</v>
      </c>
      <c r="M14" s="339">
        <f>'Income Statement'!M19/'Income Statement'!M9</f>
        <v>0.25740265810651636</v>
      </c>
      <c r="N14" s="339">
        <f>'Income Statement'!N19/'Income Statement'!N9</f>
        <v>0.25909115258745113</v>
      </c>
      <c r="O14" s="339">
        <f>'Income Statement'!O19/'Income Statement'!O9</f>
        <v>0.26065483291588731</v>
      </c>
      <c r="P14" s="339">
        <f>'Income Statement'!P19/'Income Statement'!P9</f>
        <v>0.26151112904001317</v>
      </c>
      <c r="Q14" s="339">
        <f>'Income Statement'!Q19/'Income Statement'!Q9</f>
        <v>0.2625409461021519</v>
      </c>
      <c r="R14" s="339"/>
      <c r="S14" s="347">
        <f t="shared" si="1"/>
        <v>0.22956620506878078</v>
      </c>
      <c r="T14" s="347">
        <f t="shared" si="2"/>
        <v>0.25183243073233424</v>
      </c>
      <c r="V14" s="553" t="s">
        <v>418</v>
      </c>
      <c r="W14" s="554"/>
      <c r="X14" s="554"/>
      <c r="Y14" s="554"/>
      <c r="Z14" s="554"/>
      <c r="AA14" s="554"/>
      <c r="AB14" s="554"/>
      <c r="AC14" s="554"/>
      <c r="AD14" s="554"/>
      <c r="AE14" s="554"/>
      <c r="AF14" s="554"/>
      <c r="AG14" s="554"/>
      <c r="AH14" s="554"/>
      <c r="AI14" s="554"/>
      <c r="AJ14" s="555"/>
    </row>
    <row r="15" spans="1:37" ht="55.2" customHeight="1" x14ac:dyDescent="0.3">
      <c r="B15" s="341" t="s">
        <v>315</v>
      </c>
      <c r="C15" s="395">
        <f>'Income Statement'!C22/'Income Statement'!C9</f>
        <v>6.7835109650864311E-2</v>
      </c>
      <c r="D15" s="395">
        <f>'Income Statement'!D22/'Income Statement'!D9</f>
        <v>8.768140518734048E-2</v>
      </c>
      <c r="E15" s="395">
        <f>'Income Statement'!E22/'Income Statement'!E9</f>
        <v>0.19397990415096683</v>
      </c>
      <c r="F15" s="395">
        <f>'Income Statement'!F22/'Income Statement'!F9</f>
        <v>0.19815781849749017</v>
      </c>
      <c r="G15" s="395">
        <f>'Income Statement'!G22/'Income Statement'!G9</f>
        <v>0.20854080113445747</v>
      </c>
      <c r="H15" s="339">
        <f>'Income Statement'!H22/'Income Statement'!H9</f>
        <v>0.18998439759803148</v>
      </c>
      <c r="I15" s="339">
        <f>'Income Statement'!I22/'Income Statement'!I9</f>
        <v>0.19389110528976197</v>
      </c>
      <c r="J15" s="339">
        <f>'Income Statement'!J22/'Income Statement'!J9</f>
        <v>0.19645429804395798</v>
      </c>
      <c r="K15" s="339">
        <f>'Income Statement'!K22/'Income Statement'!K9</f>
        <v>0.19945572833014383</v>
      </c>
      <c r="L15" s="339">
        <f>'Income Statement'!L22/'Income Statement'!L9</f>
        <v>0.20131832139143085</v>
      </c>
      <c r="M15" s="339">
        <f>'Income Statement'!M22/'Income Statement'!M9</f>
        <v>0.20335131357768632</v>
      </c>
      <c r="N15" s="339">
        <f>'Income Statement'!N22/'Income Statement'!N9</f>
        <v>0.2041510663332855</v>
      </c>
      <c r="O15" s="339">
        <f>'Income Statement'!O22/'Income Statement'!O9</f>
        <v>0.20538675604099912</v>
      </c>
      <c r="P15" s="339">
        <f>'Income Statement'!P22/'Income Statement'!P9</f>
        <v>0.205514905208253</v>
      </c>
      <c r="Q15" s="339">
        <f>'Income Statement'!Q22/'Income Statement'!Q9</f>
        <v>0.20632655233206604</v>
      </c>
      <c r="R15" s="339"/>
      <c r="S15" s="347">
        <f t="shared" si="1"/>
        <v>0.18413529885111568</v>
      </c>
      <c r="T15" s="347">
        <f t="shared" si="2"/>
        <v>0.19945572833014383</v>
      </c>
      <c r="V15" s="550" t="s">
        <v>419</v>
      </c>
      <c r="W15" s="551"/>
      <c r="X15" s="551"/>
      <c r="Y15" s="551"/>
      <c r="Z15" s="551"/>
      <c r="AA15" s="551"/>
      <c r="AB15" s="551"/>
      <c r="AC15" s="551"/>
      <c r="AD15" s="551"/>
      <c r="AE15" s="551"/>
      <c r="AF15" s="551"/>
      <c r="AG15" s="551"/>
      <c r="AH15" s="551"/>
      <c r="AI15" s="551"/>
      <c r="AJ15" s="552"/>
    </row>
    <row r="16" spans="1:37" ht="55.8" customHeight="1" x14ac:dyDescent="0.3">
      <c r="A16" s="142"/>
      <c r="B16" s="341" t="s">
        <v>327</v>
      </c>
      <c r="C16" s="395">
        <f>'Income Statement'!C16/('Balance Sheet'!D28-'Balance Sheet'!D52)</f>
        <v>0.12398364397323278</v>
      </c>
      <c r="D16" s="395">
        <f>'Income Statement'!D16/('Balance Sheet'!E28-'Balance Sheet'!E52)</f>
        <v>0.15399476647226618</v>
      </c>
      <c r="E16" s="395">
        <f>'Income Statement'!E16/('Balance Sheet'!F28-'Balance Sheet'!F52)</f>
        <v>0.15193760529123548</v>
      </c>
      <c r="F16" s="395">
        <f>'Income Statement'!F16/('Balance Sheet'!G28-'Balance Sheet'!G52)</f>
        <v>0.15223273787040331</v>
      </c>
      <c r="G16" s="395">
        <f>'Income Statement'!G16/('Balance Sheet'!H28-'Balance Sheet'!H52)</f>
        <v>0.16927864269345125</v>
      </c>
      <c r="H16" s="439">
        <f>'Income Statement'!H16/('Balance Sheet'!I28-'Balance Sheet'!I52)</f>
        <v>0.15887571622787855</v>
      </c>
      <c r="I16" s="439">
        <f>'Income Statement'!I16/('Balance Sheet'!J28-'Balance Sheet'!J52)</f>
        <v>0.16151883703619488</v>
      </c>
      <c r="J16" s="439">
        <f>'Income Statement'!J16/('Balance Sheet'!K28-'Balance Sheet'!K52)</f>
        <v>0.16327195264555178</v>
      </c>
      <c r="K16" s="439">
        <f>'Income Statement'!K16/('Balance Sheet'!L28-'Balance Sheet'!L52)</f>
        <v>0.16480468302709608</v>
      </c>
      <c r="L16" s="439">
        <f>'Income Statement'!L16/('Balance Sheet'!M28-'Balance Sheet'!M52)</f>
        <v>0.16573475964647849</v>
      </c>
      <c r="M16" s="439">
        <f>'Income Statement'!M16/('Balance Sheet'!N28-'Balance Sheet'!N52)</f>
        <v>0.1640217274201588</v>
      </c>
      <c r="N16" s="439">
        <f>'Income Statement'!N16/('Balance Sheet'!O28-'Balance Sheet'!O52)</f>
        <v>0.16010881984334518</v>
      </c>
      <c r="O16" s="439">
        <f>'Income Statement'!O16/('Balance Sheet'!P28-'Balance Sheet'!P52)</f>
        <v>0.15502556996111455</v>
      </c>
      <c r="P16" s="439">
        <f>'Income Statement'!P16/('Balance Sheet'!Q28-'Balance Sheet'!Q52)</f>
        <v>0.14892365070510194</v>
      </c>
      <c r="Q16" s="439">
        <f>'Income Statement'!Q16/('Balance Sheet'!R28-'Balance Sheet'!R52)</f>
        <v>0.14263740311209314</v>
      </c>
      <c r="R16" s="339"/>
      <c r="S16" s="347">
        <f t="shared" si="1"/>
        <v>0.15575670106170683</v>
      </c>
      <c r="T16" s="347">
        <f t="shared" si="2"/>
        <v>0.15887571622787855</v>
      </c>
      <c r="V16" s="550" t="s">
        <v>420</v>
      </c>
      <c r="W16" s="551"/>
      <c r="X16" s="551"/>
      <c r="Y16" s="551"/>
      <c r="Z16" s="551"/>
      <c r="AA16" s="551"/>
      <c r="AB16" s="551"/>
      <c r="AC16" s="551"/>
      <c r="AD16" s="551"/>
      <c r="AE16" s="551"/>
      <c r="AF16" s="551"/>
      <c r="AG16" s="551"/>
      <c r="AH16" s="551"/>
      <c r="AI16" s="551"/>
      <c r="AJ16" s="552"/>
    </row>
    <row r="17" spans="1:37" ht="45" customHeight="1" x14ac:dyDescent="0.3">
      <c r="B17" s="341" t="s">
        <v>314</v>
      </c>
      <c r="C17" s="395"/>
      <c r="D17" s="395">
        <f>'Income Statement'!D22/AVERAGE(('Balance Sheet'!E32+'Balance Sheet'!E33),('Balance Sheet'!D32+'Balance Sheet'!D33))</f>
        <v>7.1750534538603236E-2</v>
      </c>
      <c r="E17" s="395">
        <f>'Income Statement'!E22/AVERAGE(('Balance Sheet'!F32+'Balance Sheet'!F33),('Balance Sheet'!E32+'Balance Sheet'!E33))</f>
        <v>0.16369999596179477</v>
      </c>
      <c r="F17" s="395">
        <f>'Income Statement'!F22/AVERAGE(('Balance Sheet'!G32+'Balance Sheet'!G33),('Balance Sheet'!F32+'Balance Sheet'!F33))</f>
        <v>0.16061940398353272</v>
      </c>
      <c r="G17" s="395">
        <f>'Income Statement'!G22/AVERAGE(('Balance Sheet'!H32+'Balance Sheet'!H33),('Balance Sheet'!G32+'Balance Sheet'!G33))</f>
        <v>0.16138306007361977</v>
      </c>
      <c r="H17" s="416">
        <f>'Income Statement'!H22/AVERAGE(('Balance Sheet'!I32+'Balance Sheet'!I33),('Balance Sheet'!H32+'Balance Sheet'!H33))</f>
        <v>0.14455405482449812</v>
      </c>
      <c r="I17" s="416">
        <f>'Income Statement'!I22/AVERAGE(('Balance Sheet'!J32+'Balance Sheet'!J33),('Balance Sheet'!I32+'Balance Sheet'!I33))</f>
        <v>0.14672976542543645</v>
      </c>
      <c r="J17" s="416">
        <f>'Income Statement'!J22/AVERAGE(('Balance Sheet'!K32+'Balance Sheet'!K33),('Balance Sheet'!J32+'Balance Sheet'!J33))</f>
        <v>0.14770817412338053</v>
      </c>
      <c r="K17" s="416">
        <f>'Income Statement'!K22/AVERAGE(('Balance Sheet'!L32+'Balance Sheet'!L33),('Balance Sheet'!K32+'Balance Sheet'!K33))</f>
        <v>0.14888354228686509</v>
      </c>
      <c r="L17" s="416">
        <f>'Income Statement'!L22/AVERAGE(('Balance Sheet'!M32+'Balance Sheet'!M33),('Balance Sheet'!L32+'Balance Sheet'!L33))</f>
        <v>0.14911989163431874</v>
      </c>
      <c r="M17" s="416">
        <f>'Income Statement'!M22/AVERAGE(('Balance Sheet'!N32+'Balance Sheet'!N33),('Balance Sheet'!M32+'Balance Sheet'!M33))</f>
        <v>0.14728023975255949</v>
      </c>
      <c r="N17" s="416">
        <f>'Income Statement'!N22/AVERAGE(('Balance Sheet'!O32+'Balance Sheet'!O33),('Balance Sheet'!N32+'Balance Sheet'!N33))</f>
        <v>0.14302187881935965</v>
      </c>
      <c r="O17" s="416">
        <f>'Income Statement'!O22/AVERAGE(('Balance Sheet'!P32+'Balance Sheet'!P33),('Balance Sheet'!O32+'Balance Sheet'!O33))</f>
        <v>0.13810801759856672</v>
      </c>
      <c r="P17" s="416">
        <f>'Income Statement'!P22/AVERAGE(('Balance Sheet'!Q32+'Balance Sheet'!Q33),('Balance Sheet'!P32+'Balance Sheet'!P33))</f>
        <v>0.13193880600383101</v>
      </c>
      <c r="Q17" s="416">
        <f>'Income Statement'!Q22/AVERAGE(('Balance Sheet'!R32+'Balance Sheet'!R33),('Balance Sheet'!Q32+'Balance Sheet'!Q33))</f>
        <v>0.1260183687977344</v>
      </c>
      <c r="R17" s="339"/>
      <c r="S17" s="347">
        <f t="shared" si="1"/>
        <v>0.14148683813029292</v>
      </c>
      <c r="T17" s="347">
        <f t="shared" si="2"/>
        <v>0.14700500258899796</v>
      </c>
      <c r="V17" s="550" t="s">
        <v>421</v>
      </c>
      <c r="W17" s="551"/>
      <c r="X17" s="551"/>
      <c r="Y17" s="551"/>
      <c r="Z17" s="551"/>
      <c r="AA17" s="551"/>
      <c r="AB17" s="551"/>
      <c r="AC17" s="551"/>
      <c r="AD17" s="551"/>
      <c r="AE17" s="551"/>
      <c r="AF17" s="551"/>
      <c r="AG17" s="551"/>
      <c r="AH17" s="551"/>
      <c r="AI17" s="551"/>
      <c r="AJ17" s="552"/>
    </row>
    <row r="18" spans="1:37" ht="57" customHeight="1" x14ac:dyDescent="0.3">
      <c r="B18" s="341" t="s">
        <v>313</v>
      </c>
      <c r="C18" s="395"/>
      <c r="D18" s="395">
        <f>'Income Statement'!D22/AVERAGE('Balance Sheet'!E28,'Balance Sheet'!D28)</f>
        <v>4.931060693519887E-2</v>
      </c>
      <c r="E18" s="395">
        <f>'Income Statement'!E22/AVERAGE('Balance Sheet'!F28,'Balance Sheet'!E28)</f>
        <v>0.11309611191346342</v>
      </c>
      <c r="F18" s="395">
        <f>'Income Statement'!F22/AVERAGE('Balance Sheet'!G28,'Balance Sheet'!F28)</f>
        <v>0.11561408451856456</v>
      </c>
      <c r="G18" s="395">
        <f>'Income Statement'!G22/AVERAGE('Balance Sheet'!H28,'Balance Sheet'!G28)</f>
        <v>0.12347675450645537</v>
      </c>
      <c r="H18" s="416">
        <f>'Income Statement'!H22/AVERAGE('Balance Sheet'!I28,'Balance Sheet'!H28)</f>
        <v>0.11410539748252742</v>
      </c>
      <c r="I18" s="416">
        <f>'Income Statement'!I22/AVERAGE('Balance Sheet'!J28,'Balance Sheet'!I28)</f>
        <v>0.11736443498732714</v>
      </c>
      <c r="J18" s="416">
        <f>'Income Statement'!J22/AVERAGE('Balance Sheet'!K28,'Balance Sheet'!J28)</f>
        <v>0.11971115494730249</v>
      </c>
      <c r="K18" s="416">
        <f>'Income Statement'!K22/AVERAGE('Balance Sheet'!L28,'Balance Sheet'!K28)</f>
        <v>0.12214557923842888</v>
      </c>
      <c r="L18" s="416">
        <f>'Income Statement'!L22/AVERAGE('Balance Sheet'!M28,'Balance Sheet'!L28)</f>
        <v>0.12372640878508864</v>
      </c>
      <c r="M18" s="416">
        <f>'Income Statement'!M22/AVERAGE('Balance Sheet'!N28,'Balance Sheet'!M28)</f>
        <v>0.12352707151496707</v>
      </c>
      <c r="N18" s="416">
        <f>'Income Statement'!N22/AVERAGE('Balance Sheet'!O28,'Balance Sheet'!N28)</f>
        <v>0.12123287497925732</v>
      </c>
      <c r="O18" s="416">
        <f>'Income Statement'!O22/AVERAGE('Balance Sheet'!P28,'Balance Sheet'!O28)</f>
        <v>0.11826306130478792</v>
      </c>
      <c r="P18" s="416">
        <f>'Income Statement'!P22/AVERAGE('Balance Sheet'!Q28,'Balance Sheet'!P28)</f>
        <v>0.11406869931175298</v>
      </c>
      <c r="Q18" s="416">
        <f>'Income Statement'!Q22/AVERAGE('Balance Sheet'!R28,'Balance Sheet'!Q28)</f>
        <v>0.10992950895320611</v>
      </c>
      <c r="R18" s="339"/>
      <c r="S18" s="347">
        <f t="shared" si="1"/>
        <v>0.11325512495559488</v>
      </c>
      <c r="T18" s="347">
        <f t="shared" si="2"/>
        <v>0.11781374814605752</v>
      </c>
      <c r="V18" s="550" t="s">
        <v>422</v>
      </c>
      <c r="W18" s="551"/>
      <c r="X18" s="551"/>
      <c r="Y18" s="551"/>
      <c r="Z18" s="551"/>
      <c r="AA18" s="551"/>
      <c r="AB18" s="551"/>
      <c r="AC18" s="551"/>
      <c r="AD18" s="551"/>
      <c r="AE18" s="551"/>
      <c r="AF18" s="551"/>
      <c r="AG18" s="551"/>
      <c r="AH18" s="551"/>
      <c r="AI18" s="551"/>
      <c r="AJ18" s="552"/>
    </row>
    <row r="19" spans="1:37" x14ac:dyDescent="0.3">
      <c r="B19" s="25"/>
      <c r="C19" s="142"/>
      <c r="D19" s="142"/>
      <c r="E19" s="142"/>
      <c r="F19" s="142"/>
      <c r="G19" s="142"/>
      <c r="H19" s="142"/>
      <c r="I19" s="142"/>
      <c r="J19" s="142"/>
      <c r="K19" s="142"/>
      <c r="L19" s="142"/>
      <c r="M19" s="142"/>
      <c r="N19" s="142"/>
      <c r="O19" s="142"/>
      <c r="P19" s="142"/>
      <c r="Q19" s="142"/>
      <c r="R19" s="142"/>
      <c r="S19" s="142"/>
      <c r="T19" s="142"/>
      <c r="U19" s="142"/>
      <c r="V19" s="565"/>
      <c r="W19" s="565"/>
      <c r="X19" s="565"/>
      <c r="Y19" s="565"/>
      <c r="Z19" s="565"/>
      <c r="AA19" s="565"/>
      <c r="AB19" s="565"/>
      <c r="AC19" s="565"/>
      <c r="AD19" s="565"/>
      <c r="AE19" s="565"/>
      <c r="AF19" s="565"/>
      <c r="AG19" s="565"/>
      <c r="AH19" s="565"/>
      <c r="AI19" s="565"/>
      <c r="AJ19" s="565"/>
    </row>
    <row r="20" spans="1:37" x14ac:dyDescent="0.3">
      <c r="B20" s="544" t="s">
        <v>329</v>
      </c>
      <c r="C20" s="544"/>
      <c r="D20" s="544"/>
      <c r="E20" s="544"/>
      <c r="F20" s="544"/>
      <c r="G20" s="544"/>
      <c r="H20" s="544"/>
      <c r="I20" s="544"/>
      <c r="J20" s="544"/>
      <c r="K20" s="544"/>
      <c r="L20" s="544"/>
      <c r="M20" s="544"/>
      <c r="N20" s="544"/>
      <c r="O20" s="544"/>
      <c r="P20" s="544"/>
      <c r="Q20" s="544"/>
      <c r="R20" s="349"/>
      <c r="S20" s="40"/>
      <c r="T20" s="40"/>
      <c r="V20" s="565"/>
      <c r="W20" s="565"/>
      <c r="X20" s="565"/>
      <c r="Y20" s="565"/>
      <c r="Z20" s="565"/>
      <c r="AA20" s="565"/>
      <c r="AB20" s="565"/>
      <c r="AC20" s="565"/>
      <c r="AD20" s="565"/>
      <c r="AE20" s="565"/>
      <c r="AF20" s="565"/>
      <c r="AG20" s="565"/>
      <c r="AH20" s="565"/>
      <c r="AI20" s="565"/>
      <c r="AJ20" s="565"/>
      <c r="AK20" s="142"/>
    </row>
    <row r="21" spans="1:37" ht="40.799999999999997" customHeight="1" x14ac:dyDescent="0.3">
      <c r="B21" s="341" t="s">
        <v>323</v>
      </c>
      <c r="C21" s="396"/>
      <c r="D21" s="396">
        <f>'Income Statement'!D9/AVERAGE('Balance Sheet'!E20,'Balance Sheet'!D20)</f>
        <v>3.9334404855123237</v>
      </c>
      <c r="E21" s="396">
        <f>'Income Statement'!E9/AVERAGE('Balance Sheet'!F20,'Balance Sheet'!E20)</f>
        <v>3.983921130749748</v>
      </c>
      <c r="F21" s="396">
        <f>'Income Statement'!F9/AVERAGE('Balance Sheet'!G20,'Balance Sheet'!F20)</f>
        <v>4.2751328021833688</v>
      </c>
      <c r="G21" s="396">
        <f>'Income Statement'!G9/AVERAGE('Balance Sheet'!H20,'Balance Sheet'!G20)</f>
        <v>4.3282487112829218</v>
      </c>
      <c r="H21" s="434">
        <f>'Income Statement'!H9/AVERAGE('Balance Sheet'!I20,'Balance Sheet'!H20)</f>
        <v>4.1440059897904602</v>
      </c>
      <c r="I21" s="434">
        <f>'Income Statement'!I9/AVERAGE('Balance Sheet'!J20,'Balance Sheet'!I20)</f>
        <v>4.0754642912779557</v>
      </c>
      <c r="J21" s="434">
        <f>'Income Statement'!J9/AVERAGE('Balance Sheet'!K20,'Balance Sheet'!J20)</f>
        <v>4.0754642912779557</v>
      </c>
      <c r="K21" s="434">
        <f>'Income Statement'!K9/AVERAGE('Balance Sheet'!L20,'Balance Sheet'!K20)</f>
        <v>4.0754642912779557</v>
      </c>
      <c r="L21" s="434">
        <f>'Income Statement'!L9/AVERAGE('Balance Sheet'!M20,'Balance Sheet'!L20)</f>
        <v>4.0754642912779557</v>
      </c>
      <c r="M21" s="434">
        <f>'Income Statement'!M9/AVERAGE('Balance Sheet'!N20,'Balance Sheet'!M20)</f>
        <v>4.0456751607110286</v>
      </c>
      <c r="N21" s="434">
        <f>'Income Statement'!N9/AVERAGE('Balance Sheet'!O20,'Balance Sheet'!N20)</f>
        <v>4.0205078548841628</v>
      </c>
      <c r="O21" s="434">
        <f>'Income Statement'!O9/AVERAGE('Balance Sheet'!P20,'Balance Sheet'!O20)</f>
        <v>3.999295887579545</v>
      </c>
      <c r="P21" s="434">
        <f>'Income Statement'!P9/AVERAGE('Balance Sheet'!Q20,'Balance Sheet'!P20)</f>
        <v>3.9814535010415533</v>
      </c>
      <c r="Q21" s="434">
        <f>'Income Statement'!Q9/AVERAGE('Balance Sheet'!R20,'Balance Sheet'!Q20)</f>
        <v>3.9664707642742218</v>
      </c>
      <c r="R21" s="339"/>
      <c r="S21" s="348">
        <f>AVERAGE(C21:Q21)</f>
        <v>4.0700006752229401</v>
      </c>
      <c r="T21" s="348">
        <f>MEDIAN(C21:Q21)</f>
        <v>4.0605697259944922</v>
      </c>
      <c r="V21" s="550" t="s">
        <v>423</v>
      </c>
      <c r="W21" s="551"/>
      <c r="X21" s="551"/>
      <c r="Y21" s="551"/>
      <c r="Z21" s="551"/>
      <c r="AA21" s="551"/>
      <c r="AB21" s="551"/>
      <c r="AC21" s="551"/>
      <c r="AD21" s="551"/>
      <c r="AE21" s="551"/>
      <c r="AF21" s="551"/>
      <c r="AG21" s="551"/>
      <c r="AH21" s="551"/>
      <c r="AI21" s="551"/>
      <c r="AJ21" s="552"/>
    </row>
    <row r="22" spans="1:37" ht="41.4" customHeight="1" x14ac:dyDescent="0.3">
      <c r="B22" s="341" t="s">
        <v>324</v>
      </c>
      <c r="C22" s="396"/>
      <c r="D22" s="396">
        <f>'Income Statement'!D10/AVERAGE('Balance Sheet'!E48,'Balance Sheet'!D48)</f>
        <v>2.4491991009109189</v>
      </c>
      <c r="E22" s="396">
        <f>'Income Statement'!E10/AVERAGE('Balance Sheet'!F48,'Balance Sheet'!E48)</f>
        <v>2.0986727501412279</v>
      </c>
      <c r="F22" s="396">
        <f>'Income Statement'!F10/AVERAGE('Balance Sheet'!G48,'Balance Sheet'!F48)</f>
        <v>1.8813902646888085</v>
      </c>
      <c r="G22" s="396">
        <f>'Income Statement'!G10/AVERAGE('Balance Sheet'!H48,'Balance Sheet'!G48)</f>
        <v>1.8157943644172321</v>
      </c>
      <c r="H22" s="434">
        <f>'Income Statement'!H10/AVERAGE('Balance Sheet'!I48,'Balance Sheet'!H48)</f>
        <v>2.0979623940037069</v>
      </c>
      <c r="I22" s="434">
        <f>'Income Statement'!I10/AVERAGE('Balance Sheet'!J48,'Balance Sheet'!I48)</f>
        <v>2.0716372483023227</v>
      </c>
      <c r="J22" s="434">
        <f>'Income Statement'!J10/AVERAGE('Balance Sheet'!K48,'Balance Sheet'!J48)</f>
        <v>2.0716372483023227</v>
      </c>
      <c r="K22" s="434">
        <f>'Income Statement'!K10/AVERAGE('Balance Sheet'!L48,'Balance Sheet'!K48)</f>
        <v>2.0716372483023227</v>
      </c>
      <c r="L22" s="434">
        <f>'Income Statement'!L10/AVERAGE('Balance Sheet'!M48,'Balance Sheet'!L48)</f>
        <v>2.0716372483023227</v>
      </c>
      <c r="M22" s="434">
        <f>'Income Statement'!M10/AVERAGE('Balance Sheet'!N48,'Balance Sheet'!M48)</f>
        <v>2.0564948576281949</v>
      </c>
      <c r="N22" s="434">
        <f>'Income Statement'!N10/AVERAGE('Balance Sheet'!O48,'Balance Sheet'!N48)</f>
        <v>2.0437018297756544</v>
      </c>
      <c r="O22" s="434">
        <f>'Income Statement'!O10/AVERAGE('Balance Sheet'!P48,'Balance Sheet'!O48)</f>
        <v>2.0329193769218632</v>
      </c>
      <c r="P22" s="434">
        <f>'Income Statement'!P10/AVERAGE('Balance Sheet'!Q48,'Balance Sheet'!P48)</f>
        <v>2.0238497470812047</v>
      </c>
      <c r="Q22" s="434">
        <f>'Income Statement'!Q10/AVERAGE('Balance Sheet'!R48,'Balance Sheet'!Q48)</f>
        <v>2.016233732475178</v>
      </c>
      <c r="R22" s="339"/>
      <c r="S22" s="348">
        <f>AVERAGE(C22:Q22)</f>
        <v>2.0573405293752343</v>
      </c>
      <c r="T22" s="348">
        <f>MEDIAN(C22:Q22)</f>
        <v>2.0640660529652588</v>
      </c>
      <c r="V22" s="550" t="s">
        <v>424</v>
      </c>
      <c r="W22" s="551"/>
      <c r="X22" s="551"/>
      <c r="Y22" s="551"/>
      <c r="Z22" s="551"/>
      <c r="AA22" s="551"/>
      <c r="AB22" s="551"/>
      <c r="AC22" s="551"/>
      <c r="AD22" s="551"/>
      <c r="AE22" s="551"/>
      <c r="AF22" s="551"/>
      <c r="AG22" s="551"/>
      <c r="AH22" s="551"/>
      <c r="AI22" s="551"/>
      <c r="AJ22" s="552"/>
    </row>
    <row r="23" spans="1:37" ht="42.6" customHeight="1" x14ac:dyDescent="0.3">
      <c r="B23" s="341" t="s">
        <v>325</v>
      </c>
      <c r="C23" s="396"/>
      <c r="D23" s="396">
        <f>'Income Statement'!D10/AVERAGE('Balance Sheet'!E18,'Balance Sheet'!D18)</f>
        <v>1.150565499396182</v>
      </c>
      <c r="E23" s="396">
        <f>'Income Statement'!E10/AVERAGE('Balance Sheet'!F18,'Balance Sheet'!E18)</f>
        <v>1.0930022050388879</v>
      </c>
      <c r="F23" s="396">
        <f>'Income Statement'!F10/AVERAGE('Balance Sheet'!G18,'Balance Sheet'!F18)</f>
        <v>1.0463109883844732</v>
      </c>
      <c r="G23" s="396">
        <f>'Income Statement'!G10/AVERAGE('Balance Sheet'!H18,'Balance Sheet'!G18)</f>
        <v>1.0687711879997732</v>
      </c>
      <c r="H23" s="434">
        <f>'Income Statement'!H10/AVERAGE('Balance Sheet'!I18,'Balance Sheet'!H18)</f>
        <v>1.1797983278343291</v>
      </c>
      <c r="I23" s="434">
        <f>'Income Statement'!I10/AVERAGE('Balance Sheet'!J18,'Balance Sheet'!I18)</f>
        <v>1.0983474118818675</v>
      </c>
      <c r="J23" s="434">
        <f>'Income Statement'!J10/AVERAGE('Balance Sheet'!K18,'Balance Sheet'!J18)</f>
        <v>1.0983474118818672</v>
      </c>
      <c r="K23" s="434">
        <f>'Income Statement'!K10/AVERAGE('Balance Sheet'!L18,'Balance Sheet'!K18)</f>
        <v>1.0983474118818672</v>
      </c>
      <c r="L23" s="434">
        <f>'Income Statement'!L10/AVERAGE('Balance Sheet'!M18,'Balance Sheet'!L18)</f>
        <v>1.0983474118818675</v>
      </c>
      <c r="M23" s="434">
        <f>'Income Statement'!M10/AVERAGE('Balance Sheet'!N18,'Balance Sheet'!M18)</f>
        <v>1.0903191696689696</v>
      </c>
      <c r="N23" s="434">
        <f>'Income Statement'!N10/AVERAGE('Balance Sheet'!O18,'Balance Sheet'!N18)</f>
        <v>1.0835365203207379</v>
      </c>
      <c r="O23" s="434">
        <f>'Income Statement'!O10/AVERAGE('Balance Sheet'!P18,'Balance Sheet'!O18)</f>
        <v>1.077819844201207</v>
      </c>
      <c r="P23" s="434">
        <f>'Income Statement'!P10/AVERAGE('Balance Sheet'!Q18,'Balance Sheet'!P18)</f>
        <v>1.0730112781888046</v>
      </c>
      <c r="Q23" s="434">
        <f>'Income Statement'!Q10/AVERAGE('Balance Sheet'!R18,'Balance Sheet'!Q18)</f>
        <v>1.0689733946557494</v>
      </c>
      <c r="R23" s="339"/>
      <c r="S23" s="348">
        <f>AVERAGE(C23:Q23)</f>
        <v>1.0946784330868988</v>
      </c>
      <c r="T23" s="348">
        <f>MEDIAN(C23:Q23)</f>
        <v>1.0916606873539287</v>
      </c>
      <c r="V23" s="550" t="s">
        <v>425</v>
      </c>
      <c r="W23" s="551"/>
      <c r="X23" s="551"/>
      <c r="Y23" s="551"/>
      <c r="Z23" s="551"/>
      <c r="AA23" s="551"/>
      <c r="AB23" s="551"/>
      <c r="AC23" s="551"/>
      <c r="AD23" s="551"/>
      <c r="AE23" s="551"/>
      <c r="AF23" s="551"/>
      <c r="AG23" s="551"/>
      <c r="AH23" s="551"/>
      <c r="AI23" s="551"/>
      <c r="AJ23" s="552"/>
    </row>
    <row r="24" spans="1:37" ht="54" customHeight="1" x14ac:dyDescent="0.3">
      <c r="B24" s="341" t="s">
        <v>110</v>
      </c>
      <c r="C24" s="396"/>
      <c r="D24" s="396">
        <f>'Income Statement'!D9/AVERAGE('Balance Sheet'!D11,'Balance Sheet'!E11)</f>
        <v>3.7517029928124166</v>
      </c>
      <c r="E24" s="396">
        <f>'Income Statement'!E9/AVERAGE('Balance Sheet'!E11,'Balance Sheet'!F11)</f>
        <v>4.227549109516727</v>
      </c>
      <c r="F24" s="396">
        <f>'Income Statement'!F9/AVERAGE('Balance Sheet'!F11,'Balance Sheet'!G11)</f>
        <v>4.7123895310139101</v>
      </c>
      <c r="G24" s="396">
        <f>'Income Statement'!G9/AVERAGE('Balance Sheet'!G11,'Balance Sheet'!H11)</f>
        <v>5.1985133669430796</v>
      </c>
      <c r="H24" s="434">
        <f>'Income Statement'!H9/AVERAGE('Balance Sheet'!H11,'Balance Sheet'!I11)</f>
        <v>5.8091355137070995</v>
      </c>
      <c r="I24" s="434">
        <f>'Income Statement'!I9/AVERAGE('Balance Sheet'!I11,'Balance Sheet'!J11)</f>
        <v>6.4767753434735189</v>
      </c>
      <c r="J24" s="434">
        <f>'Income Statement'!J9/AVERAGE('Balance Sheet'!J11,'Balance Sheet'!K11)</f>
        <v>7.1975221153912843</v>
      </c>
      <c r="K24" s="434">
        <f>'Income Statement'!K9/AVERAGE('Balance Sheet'!K11,'Balance Sheet'!L11)</f>
        <v>7.9784242093777751</v>
      </c>
      <c r="L24" s="434">
        <f>'Income Statement'!L9/AVERAGE('Balance Sheet'!L11,'Balance Sheet'!M11)</f>
        <v>8.827090084391978</v>
      </c>
      <c r="M24" s="434">
        <f>'Income Statement'!M9/AVERAGE('Balance Sheet'!M11,'Balance Sheet'!N11)</f>
        <v>9.6033327509172697</v>
      </c>
      <c r="N24" s="434">
        <f>'Income Statement'!N9/AVERAGE('Balance Sheet'!N11,'Balance Sheet'!O11)</f>
        <v>10.302025072883744</v>
      </c>
      <c r="O24" s="434">
        <f>'Income Statement'!O9/AVERAGE('Balance Sheet'!O11,'Balance Sheet'!P11)</f>
        <v>10.922517287770939</v>
      </c>
      <c r="P24" s="434">
        <f>'Income Statement'!P9/AVERAGE('Balance Sheet'!P11,'Balance Sheet'!Q11)</f>
        <v>11.475041582385268</v>
      </c>
      <c r="Q24" s="434">
        <f>'Income Statement'!Q9/AVERAGE('Balance Sheet'!Q11,'Balance Sheet'!R11)</f>
        <v>11.963187983317065</v>
      </c>
      <c r="R24" s="339"/>
      <c r="S24" s="348">
        <f>AVERAGE(C24:Q24)</f>
        <v>7.7460862102787207</v>
      </c>
      <c r="T24" s="348">
        <f>MEDIAN(C24:Q24)</f>
        <v>7.5879731623845297</v>
      </c>
      <c r="V24" s="550" t="s">
        <v>426</v>
      </c>
      <c r="W24" s="551"/>
      <c r="X24" s="551"/>
      <c r="Y24" s="551"/>
      <c r="Z24" s="551"/>
      <c r="AA24" s="551"/>
      <c r="AB24" s="551"/>
      <c r="AC24" s="551"/>
      <c r="AD24" s="551"/>
      <c r="AE24" s="551"/>
      <c r="AF24" s="551"/>
      <c r="AG24" s="551"/>
      <c r="AH24" s="551"/>
      <c r="AI24" s="551"/>
      <c r="AJ24" s="552"/>
    </row>
    <row r="25" spans="1:37" ht="55.8" customHeight="1" x14ac:dyDescent="0.3">
      <c r="B25" s="341" t="s">
        <v>326</v>
      </c>
      <c r="C25" s="396"/>
      <c r="D25" s="396">
        <f>'Income Statement'!D9/AVERAGE(('Balance Sheet'!E32+'Balance Sheet'!E33),('Balance Sheet'!D32+'Balance Sheet'!D33))</f>
        <v>0.81830958782310481</v>
      </c>
      <c r="E25" s="396">
        <f>'Income Statement'!E9/AVERAGE(('Balance Sheet'!F32+'Balance Sheet'!F33),('Balance Sheet'!E32+'Balance Sheet'!E33))</f>
        <v>0.84390182930698632</v>
      </c>
      <c r="F25" s="396">
        <f>'Income Statement'!F9/AVERAGE(('Balance Sheet'!G32+'Balance Sheet'!G33),('Balance Sheet'!F32+'Balance Sheet'!F33))</f>
        <v>0.81056304112253386</v>
      </c>
      <c r="G25" s="396">
        <f>'Income Statement'!G9/AVERAGE(('Balance Sheet'!H32+'Balance Sheet'!H33),('Balance Sheet'!G32+'Balance Sheet'!G33))</f>
        <v>0.77386803539498938</v>
      </c>
      <c r="H25" s="434">
        <f>'Income Statement'!H9/AVERAGE(('Balance Sheet'!I32+'Balance Sheet'!I33),('Balance Sheet'!H32+'Balance Sheet'!H33))</f>
        <v>0.76087329618690702</v>
      </c>
      <c r="I25" s="434">
        <f>'Income Statement'!I9/AVERAGE(('Balance Sheet'!J32+'Balance Sheet'!J33),('Balance Sheet'!I32+'Balance Sheet'!I33))</f>
        <v>0.75676377833916142</v>
      </c>
      <c r="J25" s="434">
        <f>'Income Statement'!J9/AVERAGE(('Balance Sheet'!K32+'Balance Sheet'!K33),('Balance Sheet'!J32+'Balance Sheet'!J33))</f>
        <v>0.75187041257977383</v>
      </c>
      <c r="K25" s="434">
        <f>'Income Statement'!K9/AVERAGE(('Balance Sheet'!L32+'Balance Sheet'!L33),('Balance Sheet'!K32+'Balance Sheet'!K33))</f>
        <v>0.74644906683466894</v>
      </c>
      <c r="L25" s="434">
        <f>'Income Statement'!L9/AVERAGE(('Balance Sheet'!M32+'Balance Sheet'!M33),('Balance Sheet'!L32+'Balance Sheet'!L33))</f>
        <v>0.74071694321541293</v>
      </c>
      <c r="M25" s="434">
        <f>'Income Statement'!M9/AVERAGE(('Balance Sheet'!N32+'Balance Sheet'!N33),('Balance Sheet'!M32+'Balance Sheet'!M33))</f>
        <v>0.72426500306964581</v>
      </c>
      <c r="N25" s="434">
        <f>'Income Statement'!N9/AVERAGE(('Balance Sheet'!O32+'Balance Sheet'!O33),('Balance Sheet'!N32+'Balance Sheet'!N33))</f>
        <v>0.70056885515292977</v>
      </c>
      <c r="O25" s="434">
        <f>'Income Statement'!O9/AVERAGE(('Balance Sheet'!P32+'Balance Sheet'!P33),('Balance Sheet'!O32+'Balance Sheet'!O33))</f>
        <v>0.67242903223515404</v>
      </c>
      <c r="P25" s="434">
        <f>'Income Statement'!P9/AVERAGE(('Balance Sheet'!Q32+'Balance Sheet'!Q33),('Balance Sheet'!P32+'Balance Sheet'!P33))</f>
        <v>0.64199142086621097</v>
      </c>
      <c r="Q25" s="434">
        <f>'Income Statement'!Q9/AVERAGE(('Balance Sheet'!R32+'Balance Sheet'!R33),('Balance Sheet'!Q32+'Balance Sheet'!Q33))</f>
        <v>0.61077145608926742</v>
      </c>
      <c r="R25" s="339"/>
      <c r="S25" s="348">
        <f>AVERAGE(C25:Q25)</f>
        <v>0.73952441130119617</v>
      </c>
      <c r="T25" s="348">
        <f>MEDIAN(C25:Q25)</f>
        <v>0.74915973970722138</v>
      </c>
      <c r="V25" s="550" t="s">
        <v>427</v>
      </c>
      <c r="W25" s="551"/>
      <c r="X25" s="551"/>
      <c r="Y25" s="551"/>
      <c r="Z25" s="551"/>
      <c r="AA25" s="551"/>
      <c r="AB25" s="551"/>
      <c r="AC25" s="551"/>
      <c r="AD25" s="551"/>
      <c r="AE25" s="551"/>
      <c r="AF25" s="551"/>
      <c r="AG25" s="551"/>
      <c r="AH25" s="551"/>
      <c r="AI25" s="551"/>
      <c r="AJ25" s="552"/>
    </row>
    <row r="26" spans="1:37" ht="15.6" customHeight="1" x14ac:dyDescent="0.3">
      <c r="A26" s="142"/>
      <c r="R26" s="142"/>
      <c r="S26" s="142"/>
    </row>
    <row r="27" spans="1:37" x14ac:dyDescent="0.3">
      <c r="B27" s="544" t="s">
        <v>330</v>
      </c>
      <c r="C27" s="544"/>
      <c r="D27" s="544"/>
      <c r="E27" s="544"/>
      <c r="F27" s="544"/>
      <c r="G27" s="544"/>
      <c r="H27" s="544"/>
      <c r="I27" s="544"/>
      <c r="J27" s="544"/>
      <c r="K27" s="544"/>
      <c r="L27" s="544"/>
      <c r="M27" s="544"/>
      <c r="N27" s="544"/>
      <c r="O27" s="544"/>
      <c r="P27" s="544"/>
      <c r="Q27" s="544"/>
      <c r="R27" s="349"/>
      <c r="S27" s="40"/>
      <c r="T27" s="40"/>
    </row>
    <row r="28" spans="1:37" ht="57.6" customHeight="1" x14ac:dyDescent="0.3">
      <c r="B28" s="143" t="s">
        <v>331</v>
      </c>
      <c r="C28" s="396">
        <f>'Balance Sheet'!D26/'Balance Sheet'!D52</f>
        <v>1.8854686995800098</v>
      </c>
      <c r="D28" s="396">
        <f>'Balance Sheet'!E26/'Balance Sheet'!E52</f>
        <v>2.0356895564386028</v>
      </c>
      <c r="E28" s="396">
        <f>'Balance Sheet'!F26/'Balance Sheet'!F52</f>
        <v>2.0024705647134233</v>
      </c>
      <c r="F28" s="396">
        <f>'Balance Sheet'!G26/'Balance Sheet'!G52</f>
        <v>2.5573303218307828</v>
      </c>
      <c r="G28" s="396">
        <f>'Balance Sheet'!H26/'Balance Sheet'!H52</f>
        <v>2.8907031412740647</v>
      </c>
      <c r="H28" s="345">
        <f>'Balance Sheet'!I26/'Balance Sheet'!I52</f>
        <v>3.2187778422071167</v>
      </c>
      <c r="I28" s="345">
        <f>'Balance Sheet'!J26/'Balance Sheet'!J52</f>
        <v>3.5781200294541931</v>
      </c>
      <c r="J28" s="345">
        <f>'Balance Sheet'!K26/'Balance Sheet'!K52</f>
        <v>3.9498828901261289</v>
      </c>
      <c r="K28" s="345">
        <f>'Balance Sheet'!L26/'Balance Sheet'!L52</f>
        <v>4.3332164656656218</v>
      </c>
      <c r="L28" s="345">
        <f>'Balance Sheet'!M26/'Balance Sheet'!M52</f>
        <v>4.7257780469987374</v>
      </c>
      <c r="M28" s="345">
        <f>'Balance Sheet'!N26/'Balance Sheet'!N52</f>
        <v>5.1475806582940429</v>
      </c>
      <c r="N28" s="345">
        <f>'Balance Sheet'!O26/'Balance Sheet'!O52</f>
        <v>5.595203640588637</v>
      </c>
      <c r="O28" s="345">
        <f>'Balance Sheet'!P26/'Balance Sheet'!P52</f>
        <v>6.0674035837243423</v>
      </c>
      <c r="P28" s="345">
        <f>'Balance Sheet'!Q26/'Balance Sheet'!Q52</f>
        <v>6.5612856384835601</v>
      </c>
      <c r="Q28" s="345">
        <f>'Balance Sheet'!R26/'Balance Sheet'!R52</f>
        <v>7.0757838092410843</v>
      </c>
      <c r="R28" s="143"/>
      <c r="S28" s="348">
        <f>AVERAGE(C28:Q28)</f>
        <v>4.1083129925746906</v>
      </c>
      <c r="T28" s="348">
        <f>MEDIAN(C28:Q28)</f>
        <v>3.9498828901261289</v>
      </c>
      <c r="V28" s="556" t="s">
        <v>428</v>
      </c>
      <c r="W28" s="557"/>
      <c r="X28" s="557"/>
      <c r="Y28" s="557"/>
      <c r="Z28" s="557"/>
      <c r="AA28" s="557"/>
      <c r="AB28" s="557"/>
      <c r="AC28" s="557"/>
      <c r="AD28" s="557"/>
      <c r="AE28" s="557"/>
      <c r="AF28" s="557"/>
      <c r="AG28" s="557"/>
      <c r="AH28" s="557"/>
      <c r="AI28" s="557"/>
      <c r="AJ28" s="558"/>
    </row>
    <row r="29" spans="1:37" ht="60" customHeight="1" x14ac:dyDescent="0.3">
      <c r="B29" s="143" t="s">
        <v>332</v>
      </c>
      <c r="C29" s="396">
        <f>('Balance Sheet'!D26-'Balance Sheet'!D18)/'Balance Sheet'!D52</f>
        <v>1.3282268948316043</v>
      </c>
      <c r="D29" s="396">
        <f>('Balance Sheet'!E26-'Balance Sheet'!E18)/'Balance Sheet'!E52</f>
        <v>1.5126359331533008</v>
      </c>
      <c r="E29" s="396">
        <f>('Balance Sheet'!F26-'Balance Sheet'!F18)/'Balance Sheet'!F52</f>
        <v>1.4743459132197816</v>
      </c>
      <c r="F29" s="396">
        <f>('Balance Sheet'!G26-'Balance Sheet'!G18)/'Balance Sheet'!G52</f>
        <v>1.9762879502018689</v>
      </c>
      <c r="G29" s="396">
        <f>('Balance Sheet'!H26-'Balance Sheet'!H18)/'Balance Sheet'!H52</f>
        <v>2.3277037035408519</v>
      </c>
      <c r="H29" s="345">
        <f>('Balance Sheet'!I26-'Balance Sheet'!I18)/'Balance Sheet'!I52</f>
        <v>2.5250676280300319</v>
      </c>
      <c r="I29" s="345">
        <f>('Balance Sheet'!J26-'Balance Sheet'!J18)/'Balance Sheet'!J52</f>
        <v>2.84210881173659</v>
      </c>
      <c r="J29" s="345">
        <f>('Balance Sheet'!K26-'Balance Sheet'!K18)/'Balance Sheet'!K52</f>
        <v>3.1706767958817377</v>
      </c>
      <c r="K29" s="345">
        <f>('Balance Sheet'!L26-'Balance Sheet'!L18)/'Balance Sheet'!L52</f>
        <v>3.5100947345048907</v>
      </c>
      <c r="L29" s="345">
        <f>('Balance Sheet'!M26-'Balance Sheet'!M18)/'Balance Sheet'!M52</f>
        <v>3.8582054757529609</v>
      </c>
      <c r="M29" s="345">
        <f>('Balance Sheet'!N26-'Balance Sheet'!N18)/'Balance Sheet'!N52</f>
        <v>4.2424428479758483</v>
      </c>
      <c r="N29" s="345">
        <f>('Balance Sheet'!O26-'Balance Sheet'!O18)/'Balance Sheet'!O52</f>
        <v>4.6584888863623801</v>
      </c>
      <c r="O29" s="345">
        <f>('Balance Sheet'!P26-'Balance Sheet'!P18)/'Balance Sheet'!P52</f>
        <v>5.1042417543816985</v>
      </c>
      <c r="P29" s="345">
        <f>('Balance Sheet'!Q26-'Balance Sheet'!Q18)/'Balance Sheet'!Q52</f>
        <v>5.5760269799694111</v>
      </c>
      <c r="Q29" s="345">
        <f>('Balance Sheet'!R26-'Balance Sheet'!R18)/'Balance Sheet'!R52</f>
        <v>6.0720925300552739</v>
      </c>
      <c r="R29" s="143"/>
      <c r="S29" s="348">
        <f>AVERAGE(C29:Q29)</f>
        <v>3.3452431226398818</v>
      </c>
      <c r="T29" s="348">
        <f>MEDIAN(C29:Q29)</f>
        <v>3.1706767958817377</v>
      </c>
      <c r="V29" s="556" t="s">
        <v>429</v>
      </c>
      <c r="W29" s="557"/>
      <c r="X29" s="557"/>
      <c r="Y29" s="557"/>
      <c r="Z29" s="557"/>
      <c r="AA29" s="557"/>
      <c r="AB29" s="557"/>
      <c r="AC29" s="557"/>
      <c r="AD29" s="557"/>
      <c r="AE29" s="557"/>
      <c r="AF29" s="557"/>
      <c r="AG29" s="557"/>
      <c r="AH29" s="557"/>
      <c r="AI29" s="557"/>
      <c r="AJ29" s="558"/>
    </row>
    <row r="30" spans="1:37" ht="46.8" customHeight="1" x14ac:dyDescent="0.3">
      <c r="B30" s="143" t="s">
        <v>333</v>
      </c>
      <c r="C30" s="396">
        <f>('Balance Sheet'!D21+'Balance Sheet'!D22)/'Balance Sheet'!D52</f>
        <v>0.39921080812579013</v>
      </c>
      <c r="D30" s="396">
        <f>('Balance Sheet'!E21+'Balance Sheet'!E22)/'Balance Sheet'!E52</f>
        <v>0.2926272706396017</v>
      </c>
      <c r="E30" s="396">
        <f>('Balance Sheet'!F21+'Balance Sheet'!F22)/'Balance Sheet'!F52</f>
        <v>0.28987138796707385</v>
      </c>
      <c r="F30" s="396">
        <f>('Balance Sheet'!G21+'Balance Sheet'!G22)/'Balance Sheet'!G52</f>
        <v>0.61945492667411295</v>
      </c>
      <c r="G30" s="396">
        <f>('Balance Sheet'!H21+'Balance Sheet'!H22)/'Balance Sheet'!H52</f>
        <v>0.62281462069526516</v>
      </c>
      <c r="H30" s="345">
        <f>('Balance Sheet'!I21+'Balance Sheet'!I22)/'Balance Sheet'!I52</f>
        <v>0.79634517175830766</v>
      </c>
      <c r="I30" s="345">
        <f>('Balance Sheet'!J21+'Balance Sheet'!J22)/'Balance Sheet'!J52</f>
        <v>1.0992270793811769</v>
      </c>
      <c r="J30" s="345">
        <f>('Balance Sheet'!K21+'Balance Sheet'!K22)/'Balance Sheet'!K52</f>
        <v>1.4133365842716235</v>
      </c>
      <c r="K30" s="345">
        <f>('Balance Sheet'!L21+'Balance Sheet'!L22)/'Balance Sheet'!L52</f>
        <v>1.7380547858804078</v>
      </c>
      <c r="L30" s="345">
        <f>('Balance Sheet'!M21+'Balance Sheet'!M22)/'Balance Sheet'!M52</f>
        <v>2.0712866433139796</v>
      </c>
      <c r="M30" s="345">
        <f>('Balance Sheet'!N21+'Balance Sheet'!N22)/'Balance Sheet'!N52</f>
        <v>2.4429499263508583</v>
      </c>
      <c r="N30" s="345">
        <f>('Balance Sheet'!O21+'Balance Sheet'!O22)/'Balance Sheet'!O52</f>
        <v>2.8484263179382272</v>
      </c>
      <c r="O30" s="345">
        <f>('Balance Sheet'!P21+'Balance Sheet'!P22)/'Balance Sheet'!P52</f>
        <v>3.2853266433028461</v>
      </c>
      <c r="P30" s="345">
        <f>('Balance Sheet'!Q21+'Balance Sheet'!Q22)/'Balance Sheet'!Q52</f>
        <v>3.7497154697835327</v>
      </c>
      <c r="Q30" s="345">
        <f>('Balance Sheet'!R21+'Balance Sheet'!R22)/'Balance Sheet'!R52</f>
        <v>4.2396111292476295</v>
      </c>
      <c r="R30" s="143"/>
      <c r="S30" s="348">
        <f>AVERAGE(C30:Q30)</f>
        <v>1.7272172510220287</v>
      </c>
      <c r="T30" s="348">
        <f>MEDIAN(C30:Q30)</f>
        <v>1.4133365842716235</v>
      </c>
      <c r="V30" s="556" t="s">
        <v>430</v>
      </c>
      <c r="W30" s="557"/>
      <c r="X30" s="557"/>
      <c r="Y30" s="557"/>
      <c r="Z30" s="557"/>
      <c r="AA30" s="557"/>
      <c r="AB30" s="557"/>
      <c r="AC30" s="557"/>
      <c r="AD30" s="557"/>
      <c r="AE30" s="557"/>
      <c r="AF30" s="557"/>
      <c r="AG30" s="557"/>
      <c r="AH30" s="557"/>
      <c r="AI30" s="557"/>
      <c r="AJ30" s="558"/>
    </row>
    <row r="31" spans="1:37" ht="41.4" customHeight="1" x14ac:dyDescent="0.3">
      <c r="B31" s="143" t="s">
        <v>334</v>
      </c>
      <c r="C31" s="396">
        <f>'Balance Sheet'!D38/('Balance Sheet'!D32+'Balance Sheet'!D33)</f>
        <v>1.4090848631958742E-2</v>
      </c>
      <c r="D31" s="396">
        <f>'Balance Sheet'!E38/('Balance Sheet'!E32+'Balance Sheet'!E33)</f>
        <v>4.7888805991599462E-3</v>
      </c>
      <c r="E31" s="396">
        <f>'Balance Sheet'!F38/('Balance Sheet'!F32+'Balance Sheet'!F33)</f>
        <v>0</v>
      </c>
      <c r="F31" s="396">
        <f>'Balance Sheet'!G38/('Balance Sheet'!G32+'Balance Sheet'!G33)</f>
        <v>2.0890025013056267E-5</v>
      </c>
      <c r="G31" s="396">
        <f>'Balance Sheet'!H38/('Balance Sheet'!H32+'Balance Sheet'!H33)</f>
        <v>3.4894338005943664E-5</v>
      </c>
      <c r="H31" s="345">
        <f>'Balance Sheet'!I38/('Balance Sheet'!I32+'Balance Sheet'!I33)</f>
        <v>3.1575766767449015E-5</v>
      </c>
      <c r="I31" s="345">
        <f>'Balance Sheet'!J38/('Balance Sheet'!J32+'Balance Sheet'!J33)</f>
        <v>2.8529784897646539E-5</v>
      </c>
      <c r="J31" s="345">
        <f>'Balance Sheet'!K38/('Balance Sheet'!K32+'Balance Sheet'!K33)</f>
        <v>2.5760175296175728E-5</v>
      </c>
      <c r="K31" s="345">
        <f>'Balance Sheet'!L38/('Balance Sheet'!L32+'Balance Sheet'!L33)</f>
        <v>2.3240507264247288E-5</v>
      </c>
      <c r="L31" s="345">
        <f>'Balance Sheet'!M38/('Balance Sheet'!M32+'Balance Sheet'!M33)</f>
        <v>2.0963862426139315E-5</v>
      </c>
      <c r="M31" s="345">
        <f>'Balance Sheet'!N38/('Balance Sheet'!N32+'Balance Sheet'!N33)</f>
        <v>1.8934346846201732E-5</v>
      </c>
      <c r="N31" s="345">
        <f>'Balance Sheet'!O38/('Balance Sheet'!O32+'Balance Sheet'!O33)</f>
        <v>1.7151813525048524E-5</v>
      </c>
      <c r="O31" s="345">
        <f>'Balance Sheet'!P38/('Balance Sheet'!P32+'Balance Sheet'!P33)</f>
        <v>1.559004480712058E-5</v>
      </c>
      <c r="P31" s="345">
        <f>'Balance Sheet'!Q38/('Balance Sheet'!Q32+'Balance Sheet'!Q33)</f>
        <v>1.4231131285624948E-5</v>
      </c>
      <c r="Q31" s="345">
        <f>'Balance Sheet'!R38/('Balance Sheet'!R32+'Balance Sheet'!R33)</f>
        <v>1.3044009283074366E-5</v>
      </c>
      <c r="R31" s="143"/>
      <c r="S31" s="348">
        <f>AVERAGE(C31:Q31)</f>
        <v>1.2763023357690946E-3</v>
      </c>
      <c r="T31" s="348">
        <f>MEDIAN(C31:Q31)</f>
        <v>2.0963862426139315E-5</v>
      </c>
      <c r="V31" s="556" t="s">
        <v>412</v>
      </c>
      <c r="W31" s="557"/>
      <c r="X31" s="557"/>
      <c r="Y31" s="557"/>
      <c r="Z31" s="557"/>
      <c r="AA31" s="557"/>
      <c r="AB31" s="557"/>
      <c r="AC31" s="557"/>
      <c r="AD31" s="557"/>
      <c r="AE31" s="557"/>
      <c r="AF31" s="557"/>
      <c r="AG31" s="557"/>
      <c r="AH31" s="557"/>
      <c r="AI31" s="557"/>
      <c r="AJ31" s="558"/>
    </row>
    <row r="32" spans="1:37" ht="43.8" customHeight="1" x14ac:dyDescent="0.3">
      <c r="B32" s="143" t="s">
        <v>322</v>
      </c>
      <c r="C32" s="396">
        <f>'Income Statement'!C16/'Income Statement'!C17</f>
        <v>45.165594286926428</v>
      </c>
      <c r="D32" s="396">
        <f>'Income Statement'!D16/'Income Statement'!D17</f>
        <v>63.604397330192391</v>
      </c>
      <c r="E32" s="396">
        <f>'Income Statement'!E16/'Income Statement'!E17</f>
        <v>53.741046511627921</v>
      </c>
      <c r="F32" s="396">
        <f>'Income Statement'!F16/'Income Statement'!F17</f>
        <v>43.738667337610629</v>
      </c>
      <c r="G32" s="396">
        <f>'Income Statement'!G16/'Income Statement'!G17</f>
        <v>54.074904910096841</v>
      </c>
      <c r="H32" s="345">
        <f>'Income Statement'!H16/'Income Statement'!H17</f>
        <v>85.180370986415838</v>
      </c>
      <c r="I32" s="345">
        <f>'Income Statement'!I16/'Income Statement'!I17</f>
        <v>95.651503371237794</v>
      </c>
      <c r="J32" s="345">
        <f>'Income Statement'!J16/'Income Statement'!J17</f>
        <v>106.89032945700076</v>
      </c>
      <c r="K32" s="345">
        <f>'Income Statement'!K16/'Income Statement'!K17</f>
        <v>119.39284018932008</v>
      </c>
      <c r="L32" s="345">
        <f>'Income Statement'!L16/'Income Statement'!L17</f>
        <v>132.9057816075763</v>
      </c>
      <c r="M32" s="345">
        <f>'Income Statement'!M16/'Income Statement'!M17</f>
        <v>145.43531907105429</v>
      </c>
      <c r="N32" s="345">
        <f>'Income Statement'!N16/'Income Statement'!N17</f>
        <v>156.53504360140653</v>
      </c>
      <c r="O32" s="345">
        <f>'Income Statement'!O16/'Income Statement'!O17</f>
        <v>166.57615998124743</v>
      </c>
      <c r="P32" s="345">
        <f>'Income Statement'!P16/'Income Statement'!P17</f>
        <v>175.14172841336517</v>
      </c>
      <c r="Q32" s="345">
        <f>'Income Statement'!Q16/'Income Statement'!Q17</f>
        <v>182.87124380321521</v>
      </c>
      <c r="R32" s="143"/>
      <c r="S32" s="348">
        <f>AVERAGE(C32:Q32)</f>
        <v>108.46032872388625</v>
      </c>
      <c r="T32" s="348">
        <f>MEDIAN(C32:Q32)</f>
        <v>106.89032945700076</v>
      </c>
      <c r="V32" s="556" t="s">
        <v>431</v>
      </c>
      <c r="W32" s="557"/>
      <c r="X32" s="557"/>
      <c r="Y32" s="557"/>
      <c r="Z32" s="557"/>
      <c r="AA32" s="557"/>
      <c r="AB32" s="557"/>
      <c r="AC32" s="557"/>
      <c r="AD32" s="557"/>
      <c r="AE32" s="557"/>
      <c r="AF32" s="557"/>
      <c r="AG32" s="557"/>
      <c r="AH32" s="557"/>
      <c r="AI32" s="557"/>
      <c r="AJ32" s="558"/>
    </row>
    <row r="33" spans="1:11" ht="13.8" customHeight="1" x14ac:dyDescent="0.3"/>
    <row r="34" spans="1:11" x14ac:dyDescent="0.3">
      <c r="K34" t="s">
        <v>76</v>
      </c>
    </row>
    <row r="37" spans="1:11" x14ac:dyDescent="0.3">
      <c r="A37" s="142"/>
    </row>
    <row r="40" spans="1:11" ht="18.600000000000001" customHeight="1" x14ac:dyDescent="0.3"/>
    <row r="41" spans="1:11" ht="16.2" customHeight="1" x14ac:dyDescent="0.3"/>
    <row r="42" spans="1:11" ht="13.8" customHeight="1" x14ac:dyDescent="0.3"/>
    <row r="49" ht="13.8" customHeight="1" x14ac:dyDescent="0.3"/>
  </sheetData>
  <mergeCells count="30">
    <mergeCell ref="V31:AJ31"/>
    <mergeCell ref="V32:AJ32"/>
    <mergeCell ref="V7:AJ8"/>
    <mergeCell ref="V28:AJ28"/>
    <mergeCell ref="V29:AJ29"/>
    <mergeCell ref="V30:AJ30"/>
    <mergeCell ref="V21:AJ21"/>
    <mergeCell ref="V22:AJ22"/>
    <mergeCell ref="V23:AJ23"/>
    <mergeCell ref="V25:AJ25"/>
    <mergeCell ref="V16:AJ16"/>
    <mergeCell ref="V17:AJ17"/>
    <mergeCell ref="V18:AJ18"/>
    <mergeCell ref="V19:AJ19"/>
    <mergeCell ref="V20:AJ20"/>
    <mergeCell ref="V12:AJ12"/>
    <mergeCell ref="V13:AJ13"/>
    <mergeCell ref="V14:AJ14"/>
    <mergeCell ref="V15:AJ15"/>
    <mergeCell ref="V24:AJ24"/>
    <mergeCell ref="V11:AJ11"/>
    <mergeCell ref="B27:Q27"/>
    <mergeCell ref="B10:Q10"/>
    <mergeCell ref="B20:Q20"/>
    <mergeCell ref="T7:T8"/>
    <mergeCell ref="C7:G7"/>
    <mergeCell ref="H7:Q7"/>
    <mergeCell ref="B7:B8"/>
    <mergeCell ref="R7:R8"/>
    <mergeCell ref="S7:S8"/>
  </mergeCells>
  <pageMargins left="0.7" right="0.7" top="0.75" bottom="0.75" header="0.3" footer="0.3"/>
  <pageSetup orientation="portrait" r:id="rId1"/>
  <drawing r:id="rId2"/>
  <extLst>
    <ext xmlns:x14="http://schemas.microsoft.com/office/spreadsheetml/2009/9/main" uri="{05C60535-1F16-4fd2-B633-F4F36F0B64E0}">
      <x14:sparklineGroups xmlns:xm="http://schemas.microsoft.com/office/excel/2006/main">
        <x14:sparklineGroup displayEmptyCellsAs="gap" markers="1">
          <x14:colorSeries rgb="FFFFC000"/>
          <x14:colorNegative rgb="FFD00000"/>
          <x14:colorAxis rgb="FF000000"/>
          <x14:colorMarkers theme="7" tint="-0.249977111117893"/>
          <x14:colorFirst rgb="FFD00000"/>
          <x14:colorLast rgb="FFD00000"/>
          <x14:colorHigh rgb="FFD00000"/>
          <x14:colorLow rgb="FFD00000"/>
          <x14:sparklines>
            <x14:sparkline>
              <xm:f>'Ratio Analysis'!C11:Q11</xm:f>
              <xm:sqref>R11</xm:sqref>
            </x14:sparkline>
            <x14:sparkline>
              <xm:f>'Ratio Analysis'!C12:Q12</xm:f>
              <xm:sqref>R12</xm:sqref>
            </x14:sparkline>
            <x14:sparkline>
              <xm:f>'Ratio Analysis'!C13:Q13</xm:f>
              <xm:sqref>R13</xm:sqref>
            </x14:sparkline>
            <x14:sparkline>
              <xm:f>'Ratio Analysis'!C14:Q14</xm:f>
              <xm:sqref>R14</xm:sqref>
            </x14:sparkline>
            <x14:sparkline>
              <xm:f>'Ratio Analysis'!C15:Q15</xm:f>
              <xm:sqref>R15</xm:sqref>
            </x14:sparkline>
            <x14:sparkline>
              <xm:f>'Ratio Analysis'!C16:Q16</xm:f>
              <xm:sqref>R16</xm:sqref>
            </x14:sparkline>
            <x14:sparkline>
              <xm:f>'Ratio Analysis'!C17:Q17</xm:f>
              <xm:sqref>R17</xm:sqref>
            </x14:sparkline>
            <x14:sparkline>
              <xm:f>'Ratio Analysis'!C18:Q18</xm:f>
              <xm:sqref>R18</xm:sqref>
            </x14:sparkline>
            <x14:sparkline>
              <xm:f>'Ratio Analysis'!C19:Q19</xm:f>
              <xm:sqref>R19</xm:sqref>
            </x14:sparkline>
            <x14:sparkline>
              <xm:f>'Ratio Analysis'!C21:Q21</xm:f>
              <xm:sqref>R21</xm:sqref>
            </x14:sparkline>
            <x14:sparkline>
              <xm:f>'Ratio Analysis'!C22:Q22</xm:f>
              <xm:sqref>R22</xm:sqref>
            </x14:sparkline>
            <x14:sparkline>
              <xm:f>'Ratio Analysis'!C23:Q23</xm:f>
              <xm:sqref>R23</xm:sqref>
            </x14:sparkline>
            <x14:sparkline>
              <xm:f>'Ratio Analysis'!C24:Q24</xm:f>
              <xm:sqref>R24</xm:sqref>
            </x14:sparkline>
            <x14:sparkline>
              <xm:f>'Ratio Analysis'!C25:Q25</xm:f>
              <xm:sqref>R25</xm:sqref>
            </x14:sparkline>
            <x14:sparkline>
              <xm:f>'Ratio Analysis'!C26:Q26</xm:f>
              <xm:sqref>R26</xm:sqref>
            </x14:sparkline>
            <x14:sparkline>
              <xm:f>'Ratio Analysis'!C28:Q28</xm:f>
              <xm:sqref>R28</xm:sqref>
            </x14:sparkline>
            <x14:sparkline>
              <xm:f>'Ratio Analysis'!C29:Q29</xm:f>
              <xm:sqref>R29</xm:sqref>
            </x14:sparkline>
            <x14:sparkline>
              <xm:f>'Ratio Analysis'!C30:Q30</xm:f>
              <xm:sqref>R30</xm:sqref>
            </x14:sparkline>
            <x14:sparkline>
              <xm:f>'Ratio Analysis'!C31:Q31</xm:f>
              <xm:sqref>R31</xm:sqref>
            </x14:sparkline>
            <x14:sparkline>
              <xm:f>'Ratio Analysis'!C32:Q32</xm:f>
              <xm:sqref>R32</xm:sqref>
            </x14:sparkline>
          </x14:sparklines>
        </x14:sparklineGroup>
      </x14:sparklineGroup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BEED9"/>
  </sheetPr>
  <dimension ref="A1:N28"/>
  <sheetViews>
    <sheetView showGridLines="0" topLeftCell="A5" workbookViewId="0">
      <selection activeCell="I23" sqref="I23"/>
    </sheetView>
  </sheetViews>
  <sheetFormatPr defaultRowHeight="14.4" x14ac:dyDescent="0.3"/>
  <cols>
    <col min="1" max="1" width="1.88671875" customWidth="1"/>
    <col min="8" max="9" width="10.44140625" bestFit="1" customWidth="1"/>
    <col min="10" max="10" width="15.21875" bestFit="1" customWidth="1"/>
    <col min="11" max="11" width="10.77734375" bestFit="1" customWidth="1"/>
    <col min="14" max="14" width="2.6640625" customWidth="1"/>
    <col min="15" max="15" width="8.88671875" style="255"/>
    <col min="16" max="16" width="7.109375" style="255" customWidth="1"/>
    <col min="17" max="16384" width="8.88671875" style="255"/>
  </cols>
  <sheetData>
    <row r="1" spans="1:14" x14ac:dyDescent="0.3">
      <c r="A1" s="142"/>
      <c r="B1" s="40"/>
      <c r="C1" s="40"/>
      <c r="D1" s="40"/>
      <c r="E1" s="40"/>
      <c r="F1" s="40"/>
      <c r="G1" s="40"/>
      <c r="H1" s="40"/>
      <c r="I1" s="40"/>
      <c r="J1" s="40"/>
      <c r="K1" s="40"/>
      <c r="L1" s="40"/>
      <c r="M1" s="40"/>
      <c r="N1" s="142"/>
    </row>
    <row r="2" spans="1:14" x14ac:dyDescent="0.3">
      <c r="A2" s="142"/>
      <c r="B2" s="40"/>
      <c r="C2" s="40"/>
      <c r="D2" s="40"/>
      <c r="E2" s="40"/>
      <c r="F2" s="40"/>
      <c r="G2" s="40"/>
      <c r="H2" s="40"/>
      <c r="I2" s="40"/>
      <c r="J2" s="40"/>
      <c r="K2" s="40"/>
      <c r="L2" s="40"/>
      <c r="M2" s="40"/>
      <c r="N2" s="142"/>
    </row>
    <row r="3" spans="1:14" x14ac:dyDescent="0.3">
      <c r="A3" s="142"/>
      <c r="B3" s="40"/>
      <c r="C3" s="40"/>
      <c r="D3" s="40"/>
      <c r="E3" s="40"/>
      <c r="F3" s="40"/>
      <c r="G3" s="40"/>
      <c r="H3" s="40"/>
      <c r="I3" s="40"/>
      <c r="J3" s="40"/>
      <c r="K3" s="40"/>
      <c r="L3" s="40"/>
      <c r="M3" s="40"/>
      <c r="N3" s="142"/>
    </row>
    <row r="4" spans="1:14" x14ac:dyDescent="0.3">
      <c r="A4" s="142"/>
      <c r="B4" s="40"/>
      <c r="C4" s="40"/>
      <c r="D4" s="40"/>
      <c r="E4" s="40"/>
      <c r="F4" s="40"/>
      <c r="G4" s="40"/>
      <c r="H4" s="40"/>
      <c r="I4" s="40"/>
      <c r="J4" s="40"/>
      <c r="K4" s="40"/>
      <c r="L4" s="40"/>
      <c r="M4" s="40"/>
      <c r="N4" s="142"/>
    </row>
    <row r="5" spans="1:14" x14ac:dyDescent="0.3">
      <c r="A5" s="142"/>
      <c r="B5" s="40"/>
      <c r="C5" s="40"/>
      <c r="D5" s="40"/>
      <c r="E5" s="40"/>
      <c r="F5" s="40"/>
      <c r="G5" s="40"/>
      <c r="H5" s="40"/>
      <c r="I5" s="40"/>
      <c r="J5" s="40"/>
      <c r="K5" s="40"/>
      <c r="L5" s="40"/>
      <c r="M5" s="40"/>
      <c r="N5" s="142"/>
    </row>
    <row r="7" spans="1:14" ht="15.6" x14ac:dyDescent="0.3">
      <c r="B7" s="319" t="s">
        <v>302</v>
      </c>
      <c r="C7" s="320"/>
      <c r="D7" s="320"/>
      <c r="E7" s="320"/>
      <c r="F7" s="64"/>
      <c r="G7" s="64"/>
      <c r="H7" s="64"/>
      <c r="I7" s="64"/>
      <c r="J7" s="64"/>
      <c r="K7" s="64"/>
      <c r="L7" s="64"/>
      <c r="M7" s="64"/>
    </row>
    <row r="8" spans="1:14" ht="15.6" x14ac:dyDescent="0.3">
      <c r="B8" s="300"/>
      <c r="C8" s="300"/>
      <c r="D8" s="300"/>
      <c r="E8" s="300"/>
      <c r="F8" s="301"/>
      <c r="G8" s="301"/>
      <c r="H8" s="302"/>
      <c r="I8" s="302"/>
      <c r="J8" s="302"/>
      <c r="K8" s="302" t="s">
        <v>303</v>
      </c>
      <c r="L8" s="301"/>
      <c r="M8" s="301"/>
    </row>
    <row r="9" spans="1:14" ht="15.6" x14ac:dyDescent="0.3">
      <c r="B9" s="300"/>
      <c r="C9" s="300"/>
      <c r="D9" s="300"/>
      <c r="E9" s="300"/>
      <c r="F9" s="301"/>
      <c r="G9" s="301"/>
      <c r="H9" s="302" t="s">
        <v>304</v>
      </c>
      <c r="I9" s="302" t="s">
        <v>305</v>
      </c>
      <c r="J9" s="302" t="s">
        <v>306</v>
      </c>
      <c r="K9" s="302" t="s">
        <v>311</v>
      </c>
      <c r="L9" s="301"/>
      <c r="M9" s="301"/>
    </row>
    <row r="10" spans="1:14" ht="15.6" x14ac:dyDescent="0.3">
      <c r="B10" s="300"/>
      <c r="C10" s="300"/>
      <c r="D10" s="300"/>
      <c r="E10" s="300" t="s">
        <v>307</v>
      </c>
      <c r="F10" s="301"/>
      <c r="G10" s="301"/>
      <c r="H10" s="303">
        <f>'Relative Valuation'!Q32</f>
        <v>1331.6828064541439</v>
      </c>
      <c r="I10" s="304">
        <v>1774.49</v>
      </c>
      <c r="J10" s="303">
        <v>1916.6</v>
      </c>
      <c r="K10" s="303">
        <v>2392</v>
      </c>
      <c r="L10" s="301"/>
      <c r="M10" s="305"/>
    </row>
    <row r="11" spans="1:14" ht="15.6" x14ac:dyDescent="0.3">
      <c r="B11" s="300"/>
      <c r="C11" s="300"/>
      <c r="D11" s="300"/>
      <c r="E11" s="300" t="s">
        <v>307</v>
      </c>
      <c r="F11" s="301"/>
      <c r="G11" s="301"/>
      <c r="H11" s="306">
        <f>'Relative Valuation'!Q32</f>
        <v>1331.6828064541439</v>
      </c>
      <c r="I11" s="306">
        <f>I10+0.00022</f>
        <v>1774.4902199999999</v>
      </c>
      <c r="J11" s="303">
        <f>J10+0.0002</f>
        <v>1916.6001999999999</v>
      </c>
      <c r="K11" s="303">
        <f>K10+0.00022</f>
        <v>2392.0002199999999</v>
      </c>
      <c r="L11" s="301"/>
      <c r="M11" s="301"/>
    </row>
    <row r="12" spans="1:14" ht="15.6" x14ac:dyDescent="0.3">
      <c r="B12" s="300"/>
      <c r="C12" s="300"/>
      <c r="D12" s="300"/>
      <c r="E12" s="300" t="s">
        <v>308</v>
      </c>
      <c r="F12" s="301"/>
      <c r="G12" s="301"/>
      <c r="H12" s="303">
        <f>'Relative Valuation'!O32</f>
        <v>1061.3104923372616</v>
      </c>
      <c r="I12" s="304">
        <v>1293.04</v>
      </c>
      <c r="J12" s="303">
        <v>1548</v>
      </c>
      <c r="K12" s="303">
        <v>1550</v>
      </c>
      <c r="L12" s="301"/>
      <c r="M12" s="301"/>
    </row>
    <row r="13" spans="1:14" ht="15.6" x14ac:dyDescent="0.3">
      <c r="B13" s="300"/>
      <c r="C13" s="300"/>
      <c r="D13" s="300"/>
      <c r="E13" s="300" t="s">
        <v>308</v>
      </c>
      <c r="F13" s="301"/>
      <c r="G13" s="301"/>
      <c r="H13" s="303">
        <f>'Relative Valuation'!O32</f>
        <v>1061.3104923372616</v>
      </c>
      <c r="I13" s="303">
        <f>I12</f>
        <v>1293.04</v>
      </c>
      <c r="J13" s="303">
        <f>J12+0.0002</f>
        <v>1548.0001999999999</v>
      </c>
      <c r="K13" s="303">
        <f>K12+0.0022</f>
        <v>1550.0021999999999</v>
      </c>
      <c r="L13" s="301"/>
      <c r="M13" s="301"/>
    </row>
    <row r="14" spans="1:14" ht="15.6" x14ac:dyDescent="0.3">
      <c r="B14" s="300"/>
      <c r="C14" s="300"/>
      <c r="D14" s="300"/>
      <c r="E14" s="300"/>
      <c r="F14" s="301"/>
      <c r="G14" s="301"/>
      <c r="H14" s="301"/>
      <c r="I14" s="301"/>
      <c r="J14" s="301"/>
      <c r="K14" s="301"/>
      <c r="L14" s="301"/>
      <c r="M14" s="301"/>
    </row>
    <row r="15" spans="1:14" ht="15.6" x14ac:dyDescent="0.3">
      <c r="B15" s="63" t="s">
        <v>309</v>
      </c>
      <c r="C15" s="64"/>
      <c r="D15" s="64"/>
      <c r="E15" s="64"/>
      <c r="F15" s="64"/>
      <c r="G15" s="64"/>
      <c r="H15" s="321"/>
      <c r="I15" s="321"/>
      <c r="J15" s="321"/>
      <c r="K15" s="321"/>
      <c r="L15" s="321"/>
      <c r="M15" s="321"/>
    </row>
    <row r="16" spans="1:14" ht="15.6" x14ac:dyDescent="0.3">
      <c r="B16" s="307"/>
      <c r="C16" s="307"/>
      <c r="D16" s="307"/>
      <c r="E16" s="307"/>
      <c r="F16" s="307"/>
      <c r="G16" s="307"/>
      <c r="H16" s="308"/>
      <c r="I16" s="308"/>
      <c r="J16" s="308"/>
      <c r="K16" s="308"/>
      <c r="L16" s="300"/>
      <c r="M16" s="142"/>
    </row>
    <row r="17" spans="2:13" ht="15.6" x14ac:dyDescent="0.3">
      <c r="B17" s="307"/>
      <c r="C17" s="307"/>
      <c r="D17" s="307"/>
      <c r="E17" s="307"/>
      <c r="F17" s="307"/>
      <c r="G17" s="307"/>
      <c r="H17" s="308"/>
      <c r="I17" s="308"/>
      <c r="J17" s="142"/>
      <c r="K17" s="308"/>
      <c r="L17" s="300"/>
      <c r="M17" s="142"/>
    </row>
    <row r="18" spans="2:13" ht="15.6" x14ac:dyDescent="0.3">
      <c r="B18" s="309"/>
      <c r="C18" s="309"/>
      <c r="D18" s="309"/>
      <c r="E18" s="310"/>
      <c r="F18" s="311"/>
      <c r="G18" s="311"/>
      <c r="H18" s="311"/>
      <c r="I18" s="312"/>
      <c r="J18" s="142"/>
      <c r="K18" s="312"/>
      <c r="L18" s="313"/>
      <c r="M18" s="142"/>
    </row>
    <row r="19" spans="2:13" ht="15.6" x14ac:dyDescent="0.3">
      <c r="B19" s="309"/>
      <c r="C19" s="309"/>
      <c r="D19" s="309"/>
      <c r="E19" s="311"/>
      <c r="F19" s="310"/>
      <c r="G19" s="310"/>
      <c r="H19" s="310"/>
      <c r="I19" s="314"/>
      <c r="J19" s="316" t="s">
        <v>310</v>
      </c>
      <c r="K19" s="317" t="s">
        <v>413</v>
      </c>
      <c r="L19" s="142"/>
      <c r="M19" s="142"/>
    </row>
    <row r="20" spans="2:13" ht="15.6" x14ac:dyDescent="0.3">
      <c r="B20" s="309"/>
      <c r="C20" s="309"/>
      <c r="D20" s="309"/>
      <c r="E20" s="311"/>
      <c r="F20" s="311"/>
      <c r="G20" s="311"/>
      <c r="H20" s="311"/>
      <c r="I20" s="315"/>
      <c r="J20" s="316" t="s">
        <v>310</v>
      </c>
      <c r="K20" s="317" t="s">
        <v>414</v>
      </c>
      <c r="L20" s="142"/>
      <c r="M20" s="142"/>
    </row>
    <row r="21" spans="2:13" ht="15.6" x14ac:dyDescent="0.3">
      <c r="B21" s="309"/>
      <c r="C21" s="309"/>
      <c r="D21" s="309"/>
      <c r="E21" s="311"/>
      <c r="F21" s="311"/>
      <c r="G21" s="311"/>
      <c r="H21" s="311"/>
      <c r="I21" s="314"/>
      <c r="J21" s="314"/>
      <c r="K21" s="314"/>
      <c r="L21" s="142"/>
      <c r="M21" s="142"/>
    </row>
    <row r="22" spans="2:13" ht="15.6" x14ac:dyDescent="0.3">
      <c r="B22" s="309"/>
      <c r="C22" s="309"/>
      <c r="D22" s="309"/>
      <c r="E22" s="311"/>
      <c r="F22" s="311"/>
      <c r="G22" s="311"/>
      <c r="H22" s="311"/>
      <c r="I22" s="315"/>
      <c r="J22" s="315"/>
      <c r="K22" s="315"/>
      <c r="L22" s="142"/>
      <c r="M22" s="142"/>
    </row>
    <row r="23" spans="2:13" ht="15.6" x14ac:dyDescent="0.3">
      <c r="B23" s="309"/>
      <c r="C23" s="309"/>
      <c r="D23" s="309"/>
      <c r="E23" s="310"/>
      <c r="F23" s="311"/>
      <c r="G23" s="311"/>
      <c r="H23" s="311"/>
      <c r="I23" s="312"/>
      <c r="J23" s="316"/>
      <c r="K23" s="317"/>
      <c r="L23" s="142"/>
      <c r="M23" s="142"/>
    </row>
    <row r="24" spans="2:13" ht="15.6" x14ac:dyDescent="0.3">
      <c r="B24" s="309"/>
      <c r="C24" s="309"/>
      <c r="D24" s="309"/>
      <c r="E24" s="311"/>
      <c r="F24" s="310"/>
      <c r="G24" s="310"/>
      <c r="H24" s="310"/>
      <c r="I24" s="315"/>
      <c r="J24" s="316"/>
      <c r="K24" s="318"/>
      <c r="L24" s="142"/>
      <c r="M24" s="142"/>
    </row>
    <row r="25" spans="2:13" ht="15.6" x14ac:dyDescent="0.3">
      <c r="B25" s="309"/>
      <c r="C25" s="309"/>
      <c r="D25" s="309"/>
      <c r="E25" s="311"/>
      <c r="F25" s="311"/>
      <c r="G25" s="311"/>
      <c r="H25" s="311"/>
      <c r="I25" s="315"/>
      <c r="J25" s="315"/>
      <c r="K25" s="312"/>
      <c r="L25" s="142"/>
      <c r="M25" s="142"/>
    </row>
    <row r="26" spans="2:13" ht="15.6" x14ac:dyDescent="0.3">
      <c r="B26" s="309"/>
      <c r="C26" s="309"/>
      <c r="D26" s="309"/>
      <c r="E26" s="310"/>
      <c r="F26" s="311"/>
      <c r="G26" s="311"/>
      <c r="H26" s="311"/>
      <c r="I26" s="312"/>
      <c r="J26" s="312"/>
      <c r="K26" s="314"/>
      <c r="L26" s="142"/>
      <c r="M26" s="142"/>
    </row>
    <row r="27" spans="2:13" ht="15.6" x14ac:dyDescent="0.3">
      <c r="B27" s="309"/>
      <c r="C27" s="309"/>
      <c r="D27" s="309"/>
      <c r="E27" s="311"/>
      <c r="F27" s="310"/>
      <c r="G27" s="310"/>
      <c r="H27" s="310"/>
      <c r="I27" s="314"/>
      <c r="J27" s="314"/>
      <c r="K27" s="315"/>
      <c r="L27" s="142"/>
      <c r="M27" s="142"/>
    </row>
    <row r="28" spans="2:13" ht="15.6" x14ac:dyDescent="0.3">
      <c r="B28" s="309"/>
      <c r="C28" s="309"/>
      <c r="D28" s="309"/>
      <c r="E28" s="311"/>
      <c r="F28" s="311"/>
      <c r="G28" s="311"/>
      <c r="H28" s="311"/>
      <c r="I28" s="315"/>
      <c r="J28" s="315"/>
      <c r="K28" s="142"/>
      <c r="L28" s="142"/>
      <c r="M28" s="142"/>
    </row>
  </sheetData>
  <dataValidations xWindow="860" yWindow="832" count="3">
    <dataValidation allowBlank="1" showInputMessage="1" showErrorMessage="1" promptTitle="Source:" prompt="NSE" sqref="J13 J10:J11"/>
    <dataValidation allowBlank="1" showInputMessage="1" showErrorMessage="1" promptTitle="As on 03-01-2026" prompt="._x000a_" sqref="K24"/>
    <dataValidation allowBlank="1" showInputMessage="1" showErrorMessage="1" promptTitle="Source:" prompt="Average price bands from Investing.com, TipRanks, Motilal Oswal and Anand Rathi" sqref="K10:K13"/>
  </dataValidations>
  <pageMargins left="0.7" right="0.7" top="0.75" bottom="0.75" header="0.3" footer="0.3"/>
  <ignoredErrors>
    <ignoredError sqref="J11" formula="1"/>
  </ignoredError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Intro &amp; Core Assumptions</vt:lpstr>
      <vt:lpstr>Assumptions</vt:lpstr>
      <vt:lpstr>Revenue Buildup</vt:lpstr>
      <vt:lpstr>Historical</vt:lpstr>
      <vt:lpstr>Schedules</vt:lpstr>
      <vt:lpstr>Balance Sheet</vt:lpstr>
      <vt:lpstr>Income Statement</vt:lpstr>
      <vt:lpstr>CFS</vt:lpstr>
      <vt:lpstr>DCF Valuation</vt:lpstr>
      <vt:lpstr>WACC</vt:lpstr>
      <vt:lpstr>Beta</vt:lpstr>
      <vt:lpstr>Market Return</vt:lpstr>
      <vt:lpstr>Relative Valuation</vt:lpstr>
      <vt:lpstr>Comps Data</vt:lpstr>
      <vt:lpstr>Ratio Analysis</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2026-04-20T12:12:13Z</cp:lastPrinted>
  <dcterms:created xsi:type="dcterms:W3CDTF">2025-11-16T08:24:00Z</dcterms:created>
  <dcterms:modified xsi:type="dcterms:W3CDTF">2026-06-26T12:42:34Z</dcterms:modified>
</cp:coreProperties>
</file>