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csvs/"/>
    </mc:Choice>
  </mc:AlternateContent>
  <xr:revisionPtr revIDLastSave="0" documentId="8_{3770AA9F-15C2-8B49-86F7-909CEF4F855B}" xr6:coauthVersionLast="47" xr6:coauthVersionMax="47" xr10:uidLastSave="{00000000-0000-0000-0000-000000000000}"/>
  <bookViews>
    <workbookView xWindow="0" yWindow="0" windowWidth="38400" windowHeight="21600" xr2:uid="{0780CAB3-1643-5647-9C06-19D45E1A4B7C}"/>
  </bookViews>
  <sheets>
    <sheet name="Collated Data" sheetId="1" r:id="rId1"/>
    <sheet name="GDP" sheetId="6" r:id="rId2"/>
    <sheet name="GNI" sheetId="5" r:id="rId3"/>
    <sheet name="Homicides" sheetId="2" r:id="rId4"/>
    <sheet name="Inflation" sheetId="3" r:id="rId5"/>
    <sheet name="Unemployment" sheetId="4" r:id="rId6"/>
  </sheets>
  <definedNames>
    <definedName name="trinidad_and_tobago_gni_per_capita" localSheetId="2">GNI!$A$1:$D$25</definedName>
    <definedName name="tt_homicide_rate" localSheetId="3">Homicides!#REF!</definedName>
    <definedName name="tt_homicide_rate_1" localSheetId="3">Homicides!$A$1:$C$23</definedName>
    <definedName name="tt_inflation" localSheetId="0">'Collated Data'!$G$1:$G$25</definedName>
    <definedName name="tt_inflation" localSheetId="4">Inflation!$A$1:$B$25</definedName>
    <definedName name="tt_unemployment_rate" localSheetId="5">Unemployment!$A$1:$B$25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5" i="6" l="1"/>
  <c r="AR45" i="6"/>
  <c r="AR254" i="6" s="1"/>
  <c r="AQ45" i="6"/>
  <c r="AP45" i="6"/>
  <c r="AO45" i="6"/>
  <c r="AN45" i="6"/>
  <c r="AM45" i="6"/>
  <c r="AM254" i="6" s="1"/>
  <c r="AL45" i="6"/>
  <c r="AK45" i="6"/>
  <c r="AJ45" i="6"/>
  <c r="AI45" i="6"/>
  <c r="AH30" i="6"/>
  <c r="AG30" i="6"/>
  <c r="AF30" i="6"/>
  <c r="AE30" i="6"/>
  <c r="AD30" i="6"/>
  <c r="AC30" i="6"/>
  <c r="AB30" i="6"/>
  <c r="AA30" i="6"/>
  <c r="Z30" i="6"/>
  <c r="Y30" i="6"/>
  <c r="X30" i="6"/>
  <c r="W30" i="6"/>
  <c r="Z29" i="6"/>
  <c r="Y29" i="6"/>
  <c r="X29" i="6"/>
  <c r="W29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AH22" i="6"/>
  <c r="AG22" i="6"/>
  <c r="AF22" i="6"/>
  <c r="AE22" i="6"/>
  <c r="AD22" i="6"/>
  <c r="AC22" i="6"/>
  <c r="AB22" i="6"/>
  <c r="AA22" i="6"/>
  <c r="Z22" i="6"/>
  <c r="Y22" i="6"/>
  <c r="X22" i="6"/>
  <c r="W22" i="6"/>
  <c r="AH15" i="6"/>
  <c r="AH14" i="6" s="1"/>
  <c r="AG15" i="6"/>
  <c r="AF15" i="6"/>
  <c r="AE15" i="6"/>
  <c r="AD15" i="6"/>
  <c r="AC15" i="6"/>
  <c r="AC14" i="6" s="1"/>
  <c r="AB15" i="6"/>
  <c r="AA15" i="6"/>
  <c r="AA14" i="6" s="1"/>
  <c r="Z15" i="6"/>
  <c r="Z14" i="6" s="1"/>
  <c r="Y15" i="6"/>
  <c r="X15" i="6"/>
  <c r="W15" i="6"/>
  <c r="AG14" i="6"/>
  <c r="AF14" i="6"/>
  <c r="AE14" i="6"/>
  <c r="AD14" i="6"/>
  <c r="AB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AH9" i="6"/>
  <c r="AG9" i="6"/>
  <c r="AG43" i="6" s="1"/>
  <c r="AF9" i="6"/>
  <c r="AF43" i="6" s="1"/>
  <c r="AE45" i="6" s="1"/>
  <c r="AE9" i="6"/>
  <c r="AE43" i="6" s="1"/>
  <c r="AD9" i="6"/>
  <c r="AD43" i="6" s="1"/>
  <c r="AC9" i="6"/>
  <c r="AB9" i="6"/>
  <c r="AB43" i="6" s="1"/>
  <c r="AA9" i="6"/>
  <c r="Z9" i="6"/>
  <c r="Y9" i="6"/>
  <c r="Y43" i="6" s="1"/>
  <c r="X9" i="6"/>
  <c r="X43" i="6" s="1"/>
  <c r="W9" i="6"/>
  <c r="W43" i="6" s="1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V5" i="6"/>
  <c r="V43" i="6" s="1"/>
  <c r="U5" i="6"/>
  <c r="U43" i="6" s="1"/>
  <c r="T5" i="6"/>
  <c r="T43" i="6" s="1"/>
  <c r="S5" i="6"/>
  <c r="S43" i="6" s="1"/>
  <c r="R5" i="6"/>
  <c r="R43" i="6" s="1"/>
  <c r="Q5" i="6"/>
  <c r="Q43" i="6" s="1"/>
  <c r="P5" i="6"/>
  <c r="P43" i="6" s="1"/>
  <c r="O5" i="6"/>
  <c r="O43" i="6" s="1"/>
  <c r="N5" i="6"/>
  <c r="N43" i="6" s="1"/>
  <c r="M5" i="6"/>
  <c r="M43" i="6" s="1"/>
  <c r="L5" i="6"/>
  <c r="L43" i="6" s="1"/>
  <c r="K5" i="6"/>
  <c r="K43" i="6" s="1"/>
  <c r="J5" i="6"/>
  <c r="J43" i="6" s="1"/>
  <c r="I5" i="6"/>
  <c r="I43" i="6" s="1"/>
  <c r="H5" i="6"/>
  <c r="H43" i="6" s="1"/>
  <c r="G5" i="6"/>
  <c r="G43" i="6" s="1"/>
  <c r="F5" i="6"/>
  <c r="F43" i="6" s="1"/>
  <c r="E5" i="6"/>
  <c r="E43" i="6" s="1"/>
  <c r="D5" i="6"/>
  <c r="D43" i="6" s="1"/>
  <c r="X4" i="6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E4" i="6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F25" i="1"/>
  <c r="F26" i="1"/>
  <c r="F24" i="1"/>
  <c r="AF45" i="6" l="1"/>
  <c r="AC43" i="6"/>
  <c r="AB45" i="6" s="1"/>
  <c r="AH43" i="6"/>
  <c r="AC45" i="6"/>
  <c r="Z43" i="6"/>
  <c r="Y45" i="6" s="1"/>
  <c r="AA43" i="6"/>
  <c r="Z45" i="6" s="1"/>
  <c r="AD45" i="6"/>
  <c r="AH45" i="6" l="1"/>
  <c r="AH254" i="6" s="1"/>
  <c r="AG45" i="6"/>
  <c r="AE254" i="6" s="1"/>
  <c r="AA45" i="6"/>
  <c r="Y25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859CB9-0ACE-6A45-8404-A2EA44E56939}" name="trinidad-and-tobago-gni-per-capita" type="6" refreshedVersion="8" background="1" saveData="1">
    <textPr codePage="10000" sourceFile="/Users/christophegittens/Desktop/my docs/U.W.I. YEAR 4/U.W.I. YEAR 4 - SEMESTER II/COMP 3610/Assignments/Election-Project/Data/trinidad-and-tobago-gni-per-capita.csv" tab="0" comma="1">
      <textFields count="4">
        <textField/>
        <textField/>
        <textField/>
        <textField/>
      </textFields>
    </textPr>
  </connection>
  <connection id="2" xr16:uid="{A15F155D-9BB9-0A42-ACBD-72B2F9455AEC}" name="tt_homicide_rate1" type="6" refreshedVersion="8" background="1" saveData="1">
    <textPr codePage="10000" sourceFile="/Users/christophegittens/Desktop/my docs/U.W.I. YEAR 4/U.W.I. YEAR 4 - SEMESTER II/COMP 3610/Assignments/Election-Project/csvs/tt_homicide_rate.csv" tab="0" comma="1">
      <textFields count="3">
        <textField/>
        <textField/>
        <textField/>
      </textFields>
    </textPr>
  </connection>
  <connection id="3" xr16:uid="{CBF61697-5ACF-9D4F-B4FE-A5B0FC7A0F9A}" name="tt_inflation" type="6" refreshedVersion="8" background="1" saveData="1">
    <textPr codePage="10000" sourceFile="/Users/christophegittens/Desktop/my docs/U.W.I. YEAR 4/U.W.I. YEAR 4 - SEMESTER II/COMP 3610/Assignments/Election-Project/csvs/tt_inflation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CB6779D-E604-794F-84E7-F87E0214A9BD}" name="tt_inflation1" type="6" refreshedVersion="8" background="1" saveData="1">
    <textPr codePage="10000" sourceFile="/Users/christophegittens/Desktop/my docs/U.W.I. YEAR 4/U.W.I. YEAR 4 - SEMESTER II/COMP 3610/Assignments/Election-Project/csvs/tt_inflation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824DB2AE-65E5-E048-BC27-51E00EF3A01D}" name="tt_unemployment_rate" type="6" refreshedVersion="8" background="1" saveData="1">
    <textPr codePage="10000" sourceFile="/Users/christophegittens/Desktop/my docs/U.W.I. YEAR 4/U.W.I. YEAR 4 - SEMESTER II/COMP 3610/Assignments/Election-Project/csvs/tt_unemployment_rate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<sst xmlns="http://schemas.openxmlformats.org/spreadsheetml/2006/main" count="81" uniqueCount="78">
  <si>
    <t>Year</t>
  </si>
  <si>
    <t>Rate_per_100k_Population</t>
  </si>
  <si>
    <t>Annual_change</t>
  </si>
  <si>
    <t>Homicide_rate_per_100k</t>
  </si>
  <si>
    <t>date</t>
  </si>
  <si>
    <t>value</t>
  </si>
  <si>
    <t>Inflation</t>
  </si>
  <si>
    <t>Unemployment</t>
  </si>
  <si>
    <t>Date</t>
  </si>
  <si>
    <t xml:space="preserve"> GDP (Billions of US $)</t>
  </si>
  <si>
    <t xml:space="preserve"> Per Capita (US $)</t>
  </si>
  <si>
    <t>GDP (Per Capita TT$)</t>
  </si>
  <si>
    <t xml:space="preserve"> GNI (Per Capita US $)</t>
  </si>
  <si>
    <t xml:space="preserve"> GNI (Percentage Change)</t>
  </si>
  <si>
    <t>Annual (Percentage Change)</t>
  </si>
  <si>
    <t xml:space="preserve"> GROSS DOMESTIC PRODUCT BY KIND OF ACTIVITY - ISIC  (CURRENT PRICES $TT million)</t>
  </si>
  <si>
    <t>ACTIVITY</t>
  </si>
  <si>
    <t>ISIC</t>
  </si>
  <si>
    <t>Agriculture, fishing and forestry</t>
  </si>
  <si>
    <t>A</t>
  </si>
  <si>
    <t>Export agriculture</t>
  </si>
  <si>
    <t>Domestic agriculture</t>
  </si>
  <si>
    <t>Cane farming and cane cultivation</t>
  </si>
  <si>
    <t>Mining and quarrying</t>
  </si>
  <si>
    <t>B</t>
  </si>
  <si>
    <t>Oil exploration and production</t>
  </si>
  <si>
    <t>Service contractors (Oil)</t>
  </si>
  <si>
    <t>Natural asphalt</t>
  </si>
  <si>
    <t>Quarrying</t>
  </si>
  <si>
    <t>Manufacturing</t>
  </si>
  <si>
    <t>C</t>
  </si>
  <si>
    <t>Food, drink and tobacco</t>
  </si>
  <si>
    <t>CA</t>
  </si>
  <si>
    <t>Sugar refineries</t>
  </si>
  <si>
    <t>Distilleries</t>
  </si>
  <si>
    <t>Textile, garments, footwear and headwear</t>
  </si>
  <si>
    <t>CB</t>
  </si>
  <si>
    <t>Garments</t>
  </si>
  <si>
    <t>Printing, publishing and paper converters</t>
  </si>
  <si>
    <t>CC</t>
  </si>
  <si>
    <t>Wood and related products</t>
  </si>
  <si>
    <t>Chemicals and non-metallic minerals</t>
  </si>
  <si>
    <t>CD-CE</t>
  </si>
  <si>
    <t>Oil refineries</t>
  </si>
  <si>
    <t>Petrochemicals</t>
  </si>
  <si>
    <t>Assembly type and related industries</t>
  </si>
  <si>
    <t>CF-CM</t>
  </si>
  <si>
    <t>Miscellaneous manufacturing</t>
  </si>
  <si>
    <t>Electricity and water</t>
  </si>
  <si>
    <t>D-E</t>
  </si>
  <si>
    <t>Construction</t>
  </si>
  <si>
    <t>F</t>
  </si>
  <si>
    <t>Distribution services</t>
  </si>
  <si>
    <t>G</t>
  </si>
  <si>
    <t>Marketing and distribution of petroleum products</t>
  </si>
  <si>
    <t>Transportation, storage and communication</t>
  </si>
  <si>
    <t>H &amp; J</t>
  </si>
  <si>
    <t>Broadcasting</t>
  </si>
  <si>
    <t>Hotels, guest houses and restaurants</t>
  </si>
  <si>
    <t xml:space="preserve">I </t>
  </si>
  <si>
    <t>Restaurants</t>
  </si>
  <si>
    <t>Finance, insurance, real estate and business services</t>
  </si>
  <si>
    <t>K,L,M,N</t>
  </si>
  <si>
    <t>General government</t>
  </si>
  <si>
    <t>O</t>
  </si>
  <si>
    <t>Statutory boards</t>
  </si>
  <si>
    <t>Education and cultural community services</t>
  </si>
  <si>
    <t>P,Q,R</t>
  </si>
  <si>
    <t>Personal services</t>
  </si>
  <si>
    <t>S,T</t>
  </si>
  <si>
    <t>Less: FISIM</t>
  </si>
  <si>
    <t>FISM</t>
  </si>
  <si>
    <t>Plus: Value added tax</t>
  </si>
  <si>
    <t>Source Central Statistical Office</t>
  </si>
  <si>
    <t>Inconsistances wih ISIC rev IV</t>
  </si>
  <si>
    <t>Restaurants is included from 2000 in ISIC G instead of ISIC I</t>
  </si>
  <si>
    <t>Quarrying is included from 2004 in ISIC F instead of ISIC B</t>
  </si>
  <si>
    <t xml:space="preserve">Because of lack of detailed data it was not possible to separate several ISIC industries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</si>
</sst>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4"/>
      <color theme="1"/>
      <name val="Aptos Narrow"/>
      <family val="2"/>
      <scheme val="minor"/>
    </font>
    <font>
      <b/>
      <i/>
      <sz val="11"/>
      <name val="Calibri"/>
      <family val="2"/>
    </font>
    <font>
      <b/>
      <sz val="11"/>
      <color rgb="FFFF0000"/>
      <name val="Calibri"/>
      <family val="2"/>
    </font>
    <font>
      <sz val="10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0" fontId="0" fillId="0" borderId="0" xfId="0" applyNumberFormat="1"/>
    <xf numFmtId="0" fontId="0" fillId="0" borderId="0" xfId="0" applyFill="1"/>
    <xf numFmtId="164" fontId="2" fillId="2" borderId="4" xfId="0" applyNumberFormat="1" applyFont="1" applyFill="1" applyBorder="1" applyAlignment="1">
      <alignment horizontal="right" vertical="center"/>
    </xf>
    <xf numFmtId="4" fontId="1" fillId="0" borderId="0" xfId="0" applyNumberFormat="1" applyFont="1" applyFill="1" applyAlignment="1">
      <alignment vertical="center"/>
    </xf>
    <xf numFmtId="164" fontId="2" fillId="2" borderId="2" xfId="0" applyNumberFormat="1" applyFont="1" applyFill="1" applyBorder="1" applyAlignment="1">
      <alignment horizontal="right" vertical="center"/>
    </xf>
    <xf numFmtId="2" fontId="0" fillId="0" borderId="0" xfId="0" applyNumberFormat="1"/>
    <xf numFmtId="14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5" fillId="0" borderId="0" xfId="0" applyFont="1"/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1" fillId="2" borderId="4" xfId="0" applyNumberFormat="1" applyFont="1" applyFill="1" applyBorder="1" applyAlignment="1">
      <alignment horizontal="right" vertical="center"/>
    </xf>
    <xf numFmtId="4" fontId="1" fillId="0" borderId="4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right" vertical="center"/>
    </xf>
    <xf numFmtId="164" fontId="2" fillId="2" borderId="9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Alignment="1">
      <alignment horizontal="center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vertical="center"/>
    </xf>
    <xf numFmtId="164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2" fillId="2" borderId="5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right" vertical="center"/>
    </xf>
    <xf numFmtId="164" fontId="1" fillId="2" borderId="12" xfId="0" applyNumberFormat="1" applyFont="1" applyFill="1" applyBorder="1" applyAlignment="1">
      <alignment horizontal="right" vertical="center"/>
    </xf>
    <xf numFmtId="164" fontId="1" fillId="2" borderId="9" xfId="0" applyNumberFormat="1" applyFont="1" applyFill="1" applyBorder="1" applyAlignment="1">
      <alignment horizontal="right" vertical="center"/>
    </xf>
    <xf numFmtId="49" fontId="1" fillId="3" borderId="0" xfId="0" applyNumberFormat="1" applyFont="1" applyFill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7" fillId="3" borderId="8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right" vertical="center"/>
    </xf>
    <xf numFmtId="164" fontId="1" fillId="3" borderId="0" xfId="0" applyNumberFormat="1" applyFont="1" applyFill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right" vertical="center"/>
    </xf>
    <xf numFmtId="4" fontId="2" fillId="4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inflation" connectionId="4" xr16:uid="{AEEECAB9-DF7F-504B-A7FF-2A91EFB8F1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nidad-and-tobago-gni-per-capita" connectionId="1" xr16:uid="{4070F202-5565-7548-834F-EFBB38DBA7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homicide_rate_1" connectionId="2" xr16:uid="{0DF5C997-A3CE-E746-B6FE-4E635B5502A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inflation" connectionId="3" xr16:uid="{3A9F7F7D-F0BA-EF49-981B-A9A0CE90537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unemployment_rate" connectionId="5" xr16:uid="{02F85EFA-B13A-2F43-91C2-F064F7189AF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ADD0-D727-0C48-8A95-D998355E040C}">
  <dimension ref="A1:H26"/>
  <sheetViews>
    <sheetView tabSelected="1" workbookViewId="0">
      <selection activeCell="C35" sqref="C35"/>
    </sheetView>
  </sheetViews>
  <sheetFormatPr baseColWidth="10" defaultRowHeight="16" x14ac:dyDescent="0.2"/>
  <cols>
    <col min="1" max="1" width="5.5" bestFit="1" customWidth="1"/>
    <col min="2" max="2" width="21.1640625" bestFit="1" customWidth="1"/>
    <col min="3" max="3" width="22.83203125" bestFit="1" customWidth="1"/>
    <col min="4" max="4" width="26" bestFit="1" customWidth="1"/>
    <col min="5" max="5" width="25.5" bestFit="1" customWidth="1"/>
    <col min="6" max="6" width="27.83203125" bestFit="1" customWidth="1"/>
    <col min="7" max="7" width="12.1640625" bestFit="1" customWidth="1"/>
    <col min="8" max="8" width="15.6640625" bestFit="1" customWidth="1"/>
  </cols>
  <sheetData>
    <row r="1" spans="1:8" s="15" customFormat="1" ht="19" x14ac:dyDescent="0.25">
      <c r="A1" s="13" t="s">
        <v>0</v>
      </c>
      <c r="B1" s="14" t="s">
        <v>11</v>
      </c>
      <c r="C1" s="15" t="s">
        <v>12</v>
      </c>
      <c r="D1" s="15" t="s">
        <v>13</v>
      </c>
      <c r="E1" s="15" t="s">
        <v>3</v>
      </c>
      <c r="F1" s="15" t="s">
        <v>14</v>
      </c>
      <c r="G1" s="15" t="s">
        <v>6</v>
      </c>
      <c r="H1" s="15" t="s">
        <v>7</v>
      </c>
    </row>
    <row r="2" spans="1:8" x14ac:dyDescent="0.2">
      <c r="A2" s="17">
        <v>2000</v>
      </c>
      <c r="B2" s="18">
        <v>51587.7</v>
      </c>
      <c r="C2">
        <v>5140</v>
      </c>
      <c r="D2">
        <v>10.54</v>
      </c>
      <c r="E2">
        <v>9.01</v>
      </c>
      <c r="F2" s="11">
        <v>25.24</v>
      </c>
      <c r="G2">
        <v>3.5554131966687699</v>
      </c>
      <c r="H2">
        <v>12.1</v>
      </c>
    </row>
    <row r="3" spans="1:8" x14ac:dyDescent="0.2">
      <c r="A3" s="17">
        <v>2001</v>
      </c>
      <c r="B3" s="18">
        <v>55243.1</v>
      </c>
      <c r="C3">
        <v>5770</v>
      </c>
      <c r="D3">
        <v>12.26</v>
      </c>
      <c r="E3">
        <v>11.28</v>
      </c>
      <c r="F3" s="11">
        <v>25.24</v>
      </c>
      <c r="G3">
        <v>5.5366532632230001</v>
      </c>
      <c r="H3">
        <v>10.88</v>
      </c>
    </row>
    <row r="4" spans="1:8" x14ac:dyDescent="0.2">
      <c r="A4" s="17">
        <v>2002</v>
      </c>
      <c r="B4" s="19">
        <v>56545.4</v>
      </c>
      <c r="C4">
        <v>6420</v>
      </c>
      <c r="D4">
        <v>11.27</v>
      </c>
      <c r="E4" s="11">
        <v>12.704653580873501</v>
      </c>
      <c r="F4" s="11">
        <v>12.62</v>
      </c>
      <c r="G4">
        <v>4.1500586166472004</v>
      </c>
      <c r="H4">
        <v>10.39</v>
      </c>
    </row>
    <row r="5" spans="1:8" x14ac:dyDescent="0.2">
      <c r="A5" s="17">
        <v>2003</v>
      </c>
      <c r="B5" s="19">
        <v>71434.099999999991</v>
      </c>
      <c r="C5">
        <v>7650</v>
      </c>
      <c r="D5">
        <v>19.16</v>
      </c>
      <c r="E5" s="11">
        <v>16.9184986420873</v>
      </c>
      <c r="F5" s="11">
        <v>33.17</v>
      </c>
      <c r="G5">
        <v>3.8111062439687</v>
      </c>
      <c r="H5">
        <v>10.48</v>
      </c>
    </row>
    <row r="6" spans="1:8" x14ac:dyDescent="0.2">
      <c r="A6" s="17">
        <v>2004</v>
      </c>
      <c r="B6" s="19">
        <v>83943.1</v>
      </c>
      <c r="C6">
        <v>9190</v>
      </c>
      <c r="D6">
        <v>20.13</v>
      </c>
      <c r="E6" s="11">
        <v>19.101179314157498</v>
      </c>
      <c r="F6" s="11">
        <v>12.9</v>
      </c>
      <c r="G6">
        <v>3.7215493899596499</v>
      </c>
      <c r="H6">
        <v>8.33</v>
      </c>
    </row>
    <row r="7" spans="1:8" x14ac:dyDescent="0.2">
      <c r="A7" s="17">
        <v>2005</v>
      </c>
      <c r="B7" s="19">
        <v>101088.30000000002</v>
      </c>
      <c r="C7">
        <v>10590</v>
      </c>
      <c r="D7">
        <v>15.23</v>
      </c>
      <c r="E7" s="11">
        <v>28.1942084275118</v>
      </c>
      <c r="F7" s="11">
        <v>47.6</v>
      </c>
      <c r="G7">
        <v>6.8745345958351596</v>
      </c>
      <c r="H7">
        <v>7.95</v>
      </c>
    </row>
    <row r="8" spans="1:8" x14ac:dyDescent="0.2">
      <c r="A8" s="17">
        <v>2006</v>
      </c>
      <c r="B8" s="19">
        <v>116394.2</v>
      </c>
      <c r="C8">
        <v>12560</v>
      </c>
      <c r="D8">
        <v>18.600000000000001</v>
      </c>
      <c r="E8" s="11">
        <v>26.944204072932401</v>
      </c>
      <c r="F8" s="11">
        <v>-4.43</v>
      </c>
      <c r="G8">
        <v>8.3296035146534706</v>
      </c>
      <c r="H8">
        <v>6.27</v>
      </c>
    </row>
    <row r="9" spans="1:8" x14ac:dyDescent="0.2">
      <c r="A9" s="17">
        <v>2007</v>
      </c>
      <c r="B9" s="19">
        <v>137413.59999999998</v>
      </c>
      <c r="C9">
        <v>14170</v>
      </c>
      <c r="D9">
        <v>12.82</v>
      </c>
      <c r="E9" s="11">
        <v>28.233890705959201</v>
      </c>
      <c r="F9" s="11">
        <v>4.79</v>
      </c>
      <c r="G9">
        <v>7.8943883475729901</v>
      </c>
      <c r="H9">
        <v>5.54</v>
      </c>
    </row>
    <row r="10" spans="1:8" x14ac:dyDescent="0.2">
      <c r="A10" s="17">
        <v>2008</v>
      </c>
      <c r="B10" s="19">
        <v>175686.39999999999</v>
      </c>
      <c r="C10">
        <v>16370</v>
      </c>
      <c r="D10">
        <v>15.53</v>
      </c>
      <c r="E10" s="11">
        <v>39.2733355949605</v>
      </c>
      <c r="F10" s="11">
        <v>39.1</v>
      </c>
      <c r="G10">
        <v>12.0303445477177</v>
      </c>
      <c r="H10">
        <v>4.63</v>
      </c>
    </row>
    <row r="11" spans="1:8" x14ac:dyDescent="0.2">
      <c r="A11" s="17">
        <v>2009</v>
      </c>
      <c r="B11" s="19">
        <v>121779.3</v>
      </c>
      <c r="C11">
        <v>15270</v>
      </c>
      <c r="D11">
        <v>-6.72</v>
      </c>
      <c r="E11" s="11">
        <v>36.183503890618802</v>
      </c>
      <c r="F11" s="11">
        <v>-7.87</v>
      </c>
      <c r="G11">
        <v>6.9780872525154702</v>
      </c>
      <c r="H11">
        <v>5.28</v>
      </c>
    </row>
    <row r="12" spans="1:8" x14ac:dyDescent="0.2">
      <c r="A12" s="17">
        <v>2010</v>
      </c>
      <c r="B12" s="19">
        <v>141855.1</v>
      </c>
      <c r="C12">
        <v>15500</v>
      </c>
      <c r="D12">
        <v>1.51</v>
      </c>
      <c r="E12" s="11">
        <v>33.539058467158704</v>
      </c>
      <c r="F12" s="11">
        <v>-7.31</v>
      </c>
      <c r="G12">
        <v>10.5492003179988</v>
      </c>
      <c r="H12">
        <v>4.0330000000000004</v>
      </c>
    </row>
    <row r="13" spans="1:8" x14ac:dyDescent="0.2">
      <c r="A13" s="17">
        <v>2011</v>
      </c>
      <c r="B13" s="19">
        <v>163582.70000000004</v>
      </c>
      <c r="C13">
        <v>14090</v>
      </c>
      <c r="D13">
        <v>-9.1</v>
      </c>
      <c r="E13" s="11">
        <v>24.788383262207599</v>
      </c>
      <c r="F13" s="11">
        <v>-26.09</v>
      </c>
      <c r="G13">
        <v>5.1071328926456001</v>
      </c>
      <c r="H13">
        <v>3.4249999999999998</v>
      </c>
    </row>
    <row r="14" spans="1:8" x14ac:dyDescent="0.2">
      <c r="A14" s="17">
        <v>2012</v>
      </c>
      <c r="B14" s="9">
        <v>174545.6</v>
      </c>
      <c r="C14">
        <v>16890</v>
      </c>
      <c r="D14">
        <v>19.87</v>
      </c>
      <c r="E14" s="11">
        <v>26.566431984865499</v>
      </c>
      <c r="F14" s="11">
        <v>7.17</v>
      </c>
      <c r="G14">
        <v>9.2602813706829199</v>
      </c>
      <c r="H14">
        <v>3.718</v>
      </c>
    </row>
    <row r="15" spans="1:8" x14ac:dyDescent="0.2">
      <c r="A15" s="17">
        <v>2013</v>
      </c>
      <c r="B15" s="9">
        <v>180383.5</v>
      </c>
      <c r="C15">
        <v>18860</v>
      </c>
      <c r="D15">
        <v>11.66</v>
      </c>
      <c r="E15" s="11">
        <v>28.249577731281299</v>
      </c>
      <c r="F15" s="11">
        <v>6.34</v>
      </c>
      <c r="G15">
        <v>5.1998174046561099</v>
      </c>
      <c r="H15">
        <v>2.6829999999999998</v>
      </c>
    </row>
    <row r="16" spans="1:8" x14ac:dyDescent="0.2">
      <c r="A16" s="17">
        <v>2014</v>
      </c>
      <c r="B16" s="9">
        <v>187049.3</v>
      </c>
      <c r="C16">
        <v>19290</v>
      </c>
      <c r="D16">
        <v>2.2799999999999998</v>
      </c>
      <c r="E16" s="11">
        <v>27.918307585300798</v>
      </c>
      <c r="F16" s="11">
        <v>-1.17</v>
      </c>
      <c r="G16">
        <v>5.6844181459565899</v>
      </c>
      <c r="H16">
        <v>2.4769999999999999</v>
      </c>
    </row>
    <row r="17" spans="1:8" x14ac:dyDescent="0.2">
      <c r="A17" s="17">
        <v>2015</v>
      </c>
      <c r="B17" s="9">
        <v>185992.8</v>
      </c>
      <c r="C17">
        <v>19170</v>
      </c>
      <c r="D17">
        <v>-0.62</v>
      </c>
      <c r="E17" s="11">
        <v>28.7636460386809</v>
      </c>
      <c r="F17" s="11">
        <v>3.03</v>
      </c>
      <c r="G17">
        <v>4.6612159809826403</v>
      </c>
      <c r="H17">
        <v>2.4279999999999999</v>
      </c>
    </row>
    <row r="18" spans="1:8" x14ac:dyDescent="0.2">
      <c r="A18" s="17">
        <v>2016</v>
      </c>
      <c r="B18" s="9">
        <v>172222.9</v>
      </c>
      <c r="C18">
        <v>16550</v>
      </c>
      <c r="D18">
        <v>-13.67</v>
      </c>
      <c r="E18" s="11">
        <v>31.5109715009465</v>
      </c>
      <c r="F18" s="11">
        <v>9.5500000000000007</v>
      </c>
      <c r="G18">
        <v>3.0706674246402401</v>
      </c>
      <c r="H18">
        <v>3.2069999999999999</v>
      </c>
    </row>
    <row r="19" spans="1:8" x14ac:dyDescent="0.2">
      <c r="A19" s="17">
        <v>2017</v>
      </c>
      <c r="B19" s="9">
        <v>163924.20000000001</v>
      </c>
      <c r="C19">
        <v>15640</v>
      </c>
      <c r="D19">
        <v>-5.5</v>
      </c>
      <c r="E19" s="11">
        <v>33.477455469911902</v>
      </c>
      <c r="F19" s="11">
        <v>6.24</v>
      </c>
      <c r="G19">
        <v>1.88038440183532</v>
      </c>
      <c r="H19">
        <v>3.3940000000000001</v>
      </c>
    </row>
    <row r="20" spans="1:8" x14ac:dyDescent="0.2">
      <c r="A20" s="17">
        <v>2018</v>
      </c>
      <c r="B20" s="9">
        <v>162308.70000000001</v>
      </c>
      <c r="C20">
        <v>15430</v>
      </c>
      <c r="D20">
        <v>-1.34</v>
      </c>
      <c r="E20" s="11">
        <v>34.358802931330899</v>
      </c>
      <c r="F20" s="11">
        <v>2.63</v>
      </c>
      <c r="G20">
        <v>1.01856930188822</v>
      </c>
      <c r="H20">
        <v>3.4980000000000002</v>
      </c>
    </row>
    <row r="21" spans="1:8" x14ac:dyDescent="0.2">
      <c r="A21" s="17">
        <v>2019</v>
      </c>
      <c r="B21" s="9">
        <v>163074.5</v>
      </c>
      <c r="C21">
        <v>15740</v>
      </c>
      <c r="D21">
        <v>2.0099999999999998</v>
      </c>
      <c r="E21" s="11">
        <v>35.461576165083798</v>
      </c>
      <c r="F21" s="11">
        <v>3.21</v>
      </c>
      <c r="G21">
        <v>1.0005429302723701</v>
      </c>
      <c r="H21">
        <v>3.5230000000000001</v>
      </c>
    </row>
    <row r="22" spans="1:8" x14ac:dyDescent="0.2">
      <c r="A22" s="17">
        <v>2020</v>
      </c>
      <c r="B22" s="9">
        <v>148556.29999999999</v>
      </c>
      <c r="C22">
        <v>13670</v>
      </c>
      <c r="D22">
        <v>-13.15</v>
      </c>
      <c r="E22" s="11">
        <v>26.282039881513398</v>
      </c>
      <c r="F22" s="11">
        <v>-25.89</v>
      </c>
      <c r="G22">
        <v>0.59898633082464303</v>
      </c>
      <c r="H22">
        <v>4.2060000000000004</v>
      </c>
    </row>
    <row r="23" spans="1:8" x14ac:dyDescent="0.2">
      <c r="A23" s="17">
        <v>2021</v>
      </c>
      <c r="B23" s="9">
        <v>147201.5</v>
      </c>
      <c r="C23">
        <v>14850</v>
      </c>
      <c r="D23">
        <v>8.6300000000000008</v>
      </c>
      <c r="E23" s="11">
        <v>29.364282937975201</v>
      </c>
      <c r="F23" s="11">
        <v>11.73</v>
      </c>
      <c r="G23">
        <v>2.05922746915458</v>
      </c>
      <c r="H23">
        <v>4.4459999999999997</v>
      </c>
    </row>
    <row r="24" spans="1:8" x14ac:dyDescent="0.2">
      <c r="A24" s="17">
        <v>2022</v>
      </c>
      <c r="B24" s="9">
        <v>148794.5</v>
      </c>
      <c r="C24">
        <v>16190</v>
      </c>
      <c r="D24">
        <v>9.02</v>
      </c>
      <c r="E24" s="11">
        <v>40.443312180299998</v>
      </c>
      <c r="F24" s="11">
        <f>(E24/E23-1 )*100</f>
        <v>37.72960935476106</v>
      </c>
      <c r="G24">
        <v>5.8283863851795896</v>
      </c>
      <c r="H24">
        <v>4.383</v>
      </c>
    </row>
    <row r="25" spans="1:8" x14ac:dyDescent="0.2">
      <c r="A25" s="17">
        <v>2023</v>
      </c>
      <c r="B25" s="9">
        <v>150918</v>
      </c>
      <c r="C25">
        <v>17940</v>
      </c>
      <c r="D25">
        <v>10.81</v>
      </c>
      <c r="E25" s="11">
        <v>38.391623839300003</v>
      </c>
      <c r="F25" s="11">
        <f t="shared" ref="F25:F26" si="0">(E25/E24-1 )*100</f>
        <v>-5.0729978095102046</v>
      </c>
      <c r="G25">
        <v>4.6293024241996799</v>
      </c>
      <c r="H25">
        <v>4.21</v>
      </c>
    </row>
    <row r="26" spans="1:8" x14ac:dyDescent="0.2">
      <c r="A26" s="17">
        <v>2024</v>
      </c>
      <c r="B26" s="7"/>
      <c r="E26" s="11">
        <v>41.451615684499998</v>
      </c>
      <c r="F26" s="11">
        <f t="shared" si="0"/>
        <v>7.9704673550890615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42A9-5CEF-C34E-8AB7-9CF7398B633C}">
  <dimension ref="A1:AT255"/>
  <sheetViews>
    <sheetView workbookViewId="0">
      <selection sqref="A1:XFD1048576"/>
    </sheetView>
  </sheetViews>
  <sheetFormatPr baseColWidth="10" defaultColWidth="9.1640625" defaultRowHeight="15" x14ac:dyDescent="0.2"/>
  <cols>
    <col min="1" max="1" width="5.6640625" style="25" customWidth="1"/>
    <col min="2" max="2" width="35.6640625" style="25" customWidth="1"/>
    <col min="3" max="3" width="8.33203125" style="87" customWidth="1"/>
    <col min="4" max="17" width="10.6640625" style="25" customWidth="1"/>
    <col min="18" max="22" width="10.83203125" style="25" customWidth="1"/>
    <col min="23" max="24" width="9.1640625" style="25"/>
    <col min="25" max="34" width="9.1640625" style="40"/>
    <col min="35" max="46" width="10.1640625" style="40" bestFit="1" customWidth="1"/>
    <col min="47" max="16384" width="9.1640625" style="25"/>
  </cols>
  <sheetData>
    <row r="1" spans="1:46" s="5" customFormat="1" ht="24" customHeight="1" x14ac:dyDescent="0.2">
      <c r="A1" s="20" t="s">
        <v>15</v>
      </c>
      <c r="B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46" s="5" customFormat="1" ht="18" customHeight="1" x14ac:dyDescent="0.2">
      <c r="A2" s="22"/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3" spans="1:46" s="5" customFormat="1" ht="18" customHeight="1" x14ac:dyDescent="0.2">
      <c r="A3" s="20"/>
      <c r="B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</row>
    <row r="4" spans="1:46" ht="24" customHeight="1" x14ac:dyDescent="0.2">
      <c r="A4" s="23" t="s">
        <v>16</v>
      </c>
      <c r="B4" s="24"/>
      <c r="C4" s="1" t="s">
        <v>17</v>
      </c>
      <c r="D4" s="3">
        <v>1981</v>
      </c>
      <c r="E4" s="3">
        <f>D4+1</f>
        <v>1982</v>
      </c>
      <c r="F4" s="3">
        <f t="shared" ref="F4:V4" si="0">E4+1</f>
        <v>1983</v>
      </c>
      <c r="G4" s="3">
        <f t="shared" si="0"/>
        <v>1984</v>
      </c>
      <c r="H4" s="3">
        <f t="shared" si="0"/>
        <v>1985</v>
      </c>
      <c r="I4" s="3">
        <f t="shared" si="0"/>
        <v>1986</v>
      </c>
      <c r="J4" s="3">
        <f t="shared" si="0"/>
        <v>1987</v>
      </c>
      <c r="K4" s="3">
        <f t="shared" si="0"/>
        <v>1988</v>
      </c>
      <c r="L4" s="3">
        <f t="shared" si="0"/>
        <v>1989</v>
      </c>
      <c r="M4" s="3">
        <f t="shared" si="0"/>
        <v>1990</v>
      </c>
      <c r="N4" s="3">
        <f t="shared" si="0"/>
        <v>1991</v>
      </c>
      <c r="O4" s="3">
        <f t="shared" si="0"/>
        <v>1992</v>
      </c>
      <c r="P4" s="3">
        <f t="shared" si="0"/>
        <v>1993</v>
      </c>
      <c r="Q4" s="3">
        <f t="shared" si="0"/>
        <v>1994</v>
      </c>
      <c r="R4" s="3">
        <f t="shared" si="0"/>
        <v>1995</v>
      </c>
      <c r="S4" s="3">
        <f t="shared" si="0"/>
        <v>1996</v>
      </c>
      <c r="T4" s="3">
        <f t="shared" si="0"/>
        <v>1997</v>
      </c>
      <c r="U4" s="3">
        <f t="shared" si="0"/>
        <v>1998</v>
      </c>
      <c r="V4" s="3">
        <f t="shared" si="0"/>
        <v>1999</v>
      </c>
      <c r="W4" s="5">
        <v>2000</v>
      </c>
      <c r="X4" s="5">
        <f>W4+1</f>
        <v>2001</v>
      </c>
      <c r="Y4" s="21">
        <f t="shared" ref="Y4:AT4" si="1">X4+1</f>
        <v>2002</v>
      </c>
      <c r="Z4" s="21">
        <f t="shared" si="1"/>
        <v>2003</v>
      </c>
      <c r="AA4" s="21">
        <f t="shared" si="1"/>
        <v>2004</v>
      </c>
      <c r="AB4" s="21">
        <f t="shared" si="1"/>
        <v>2005</v>
      </c>
      <c r="AC4" s="21">
        <f t="shared" si="1"/>
        <v>2006</v>
      </c>
      <c r="AD4" s="21">
        <f t="shared" si="1"/>
        <v>2007</v>
      </c>
      <c r="AE4" s="21">
        <f t="shared" si="1"/>
        <v>2008</v>
      </c>
      <c r="AF4" s="21">
        <f t="shared" si="1"/>
        <v>2009</v>
      </c>
      <c r="AG4" s="21">
        <f t="shared" si="1"/>
        <v>2010</v>
      </c>
      <c r="AH4" s="21">
        <f t="shared" si="1"/>
        <v>2011</v>
      </c>
      <c r="AI4" s="21">
        <f t="shared" si="1"/>
        <v>2012</v>
      </c>
      <c r="AJ4" s="21">
        <f t="shared" si="1"/>
        <v>2013</v>
      </c>
      <c r="AK4" s="21">
        <f t="shared" si="1"/>
        <v>2014</v>
      </c>
      <c r="AL4" s="21">
        <f t="shared" si="1"/>
        <v>2015</v>
      </c>
      <c r="AM4" s="21">
        <f t="shared" si="1"/>
        <v>2016</v>
      </c>
      <c r="AN4" s="21">
        <f t="shared" si="1"/>
        <v>2017</v>
      </c>
      <c r="AO4" s="21">
        <f t="shared" si="1"/>
        <v>2018</v>
      </c>
      <c r="AP4" s="21">
        <f t="shared" si="1"/>
        <v>2019</v>
      </c>
      <c r="AQ4" s="21">
        <f t="shared" si="1"/>
        <v>2020</v>
      </c>
      <c r="AR4" s="21">
        <f t="shared" si="1"/>
        <v>2021</v>
      </c>
      <c r="AS4" s="21">
        <f t="shared" si="1"/>
        <v>2022</v>
      </c>
      <c r="AT4" s="21">
        <f t="shared" si="1"/>
        <v>2023</v>
      </c>
    </row>
    <row r="5" spans="1:46" s="20" customFormat="1" ht="18.75" customHeight="1" x14ac:dyDescent="0.2">
      <c r="A5" s="26" t="s">
        <v>18</v>
      </c>
      <c r="B5" s="27"/>
      <c r="C5" s="28" t="s">
        <v>19</v>
      </c>
      <c r="D5" s="29">
        <f>SUM(D$6:D$8)</f>
        <v>501.90000000000009</v>
      </c>
      <c r="E5" s="29">
        <f t="shared" ref="E5:V5" si="2">SUM(E$6:E$8)</f>
        <v>605.29999999999995</v>
      </c>
      <c r="F5" s="29">
        <f t="shared" si="2"/>
        <v>627.80000000000007</v>
      </c>
      <c r="G5" s="29">
        <f t="shared" si="2"/>
        <v>492.1</v>
      </c>
      <c r="H5" s="29">
        <f t="shared" si="2"/>
        <v>546.29999999999995</v>
      </c>
      <c r="I5" s="29">
        <f t="shared" si="2"/>
        <v>510.09999999999991</v>
      </c>
      <c r="J5" s="29">
        <f t="shared" si="2"/>
        <v>514.6</v>
      </c>
      <c r="K5" s="29">
        <f t="shared" si="2"/>
        <v>501.9</v>
      </c>
      <c r="L5" s="29">
        <f t="shared" si="2"/>
        <v>484.5</v>
      </c>
      <c r="M5" s="29">
        <f t="shared" si="2"/>
        <v>539.09999999999991</v>
      </c>
      <c r="N5" s="29">
        <f t="shared" si="2"/>
        <v>546.6</v>
      </c>
      <c r="O5" s="29">
        <f t="shared" si="2"/>
        <v>560.49999999999989</v>
      </c>
      <c r="P5" s="29">
        <f t="shared" si="2"/>
        <v>564.09999999999991</v>
      </c>
      <c r="Q5" s="29">
        <f t="shared" si="2"/>
        <v>610.70000000000005</v>
      </c>
      <c r="R5" s="29">
        <f t="shared" si="2"/>
        <v>605.5</v>
      </c>
      <c r="S5" s="29">
        <f t="shared" si="2"/>
        <v>636.5</v>
      </c>
      <c r="T5" s="29">
        <f t="shared" si="2"/>
        <v>618.79999999999995</v>
      </c>
      <c r="U5" s="29">
        <f t="shared" si="2"/>
        <v>567.5</v>
      </c>
      <c r="V5" s="29">
        <f t="shared" si="2"/>
        <v>653.29999999999995</v>
      </c>
      <c r="W5" s="30">
        <v>625.20000000000005</v>
      </c>
      <c r="X5" s="30">
        <v>598.90000000000009</v>
      </c>
      <c r="Y5" s="31">
        <v>672.3</v>
      </c>
      <c r="Z5" s="31">
        <v>569.40000000000009</v>
      </c>
      <c r="AA5" s="31">
        <v>506.8</v>
      </c>
      <c r="AB5" s="31">
        <v>527.29999999999995</v>
      </c>
      <c r="AC5" s="31">
        <v>489.5</v>
      </c>
      <c r="AD5" s="31">
        <v>523.70000000000005</v>
      </c>
      <c r="AE5" s="31">
        <v>563.4</v>
      </c>
      <c r="AF5" s="31">
        <v>545.20000000000005</v>
      </c>
      <c r="AG5" s="31">
        <v>563</v>
      </c>
      <c r="AH5" s="31">
        <v>612.90000000000009</v>
      </c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</row>
    <row r="6" spans="1:46" ht="18.75" customHeight="1" x14ac:dyDescent="0.2">
      <c r="A6" s="33"/>
      <c r="B6" s="34" t="s">
        <v>20</v>
      </c>
      <c r="C6" s="35"/>
      <c r="D6" s="36">
        <v>46.300000000000004</v>
      </c>
      <c r="E6" s="37">
        <v>31.6</v>
      </c>
      <c r="F6" s="37">
        <v>24.8</v>
      </c>
      <c r="G6" s="37">
        <v>28.8</v>
      </c>
      <c r="H6" s="37">
        <v>37.599999999999994</v>
      </c>
      <c r="I6" s="37">
        <v>32.4</v>
      </c>
      <c r="J6" s="37">
        <v>35</v>
      </c>
      <c r="K6" s="37">
        <v>31.200000000000003</v>
      </c>
      <c r="L6" s="37">
        <v>33.200000000000003</v>
      </c>
      <c r="M6" s="37">
        <v>37.099999999999994</v>
      </c>
      <c r="N6" s="37">
        <v>28.000000000000004</v>
      </c>
      <c r="O6" s="37">
        <v>21.2</v>
      </c>
      <c r="P6" s="37">
        <v>39.4</v>
      </c>
      <c r="Q6" s="37">
        <v>42.7</v>
      </c>
      <c r="R6" s="37">
        <v>40.600000000000009</v>
      </c>
      <c r="S6" s="37">
        <v>43.3</v>
      </c>
      <c r="T6" s="37">
        <v>37.5</v>
      </c>
      <c r="U6" s="37">
        <v>19.499999999999996</v>
      </c>
      <c r="V6" s="37">
        <v>33.200000000000003</v>
      </c>
      <c r="W6" s="38">
        <v>20.9</v>
      </c>
      <c r="X6" s="38">
        <v>10.6</v>
      </c>
      <c r="Y6" s="39">
        <v>19.399999999999999</v>
      </c>
      <c r="Z6" s="39">
        <v>14.1</v>
      </c>
      <c r="AA6" s="39">
        <v>15.8</v>
      </c>
      <c r="AB6" s="39">
        <v>30</v>
      </c>
      <c r="AC6" s="39">
        <v>6.8</v>
      </c>
      <c r="AD6" s="39">
        <v>10.9</v>
      </c>
      <c r="AE6" s="39">
        <v>10</v>
      </c>
      <c r="AF6" s="39">
        <v>7.5</v>
      </c>
      <c r="AG6" s="39">
        <v>8.8000000000000007</v>
      </c>
      <c r="AH6" s="39">
        <v>14.7</v>
      </c>
    </row>
    <row r="7" spans="1:46" ht="18.75" customHeight="1" x14ac:dyDescent="0.2">
      <c r="A7" s="33"/>
      <c r="B7" s="34" t="s">
        <v>21</v>
      </c>
      <c r="C7" s="35"/>
      <c r="D7" s="36">
        <v>299.80000000000007</v>
      </c>
      <c r="E7" s="37">
        <v>393.9</v>
      </c>
      <c r="F7" s="37">
        <v>384.40000000000003</v>
      </c>
      <c r="G7" s="37">
        <v>290.8</v>
      </c>
      <c r="H7" s="37">
        <v>291.19999999999993</v>
      </c>
      <c r="I7" s="37">
        <v>290.39999999999998</v>
      </c>
      <c r="J7" s="37">
        <v>308.10000000000002</v>
      </c>
      <c r="K7" s="37">
        <v>294.39999999999998</v>
      </c>
      <c r="L7" s="37">
        <v>275.3</v>
      </c>
      <c r="M7" s="37">
        <v>320.40000000000003</v>
      </c>
      <c r="N7" s="37">
        <v>327.39999999999998</v>
      </c>
      <c r="O7" s="37">
        <v>349.59999999999991</v>
      </c>
      <c r="P7" s="37">
        <v>353.2</v>
      </c>
      <c r="Q7" s="37">
        <v>370</v>
      </c>
      <c r="R7" s="37">
        <v>374.4</v>
      </c>
      <c r="S7" s="37">
        <v>400.6</v>
      </c>
      <c r="T7" s="37">
        <v>384</v>
      </c>
      <c r="U7" s="37">
        <v>410.59999999999997</v>
      </c>
      <c r="V7" s="37">
        <v>399.3</v>
      </c>
      <c r="W7" s="38">
        <v>377.6</v>
      </c>
      <c r="X7" s="38">
        <v>413</v>
      </c>
      <c r="Y7" s="39">
        <v>469.4</v>
      </c>
      <c r="Z7" s="39">
        <v>426.6</v>
      </c>
      <c r="AA7" s="39">
        <v>442.6</v>
      </c>
      <c r="AB7" s="39">
        <v>459.7</v>
      </c>
      <c r="AC7" s="39">
        <v>447.9</v>
      </c>
      <c r="AD7" s="39">
        <v>490.3</v>
      </c>
      <c r="AE7" s="39">
        <v>549.9</v>
      </c>
      <c r="AF7" s="39">
        <v>534.20000000000005</v>
      </c>
      <c r="AG7" s="39">
        <v>554.20000000000005</v>
      </c>
      <c r="AH7" s="39">
        <v>598.20000000000005</v>
      </c>
    </row>
    <row r="8" spans="1:46" ht="18.75" customHeight="1" x14ac:dyDescent="0.2">
      <c r="A8" s="33"/>
      <c r="B8" s="34" t="s">
        <v>22</v>
      </c>
      <c r="C8" s="35"/>
      <c r="D8" s="36">
        <v>155.80000000000001</v>
      </c>
      <c r="E8" s="37">
        <v>179.8</v>
      </c>
      <c r="F8" s="37">
        <v>218.6</v>
      </c>
      <c r="G8" s="37">
        <v>172.5</v>
      </c>
      <c r="H8" s="37">
        <v>217.5</v>
      </c>
      <c r="I8" s="37">
        <v>187.29999999999995</v>
      </c>
      <c r="J8" s="37">
        <v>171.5</v>
      </c>
      <c r="K8" s="37">
        <v>176.3</v>
      </c>
      <c r="L8" s="37">
        <v>176</v>
      </c>
      <c r="M8" s="37">
        <v>181.59999999999997</v>
      </c>
      <c r="N8" s="37">
        <v>191.20000000000002</v>
      </c>
      <c r="O8" s="37">
        <v>189.70000000000002</v>
      </c>
      <c r="P8" s="37">
        <v>171.5</v>
      </c>
      <c r="Q8" s="37">
        <v>198.00000000000003</v>
      </c>
      <c r="R8" s="37">
        <v>190.5</v>
      </c>
      <c r="S8" s="37">
        <v>192.6</v>
      </c>
      <c r="T8" s="37">
        <v>197.29999999999998</v>
      </c>
      <c r="U8" s="37">
        <v>137.4</v>
      </c>
      <c r="V8" s="37">
        <v>220.8</v>
      </c>
      <c r="W8" s="38">
        <v>226.7</v>
      </c>
      <c r="X8" s="38">
        <v>175.3</v>
      </c>
      <c r="Y8" s="39">
        <v>183.5</v>
      </c>
      <c r="Z8" s="39">
        <v>128.69999999999999</v>
      </c>
      <c r="AA8" s="39">
        <v>48.4</v>
      </c>
      <c r="AB8" s="39">
        <v>37.6</v>
      </c>
      <c r="AC8" s="39">
        <v>34.799999999999997</v>
      </c>
      <c r="AD8" s="39">
        <v>22.5</v>
      </c>
      <c r="AE8" s="39">
        <v>3.5</v>
      </c>
      <c r="AF8" s="39">
        <v>3.5</v>
      </c>
      <c r="AG8" s="39">
        <v>0</v>
      </c>
      <c r="AH8" s="39">
        <v>0</v>
      </c>
    </row>
    <row r="9" spans="1:46" s="20" customFormat="1" ht="18.75" customHeight="1" x14ac:dyDescent="0.2">
      <c r="A9" s="41" t="s">
        <v>23</v>
      </c>
      <c r="B9" s="42"/>
      <c r="C9" s="43" t="s">
        <v>24</v>
      </c>
      <c r="D9" s="44">
        <f>SUM(D$10:D$13)</f>
        <v>6047.8</v>
      </c>
      <c r="E9" s="44">
        <f t="shared" ref="E9:V9" si="3">SUM(E$10:E$13)</f>
        <v>4953.3</v>
      </c>
      <c r="F9" s="44">
        <f t="shared" si="3"/>
        <v>4119.1000000000004</v>
      </c>
      <c r="G9" s="44">
        <f t="shared" si="3"/>
        <v>4246.2999999999984</v>
      </c>
      <c r="H9" s="44">
        <f t="shared" si="3"/>
        <v>4208.6000000000004</v>
      </c>
      <c r="I9" s="44">
        <f t="shared" si="3"/>
        <v>3283.7</v>
      </c>
      <c r="J9" s="44">
        <f t="shared" si="3"/>
        <v>3584.5999999999995</v>
      </c>
      <c r="K9" s="44">
        <f t="shared" si="3"/>
        <v>2904.8</v>
      </c>
      <c r="L9" s="44">
        <f t="shared" si="3"/>
        <v>3817.0000000000005</v>
      </c>
      <c r="M9" s="44">
        <f t="shared" si="3"/>
        <v>4860.2</v>
      </c>
      <c r="N9" s="44">
        <f t="shared" si="3"/>
        <v>4204</v>
      </c>
      <c r="O9" s="44">
        <f t="shared" si="3"/>
        <v>3874.7</v>
      </c>
      <c r="P9" s="44">
        <f t="shared" si="3"/>
        <v>3919.7999999999993</v>
      </c>
      <c r="Q9" s="44">
        <f t="shared" si="3"/>
        <v>4547.7</v>
      </c>
      <c r="R9" s="44">
        <f t="shared" si="3"/>
        <v>4975.8999999999996</v>
      </c>
      <c r="S9" s="44">
        <f t="shared" si="3"/>
        <v>5384.7</v>
      </c>
      <c r="T9" s="44">
        <f t="shared" si="3"/>
        <v>5376.1</v>
      </c>
      <c r="U9" s="44">
        <f t="shared" si="3"/>
        <v>4224.3</v>
      </c>
      <c r="V9" s="44">
        <f t="shared" si="3"/>
        <v>6032.0000000000009</v>
      </c>
      <c r="W9" s="30">
        <f>W10+W11+W12+W13</f>
        <v>9771.8000000000011</v>
      </c>
      <c r="X9" s="30">
        <f>X10+X11+X12+X13</f>
        <v>9541.2999999999993</v>
      </c>
      <c r="Y9" s="31">
        <f>Y10+Y11+Y12+Y13</f>
        <v>9130.3000000000011</v>
      </c>
      <c r="Z9" s="31">
        <f>Z10+Z11+Z12+Z13</f>
        <v>16484.7</v>
      </c>
      <c r="AA9" s="31">
        <f t="shared" ref="AA9:AH9" si="4">AA10+AA11+AA12</f>
        <v>19874.699999999997</v>
      </c>
      <c r="AB9" s="31">
        <f t="shared" si="4"/>
        <v>27235.999999999996</v>
      </c>
      <c r="AC9" s="31">
        <f t="shared" si="4"/>
        <v>35869.599999999999</v>
      </c>
      <c r="AD9" s="31">
        <f t="shared" si="4"/>
        <v>37309.4</v>
      </c>
      <c r="AE9" s="31">
        <f t="shared" si="4"/>
        <v>57575.4</v>
      </c>
      <c r="AF9" s="31">
        <f t="shared" si="4"/>
        <v>26086.7</v>
      </c>
      <c r="AG9" s="31">
        <f t="shared" si="4"/>
        <v>33370</v>
      </c>
      <c r="AH9" s="31">
        <f t="shared" si="4"/>
        <v>41232</v>
      </c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</row>
    <row r="10" spans="1:46" ht="18.75" customHeight="1" x14ac:dyDescent="0.2">
      <c r="A10" s="45"/>
      <c r="B10" s="34" t="s">
        <v>25</v>
      </c>
      <c r="C10" s="35"/>
      <c r="D10" s="36">
        <v>5739.1</v>
      </c>
      <c r="E10" s="37">
        <v>4683.4000000000005</v>
      </c>
      <c r="F10" s="37">
        <v>3846</v>
      </c>
      <c r="G10" s="37">
        <v>3975.0999999999995</v>
      </c>
      <c r="H10" s="37">
        <v>3940.2999999999997</v>
      </c>
      <c r="I10" s="37">
        <v>3006.7999999999997</v>
      </c>
      <c r="J10" s="37">
        <v>3392.9999999999995</v>
      </c>
      <c r="K10" s="37">
        <v>2673.2</v>
      </c>
      <c r="L10" s="37">
        <v>3538.9000000000005</v>
      </c>
      <c r="M10" s="37">
        <v>4540.8</v>
      </c>
      <c r="N10" s="37">
        <v>3818.4</v>
      </c>
      <c r="O10" s="37">
        <v>3509.9</v>
      </c>
      <c r="P10" s="37">
        <v>3548.7999999999993</v>
      </c>
      <c r="Q10" s="37">
        <v>4097.2</v>
      </c>
      <c r="R10" s="37">
        <v>4496.1000000000004</v>
      </c>
      <c r="S10" s="37">
        <v>4863.5</v>
      </c>
      <c r="T10" s="37">
        <v>4732.7</v>
      </c>
      <c r="U10" s="37">
        <v>3350.0000000000005</v>
      </c>
      <c r="V10" s="37">
        <v>5217.0000000000009</v>
      </c>
      <c r="W10" s="38">
        <v>8959.4</v>
      </c>
      <c r="X10" s="38">
        <v>8686.4</v>
      </c>
      <c r="Y10" s="39">
        <v>7950.7</v>
      </c>
      <c r="Z10" s="39">
        <v>14888.7</v>
      </c>
      <c r="AA10" s="39">
        <v>18147.599999999999</v>
      </c>
      <c r="AB10" s="39">
        <v>24223.3</v>
      </c>
      <c r="AC10" s="39">
        <v>32249</v>
      </c>
      <c r="AD10" s="39">
        <v>32962.400000000001</v>
      </c>
      <c r="AE10" s="39">
        <v>51696.5</v>
      </c>
      <c r="AF10" s="39">
        <v>22749</v>
      </c>
      <c r="AG10" s="39">
        <v>31236.3</v>
      </c>
      <c r="AH10" s="39">
        <v>38506</v>
      </c>
    </row>
    <row r="11" spans="1:46" ht="18.75" customHeight="1" x14ac:dyDescent="0.2">
      <c r="A11" s="45"/>
      <c r="B11" s="34" t="s">
        <v>26</v>
      </c>
      <c r="C11" s="35"/>
      <c r="D11" s="36">
        <v>246.7</v>
      </c>
      <c r="E11" s="37">
        <v>193.20000000000002</v>
      </c>
      <c r="F11" s="37">
        <v>173.29999999999998</v>
      </c>
      <c r="G11" s="37">
        <v>188.39999999999998</v>
      </c>
      <c r="H11" s="37">
        <v>211.00000000000003</v>
      </c>
      <c r="I11" s="37">
        <v>232.29999999999998</v>
      </c>
      <c r="J11" s="37">
        <v>154.6</v>
      </c>
      <c r="K11" s="37">
        <v>197.99999999999997</v>
      </c>
      <c r="L11" s="37">
        <v>236.69999999999996</v>
      </c>
      <c r="M11" s="37">
        <v>280.39999999999998</v>
      </c>
      <c r="N11" s="37">
        <v>343.4</v>
      </c>
      <c r="O11" s="37">
        <v>322</v>
      </c>
      <c r="P11" s="37">
        <v>328</v>
      </c>
      <c r="Q11" s="37">
        <v>403.5</v>
      </c>
      <c r="R11" s="37">
        <v>428.5</v>
      </c>
      <c r="S11" s="37">
        <v>463.99999999999994</v>
      </c>
      <c r="T11" s="37">
        <v>565</v>
      </c>
      <c r="U11" s="37">
        <v>804.4</v>
      </c>
      <c r="V11" s="37">
        <v>699.4</v>
      </c>
      <c r="W11" s="38">
        <v>725.7</v>
      </c>
      <c r="X11" s="38">
        <v>753.3</v>
      </c>
      <c r="Y11" s="39">
        <v>1087</v>
      </c>
      <c r="Z11" s="39">
        <v>1480.7</v>
      </c>
      <c r="AA11" s="39">
        <v>1713.3</v>
      </c>
      <c r="AB11" s="39">
        <v>2978.6</v>
      </c>
      <c r="AC11" s="39">
        <v>3561.4</v>
      </c>
      <c r="AD11" s="39">
        <v>4253.3999999999996</v>
      </c>
      <c r="AE11" s="39">
        <v>5742.4</v>
      </c>
      <c r="AF11" s="39">
        <v>3278.9</v>
      </c>
      <c r="AG11" s="39">
        <v>2078.6</v>
      </c>
      <c r="AH11" s="39">
        <v>2552.4</v>
      </c>
    </row>
    <row r="12" spans="1:46" ht="18.75" customHeight="1" x14ac:dyDescent="0.2">
      <c r="A12" s="45"/>
      <c r="B12" s="34" t="s">
        <v>27</v>
      </c>
      <c r="C12" s="35"/>
      <c r="D12" s="36">
        <v>3.6</v>
      </c>
      <c r="E12" s="37">
        <v>5</v>
      </c>
      <c r="F12" s="37">
        <v>9.2999999999999989</v>
      </c>
      <c r="G12" s="37">
        <v>7.4000000000000012</v>
      </c>
      <c r="H12" s="37">
        <v>5.0000000000000009</v>
      </c>
      <c r="I12" s="37">
        <v>11.200000000000001</v>
      </c>
      <c r="J12" s="37">
        <v>10.6</v>
      </c>
      <c r="K12" s="37">
        <v>11.3</v>
      </c>
      <c r="L12" s="37">
        <v>14.600000000000001</v>
      </c>
      <c r="M12" s="37">
        <v>10.8</v>
      </c>
      <c r="N12" s="37">
        <v>8.8000000000000007</v>
      </c>
      <c r="O12" s="37">
        <v>10.1</v>
      </c>
      <c r="P12" s="37">
        <v>11.2</v>
      </c>
      <c r="Q12" s="37">
        <v>10.700000000000001</v>
      </c>
      <c r="R12" s="37">
        <v>9.9</v>
      </c>
      <c r="S12" s="37">
        <v>12</v>
      </c>
      <c r="T12" s="37">
        <v>24.099999999999998</v>
      </c>
      <c r="U12" s="37">
        <v>4.9999999999999991</v>
      </c>
      <c r="V12" s="37">
        <v>46.8</v>
      </c>
      <c r="W12" s="38">
        <v>13.1</v>
      </c>
      <c r="X12" s="38">
        <v>25.1</v>
      </c>
      <c r="Y12" s="39">
        <v>22.9</v>
      </c>
      <c r="Z12" s="39">
        <v>28.2</v>
      </c>
      <c r="AA12" s="39">
        <v>13.8</v>
      </c>
      <c r="AB12" s="39">
        <v>34.1</v>
      </c>
      <c r="AC12" s="39">
        <v>59.2</v>
      </c>
      <c r="AD12" s="39">
        <v>93.6</v>
      </c>
      <c r="AE12" s="39">
        <v>136.5</v>
      </c>
      <c r="AF12" s="39">
        <v>58.8</v>
      </c>
      <c r="AG12" s="39">
        <v>55.1</v>
      </c>
      <c r="AH12" s="39">
        <v>173.6</v>
      </c>
    </row>
    <row r="13" spans="1:46" ht="18.75" customHeight="1" x14ac:dyDescent="0.2">
      <c r="A13" s="45"/>
      <c r="B13" s="34" t="s">
        <v>28</v>
      </c>
      <c r="C13" s="35"/>
      <c r="D13" s="10">
        <v>58.4</v>
      </c>
      <c r="E13" s="8">
        <v>71.699999999999989</v>
      </c>
      <c r="F13" s="8">
        <v>90.5</v>
      </c>
      <c r="G13" s="8">
        <v>75.399999999999991</v>
      </c>
      <c r="H13" s="8">
        <v>52.300000000000011</v>
      </c>
      <c r="I13" s="8">
        <v>33.400000000000006</v>
      </c>
      <c r="J13" s="8">
        <v>26.4</v>
      </c>
      <c r="K13" s="8">
        <v>22.300000000000004</v>
      </c>
      <c r="L13" s="8">
        <v>26.800000000000004</v>
      </c>
      <c r="M13" s="8">
        <v>28.200000000000003</v>
      </c>
      <c r="N13" s="8">
        <v>33.4</v>
      </c>
      <c r="O13" s="8">
        <v>32.700000000000003</v>
      </c>
      <c r="P13" s="8">
        <v>31.8</v>
      </c>
      <c r="Q13" s="8">
        <v>36.300000000000004</v>
      </c>
      <c r="R13" s="8">
        <v>41.400000000000006</v>
      </c>
      <c r="S13" s="8">
        <v>45.2</v>
      </c>
      <c r="T13" s="8">
        <v>54.300000000000004</v>
      </c>
      <c r="U13" s="8">
        <v>64.899999999999991</v>
      </c>
      <c r="V13" s="8">
        <v>68.8</v>
      </c>
      <c r="W13" s="38">
        <v>73.599999999999994</v>
      </c>
      <c r="X13" s="38">
        <v>76.5</v>
      </c>
      <c r="Y13" s="39">
        <v>69.7</v>
      </c>
      <c r="Z13" s="39">
        <v>87.100000000000009</v>
      </c>
      <c r="AA13" s="39"/>
      <c r="AB13" s="39"/>
      <c r="AC13" s="39"/>
      <c r="AD13" s="39"/>
      <c r="AE13" s="39"/>
      <c r="AF13" s="39"/>
      <c r="AG13" s="39"/>
      <c r="AH13" s="39"/>
    </row>
    <row r="14" spans="1:46" s="53" customFormat="1" ht="21" customHeight="1" x14ac:dyDescent="0.2">
      <c r="A14" s="46" t="s">
        <v>29</v>
      </c>
      <c r="B14" s="47"/>
      <c r="C14" s="48" t="s">
        <v>30</v>
      </c>
      <c r="D14" s="49">
        <f>SUM(D$15,D$18,D$20:D$22,D$25,D$26)</f>
        <v>1009.8</v>
      </c>
      <c r="E14" s="49">
        <f t="shared" ref="E14:V14" si="5">SUM(E$15,E$18,E$20:E$22,E$25,E$26)</f>
        <v>1142.3999999999999</v>
      </c>
      <c r="F14" s="49">
        <f t="shared" si="5"/>
        <v>1540.8</v>
      </c>
      <c r="G14" s="49">
        <f t="shared" si="5"/>
        <v>1712.6000000000001</v>
      </c>
      <c r="H14" s="49">
        <f t="shared" si="5"/>
        <v>1571.8000000000002</v>
      </c>
      <c r="I14" s="49">
        <f t="shared" si="5"/>
        <v>1662.2</v>
      </c>
      <c r="J14" s="49">
        <f t="shared" si="5"/>
        <v>1767.3999999999996</v>
      </c>
      <c r="K14" s="49">
        <f t="shared" si="5"/>
        <v>2188.9</v>
      </c>
      <c r="L14" s="49">
        <f t="shared" si="5"/>
        <v>2334.9</v>
      </c>
      <c r="M14" s="49">
        <f t="shared" si="5"/>
        <v>2892.5</v>
      </c>
      <c r="N14" s="49">
        <f t="shared" si="5"/>
        <v>3117.9</v>
      </c>
      <c r="O14" s="49">
        <f t="shared" si="5"/>
        <v>3061.6000000000004</v>
      </c>
      <c r="P14" s="49">
        <f t="shared" si="5"/>
        <v>3481.1</v>
      </c>
      <c r="Q14" s="49">
        <f t="shared" si="5"/>
        <v>4822.8</v>
      </c>
      <c r="R14" s="49">
        <f t="shared" si="5"/>
        <v>5109.7000000000007</v>
      </c>
      <c r="S14" s="49">
        <f t="shared" si="5"/>
        <v>5661.4000000000005</v>
      </c>
      <c r="T14" s="49">
        <f t="shared" si="5"/>
        <v>5602.0999999999995</v>
      </c>
      <c r="U14" s="49">
        <f t="shared" si="5"/>
        <v>5665.7000000000007</v>
      </c>
      <c r="V14" s="49">
        <f t="shared" si="5"/>
        <v>6212.4</v>
      </c>
      <c r="W14" s="50">
        <f>W15+W18+W20+W21+W22+W25+W26</f>
        <v>8700.4</v>
      </c>
      <c r="X14" s="50">
        <f t="shared" ref="X14:AH14" si="6">X15+X18+X20+X21+X22+X25+X26</f>
        <v>8726.9000000000015</v>
      </c>
      <c r="Y14" s="51">
        <f t="shared" si="6"/>
        <v>8888</v>
      </c>
      <c r="Z14" s="51">
        <f t="shared" si="6"/>
        <v>12902.999999999998</v>
      </c>
      <c r="AA14" s="51">
        <f t="shared" si="6"/>
        <v>17296.5</v>
      </c>
      <c r="AB14" s="51">
        <f t="shared" si="6"/>
        <v>21425.599999999999</v>
      </c>
      <c r="AC14" s="51">
        <f t="shared" si="6"/>
        <v>23053.9</v>
      </c>
      <c r="AD14" s="51">
        <f t="shared" si="6"/>
        <v>27172.999999999996</v>
      </c>
      <c r="AE14" s="51">
        <f t="shared" si="6"/>
        <v>32161</v>
      </c>
      <c r="AF14" s="51">
        <f t="shared" si="6"/>
        <v>20740.2</v>
      </c>
      <c r="AG14" s="51">
        <f t="shared" si="6"/>
        <v>27885.800000000003</v>
      </c>
      <c r="AH14" s="51">
        <f t="shared" si="6"/>
        <v>34821.699999999997</v>
      </c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</row>
    <row r="15" spans="1:46" ht="18.75" customHeight="1" x14ac:dyDescent="0.2">
      <c r="A15" s="41" t="s">
        <v>31</v>
      </c>
      <c r="B15" s="42"/>
      <c r="C15" s="43" t="s">
        <v>32</v>
      </c>
      <c r="D15" s="54">
        <v>188.70000000000002</v>
      </c>
      <c r="E15" s="54">
        <v>203.39999999999998</v>
      </c>
      <c r="F15" s="54">
        <v>272.00000000000006</v>
      </c>
      <c r="G15" s="54">
        <v>277.89999999999998</v>
      </c>
      <c r="H15" s="54">
        <v>453.99999999999994</v>
      </c>
      <c r="I15" s="54">
        <v>586.9</v>
      </c>
      <c r="J15" s="54">
        <v>665.59999999999991</v>
      </c>
      <c r="K15" s="54">
        <v>729.4</v>
      </c>
      <c r="L15" s="54">
        <v>743.3</v>
      </c>
      <c r="M15" s="54">
        <v>886.30000000000018</v>
      </c>
      <c r="N15" s="54">
        <v>1000.3000000000001</v>
      </c>
      <c r="O15" s="54">
        <v>1074.9000000000003</v>
      </c>
      <c r="P15" s="54">
        <v>1221.5</v>
      </c>
      <c r="Q15" s="54">
        <v>1332.1</v>
      </c>
      <c r="R15" s="54">
        <v>1257.3000000000002</v>
      </c>
      <c r="S15" s="54">
        <v>1106.6999999999998</v>
      </c>
      <c r="T15" s="54">
        <v>1278.8000000000002</v>
      </c>
      <c r="U15" s="54">
        <v>1661.1000000000001</v>
      </c>
      <c r="V15" s="54">
        <v>1771</v>
      </c>
      <c r="W15" s="38">
        <f>1686.9+W16+W17</f>
        <v>1758.9</v>
      </c>
      <c r="X15" s="38">
        <f>1921.1+X16+X17</f>
        <v>2029.8</v>
      </c>
      <c r="Y15" s="39">
        <f>2001.8+Y16+Y17</f>
        <v>2116.6999999999998</v>
      </c>
      <c r="Z15" s="39">
        <f>1812.1+Z16+Z17</f>
        <v>1917.3</v>
      </c>
      <c r="AA15" s="39">
        <f>1898.6+AA16+AA17</f>
        <v>2028.7999999999997</v>
      </c>
      <c r="AB15" s="39">
        <f>2055+AB16+AB17</f>
        <v>2015</v>
      </c>
      <c r="AC15" s="39">
        <f>2377.2+AC16+AC17</f>
        <v>2544.9999999999995</v>
      </c>
      <c r="AD15" s="39">
        <f>2731.2+AD16+AD17</f>
        <v>2716.4999999999995</v>
      </c>
      <c r="AE15" s="39">
        <f>2883.3+AE16+AE17</f>
        <v>2960.6</v>
      </c>
      <c r="AF15" s="39">
        <f>3828+AF16+AF17</f>
        <v>4004.6</v>
      </c>
      <c r="AG15" s="39">
        <f>5337.2+AG16+AG17</f>
        <v>5508.7</v>
      </c>
      <c r="AH15" s="39">
        <f>5018.2+AH16+AH17</f>
        <v>5149.5</v>
      </c>
    </row>
    <row r="16" spans="1:46" ht="18.75" customHeight="1" x14ac:dyDescent="0.2">
      <c r="A16" s="33"/>
      <c r="B16" s="34" t="s">
        <v>33</v>
      </c>
      <c r="C16" s="35"/>
      <c r="D16" s="36">
        <v>-80.400000000000006</v>
      </c>
      <c r="E16" s="37">
        <v>-157.10000000000002</v>
      </c>
      <c r="F16" s="37">
        <v>-259.10000000000002</v>
      </c>
      <c r="G16" s="37">
        <v>-269.90000000000003</v>
      </c>
      <c r="H16" s="37">
        <v>-136.30000000000001</v>
      </c>
      <c r="I16" s="37">
        <v>-64.3</v>
      </c>
      <c r="J16" s="37">
        <v>-75.800000000000011</v>
      </c>
      <c r="K16" s="37">
        <v>-71.599999999999994</v>
      </c>
      <c r="L16" s="37">
        <v>-69.7</v>
      </c>
      <c r="M16" s="37">
        <v>-28.5</v>
      </c>
      <c r="N16" s="37">
        <v>-25.799999999999997</v>
      </c>
      <c r="O16" s="37">
        <v>-6.6000000000000085</v>
      </c>
      <c r="P16" s="37">
        <v>29.799999999999997</v>
      </c>
      <c r="Q16" s="37">
        <v>36.800000000000011</v>
      </c>
      <c r="R16" s="37">
        <v>-6.7999999999999972</v>
      </c>
      <c r="S16" s="37">
        <v>-29.5</v>
      </c>
      <c r="T16" s="37">
        <v>-33.099999999999994</v>
      </c>
      <c r="U16" s="37">
        <v>6.9000000000000057</v>
      </c>
      <c r="V16" s="37">
        <v>-30.5</v>
      </c>
      <c r="W16" s="38">
        <v>-67.599999999999994</v>
      </c>
      <c r="X16" s="38">
        <v>-64</v>
      </c>
      <c r="Y16" s="39">
        <v>-57.9</v>
      </c>
      <c r="Z16" s="39">
        <v>-100</v>
      </c>
      <c r="AA16" s="39">
        <v>67.599999999999994</v>
      </c>
      <c r="AB16" s="39">
        <v>-50.2</v>
      </c>
      <c r="AC16" s="39">
        <v>58.7</v>
      </c>
      <c r="AD16" s="39">
        <v>-29.4</v>
      </c>
      <c r="AE16" s="39">
        <v>5.0999999999999996</v>
      </c>
      <c r="AF16" s="39">
        <v>-7.3</v>
      </c>
      <c r="AG16" s="39">
        <v>0</v>
      </c>
      <c r="AH16" s="39">
        <v>0</v>
      </c>
    </row>
    <row r="17" spans="1:46" ht="18.75" customHeight="1" x14ac:dyDescent="0.2">
      <c r="A17" s="33"/>
      <c r="B17" s="34" t="s">
        <v>34</v>
      </c>
      <c r="C17" s="35"/>
      <c r="D17" s="36">
        <v>14.299999999999999</v>
      </c>
      <c r="E17" s="37">
        <v>18.499999999999996</v>
      </c>
      <c r="F17" s="37">
        <v>28.5</v>
      </c>
      <c r="G17" s="37">
        <v>24.800000000000004</v>
      </c>
      <c r="H17" s="37">
        <v>30</v>
      </c>
      <c r="I17" s="37">
        <v>31.099999999999998</v>
      </c>
      <c r="J17" s="37">
        <v>39.300000000000004</v>
      </c>
      <c r="K17" s="37">
        <v>39.200000000000003</v>
      </c>
      <c r="L17" s="37">
        <v>35.4</v>
      </c>
      <c r="M17" s="37">
        <v>36.700000000000003</v>
      </c>
      <c r="N17" s="37">
        <v>38</v>
      </c>
      <c r="O17" s="37">
        <v>32.299999999999997</v>
      </c>
      <c r="P17" s="37">
        <v>34.5</v>
      </c>
      <c r="Q17" s="37">
        <v>37.1</v>
      </c>
      <c r="R17" s="37">
        <v>134.4</v>
      </c>
      <c r="S17" s="37">
        <v>114.1</v>
      </c>
      <c r="T17" s="37">
        <v>191.70000000000002</v>
      </c>
      <c r="U17" s="37">
        <v>209</v>
      </c>
      <c r="V17" s="37">
        <v>207.5</v>
      </c>
      <c r="W17" s="38">
        <v>139.6</v>
      </c>
      <c r="X17" s="38">
        <v>172.7</v>
      </c>
      <c r="Y17" s="39">
        <v>172.8</v>
      </c>
      <c r="Z17" s="39">
        <v>205.2</v>
      </c>
      <c r="AA17" s="39">
        <v>62.6</v>
      </c>
      <c r="AB17" s="39">
        <v>10.199999999999999</v>
      </c>
      <c r="AC17" s="39">
        <v>109.1</v>
      </c>
      <c r="AD17" s="39">
        <v>14.7</v>
      </c>
      <c r="AE17" s="39">
        <v>72.2</v>
      </c>
      <c r="AF17" s="39">
        <v>183.9</v>
      </c>
      <c r="AG17" s="39">
        <v>171.5</v>
      </c>
      <c r="AH17" s="39">
        <v>131.30000000000001</v>
      </c>
    </row>
    <row r="18" spans="1:46" ht="18.75" customHeight="1" x14ac:dyDescent="0.2">
      <c r="A18" s="55" t="s">
        <v>35</v>
      </c>
      <c r="B18" s="56"/>
      <c r="C18" s="57" t="s">
        <v>36</v>
      </c>
      <c r="D18" s="36">
        <v>92.800000000000011</v>
      </c>
      <c r="E18" s="37">
        <v>82.499999999999986</v>
      </c>
      <c r="F18" s="37">
        <v>98.2</v>
      </c>
      <c r="G18" s="37">
        <v>90.600000000000009</v>
      </c>
      <c r="H18" s="37">
        <v>68.5</v>
      </c>
      <c r="I18" s="37">
        <v>74.100000000000009</v>
      </c>
      <c r="J18" s="37">
        <v>70.8</v>
      </c>
      <c r="K18" s="37">
        <v>52.9</v>
      </c>
      <c r="L18" s="37">
        <v>61.500000000000007</v>
      </c>
      <c r="M18" s="37">
        <v>80</v>
      </c>
      <c r="N18" s="37">
        <v>88.399999999999991</v>
      </c>
      <c r="O18" s="37">
        <v>72.5</v>
      </c>
      <c r="P18" s="37">
        <v>41</v>
      </c>
      <c r="Q18" s="37">
        <v>35.400000000000006</v>
      </c>
      <c r="R18" s="37">
        <v>62.699999999999996</v>
      </c>
      <c r="S18" s="37">
        <v>59.099999999999994</v>
      </c>
      <c r="T18" s="37">
        <v>66.900000000000006</v>
      </c>
      <c r="U18" s="37">
        <v>67</v>
      </c>
      <c r="V18" s="37">
        <v>87.3</v>
      </c>
      <c r="W18" s="38">
        <v>112.3</v>
      </c>
      <c r="X18" s="38">
        <v>107</v>
      </c>
      <c r="Y18" s="39">
        <v>96.6</v>
      </c>
      <c r="Z18" s="39">
        <v>83.6</v>
      </c>
      <c r="AA18" s="39">
        <v>105.9</v>
      </c>
      <c r="AB18" s="39">
        <v>116.7</v>
      </c>
      <c r="AC18" s="39">
        <v>135.69999999999999</v>
      </c>
      <c r="AD18" s="39">
        <v>135.9</v>
      </c>
      <c r="AE18" s="39">
        <v>121.8</v>
      </c>
      <c r="AF18" s="39">
        <v>124.9</v>
      </c>
      <c r="AG18" s="39">
        <v>121.8</v>
      </c>
      <c r="AH18" s="39">
        <v>125.8</v>
      </c>
    </row>
    <row r="19" spans="1:46" ht="18.75" customHeight="1" x14ac:dyDescent="0.2">
      <c r="A19" s="45"/>
      <c r="B19" s="34" t="s">
        <v>37</v>
      </c>
      <c r="C19" s="35"/>
      <c r="D19" s="36">
        <v>72.3</v>
      </c>
      <c r="E19" s="37">
        <v>66.099999999999994</v>
      </c>
      <c r="F19" s="37">
        <v>81.8</v>
      </c>
      <c r="G19" s="37">
        <v>76.099999999999994</v>
      </c>
      <c r="H19" s="37">
        <v>44.199999999999996</v>
      </c>
      <c r="I19" s="37">
        <v>49.100000000000009</v>
      </c>
      <c r="J19" s="37">
        <v>40.200000000000003</v>
      </c>
      <c r="K19" s="37">
        <v>36.6</v>
      </c>
      <c r="L19" s="37">
        <v>35.1</v>
      </c>
      <c r="M19" s="37">
        <v>48.300000000000004</v>
      </c>
      <c r="N19" s="37">
        <v>49.7</v>
      </c>
      <c r="O19" s="37">
        <v>40.4</v>
      </c>
      <c r="P19" s="37">
        <v>30.599999999999994</v>
      </c>
      <c r="Q19" s="37">
        <v>27.1</v>
      </c>
      <c r="R19" s="37">
        <v>46.7</v>
      </c>
      <c r="S19" s="37">
        <v>43.599999999999994</v>
      </c>
      <c r="T19" s="37">
        <v>49.2</v>
      </c>
      <c r="U19" s="37">
        <v>54.900000000000006</v>
      </c>
      <c r="V19" s="37">
        <v>71.399999999999991</v>
      </c>
      <c r="W19" s="38"/>
      <c r="X19" s="38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 spans="1:46" ht="18.75" customHeight="1" x14ac:dyDescent="0.2">
      <c r="A20" s="55" t="s">
        <v>38</v>
      </c>
      <c r="B20" s="56"/>
      <c r="C20" s="58" t="s">
        <v>39</v>
      </c>
      <c r="D20" s="36">
        <v>75.3</v>
      </c>
      <c r="E20" s="37">
        <v>89.8</v>
      </c>
      <c r="F20" s="37">
        <v>109.2</v>
      </c>
      <c r="G20" s="37">
        <v>115.50000000000001</v>
      </c>
      <c r="H20" s="37">
        <v>112.1</v>
      </c>
      <c r="I20" s="37">
        <v>121.60000000000001</v>
      </c>
      <c r="J20" s="37">
        <v>126.4</v>
      </c>
      <c r="K20" s="37">
        <v>123.2</v>
      </c>
      <c r="L20" s="37">
        <v>133.19999999999999</v>
      </c>
      <c r="M20" s="37">
        <v>161.30000000000001</v>
      </c>
      <c r="N20" s="37">
        <v>165.99999999999997</v>
      </c>
      <c r="O20" s="37">
        <v>182</v>
      </c>
      <c r="P20" s="37">
        <v>231</v>
      </c>
      <c r="Q20" s="37">
        <v>220.4</v>
      </c>
      <c r="R20" s="37">
        <v>266.40000000000003</v>
      </c>
      <c r="S20" s="37">
        <v>230.20000000000002</v>
      </c>
      <c r="T20" s="37">
        <v>262.8</v>
      </c>
      <c r="U20" s="37">
        <v>296.89999999999998</v>
      </c>
      <c r="V20" s="37">
        <v>354.90000000000003</v>
      </c>
      <c r="W20" s="38">
        <v>390.5</v>
      </c>
      <c r="X20" s="38">
        <v>414.1</v>
      </c>
      <c r="Y20" s="39">
        <v>454.8</v>
      </c>
      <c r="Z20" s="39">
        <v>537.70000000000005</v>
      </c>
      <c r="AA20" s="39">
        <v>565.29999999999995</v>
      </c>
      <c r="AB20" s="39">
        <v>635.29999999999995</v>
      </c>
      <c r="AC20" s="39">
        <v>666.1</v>
      </c>
      <c r="AD20" s="39">
        <v>764.9</v>
      </c>
      <c r="AE20" s="39">
        <v>814</v>
      </c>
      <c r="AF20" s="39">
        <v>712.3</v>
      </c>
      <c r="AG20" s="39">
        <v>747.3</v>
      </c>
      <c r="AH20" s="39">
        <v>720.3</v>
      </c>
    </row>
    <row r="21" spans="1:46" ht="18.75" customHeight="1" x14ac:dyDescent="0.2">
      <c r="A21" s="59" t="s">
        <v>40</v>
      </c>
      <c r="B21" s="60"/>
      <c r="C21" s="58"/>
      <c r="D21" s="36">
        <v>49.4</v>
      </c>
      <c r="E21" s="37">
        <v>59.1</v>
      </c>
      <c r="F21" s="37">
        <v>71.900000000000006</v>
      </c>
      <c r="G21" s="37">
        <v>48.300000000000004</v>
      </c>
      <c r="H21" s="37">
        <v>38.1</v>
      </c>
      <c r="I21" s="37">
        <v>32.900000000000006</v>
      </c>
      <c r="J21" s="37">
        <v>30.9</v>
      </c>
      <c r="K21" s="37">
        <v>35</v>
      </c>
      <c r="L21" s="37">
        <v>40.300000000000004</v>
      </c>
      <c r="M21" s="37">
        <v>49.8</v>
      </c>
      <c r="N21" s="37">
        <v>58.9</v>
      </c>
      <c r="O21" s="37">
        <v>47.8</v>
      </c>
      <c r="P21" s="37">
        <v>51.000000000000007</v>
      </c>
      <c r="Q21" s="37">
        <v>53.600000000000009</v>
      </c>
      <c r="R21" s="37">
        <v>73.7</v>
      </c>
      <c r="S21" s="37">
        <v>76.000000000000014</v>
      </c>
      <c r="T21" s="37">
        <v>101.7</v>
      </c>
      <c r="U21" s="37">
        <v>130.1</v>
      </c>
      <c r="V21" s="37">
        <v>150.70000000000002</v>
      </c>
      <c r="W21" s="38">
        <v>127.3</v>
      </c>
      <c r="X21" s="38">
        <v>125.6</v>
      </c>
      <c r="Y21" s="39">
        <v>116.3</v>
      </c>
      <c r="Z21" s="39">
        <v>136.30000000000001</v>
      </c>
      <c r="AA21" s="39">
        <v>139.69999999999999</v>
      </c>
      <c r="AB21" s="39">
        <v>171.4</v>
      </c>
      <c r="AC21" s="39">
        <v>152.5</v>
      </c>
      <c r="AD21" s="39">
        <v>191.5</v>
      </c>
      <c r="AE21" s="39">
        <v>218.9</v>
      </c>
      <c r="AF21" s="39">
        <v>203.4</v>
      </c>
      <c r="AG21" s="39">
        <v>178</v>
      </c>
      <c r="AH21" s="39">
        <v>207.5</v>
      </c>
    </row>
    <row r="22" spans="1:46" ht="18.75" customHeight="1" x14ac:dyDescent="0.2">
      <c r="A22" s="59" t="s">
        <v>41</v>
      </c>
      <c r="B22" s="60"/>
      <c r="C22" s="61" t="s">
        <v>42</v>
      </c>
      <c r="D22" s="36">
        <v>308.8</v>
      </c>
      <c r="E22" s="36">
        <v>402.59999999999991</v>
      </c>
      <c r="F22" s="36">
        <v>635.79999999999995</v>
      </c>
      <c r="G22" s="36">
        <v>786.7</v>
      </c>
      <c r="H22" s="36">
        <v>574.5</v>
      </c>
      <c r="I22" s="36">
        <v>503.20000000000005</v>
      </c>
      <c r="J22" s="36">
        <v>580.29999999999995</v>
      </c>
      <c r="K22" s="36">
        <v>944.6</v>
      </c>
      <c r="L22" s="36">
        <v>855.8</v>
      </c>
      <c r="M22" s="36">
        <v>1282.5</v>
      </c>
      <c r="N22" s="36">
        <v>1307.3</v>
      </c>
      <c r="O22" s="36">
        <v>1186.9000000000001</v>
      </c>
      <c r="P22" s="36">
        <v>1384.1999999999998</v>
      </c>
      <c r="Q22" s="36">
        <v>2552.8000000000002</v>
      </c>
      <c r="R22" s="36">
        <v>2727.8</v>
      </c>
      <c r="S22" s="36">
        <v>3515.6000000000004</v>
      </c>
      <c r="T22" s="36">
        <v>3037.7</v>
      </c>
      <c r="U22" s="36">
        <v>2500.1000000000004</v>
      </c>
      <c r="V22" s="36">
        <v>3125.9000000000005</v>
      </c>
      <c r="W22" s="38">
        <f>687+W23+W24</f>
        <v>5690</v>
      </c>
      <c r="X22" s="38">
        <f>698.8+X23+X24</f>
        <v>5242.6000000000004</v>
      </c>
      <c r="Y22" s="39">
        <f>761.6+Y23+Y24</f>
        <v>5040.6000000000004</v>
      </c>
      <c r="Z22" s="39">
        <f>903.6+Z23+Z24</f>
        <v>8755.9</v>
      </c>
      <c r="AA22" s="39">
        <f>1375.9+AA23+AA24</f>
        <v>12292</v>
      </c>
      <c r="AB22" s="39">
        <f>1330.3+AB23+AB24</f>
        <v>17272.899999999998</v>
      </c>
      <c r="AC22" s="39">
        <f>1502.2+AC23+AC24</f>
        <v>17944.300000000003</v>
      </c>
      <c r="AD22" s="39">
        <f>1551.3+AD23+AD24</f>
        <v>21522.199999999997</v>
      </c>
      <c r="AE22" s="39">
        <f>1502.8+AE23+AE24</f>
        <v>26543.9</v>
      </c>
      <c r="AF22" s="39">
        <f>1533.7+AF23+AF24</f>
        <v>15123.399999999998</v>
      </c>
      <c r="AG22" s="39">
        <f>1497.7+AG23+AG24</f>
        <v>20708.900000000001</v>
      </c>
      <c r="AH22" s="39">
        <f>1381.3+AH23+AH24</f>
        <v>26852.399999999998</v>
      </c>
    </row>
    <row r="23" spans="1:46" ht="18.75" customHeight="1" x14ac:dyDescent="0.2">
      <c r="A23" s="33"/>
      <c r="B23" s="62" t="s">
        <v>43</v>
      </c>
      <c r="C23" s="63"/>
      <c r="D23" s="36">
        <v>167.50000000000003</v>
      </c>
      <c r="E23" s="37">
        <v>137.39999999999998</v>
      </c>
      <c r="F23" s="37">
        <v>211.60000000000002</v>
      </c>
      <c r="G23" s="37">
        <v>311.10000000000002</v>
      </c>
      <c r="H23" s="37">
        <v>59.399999999999991</v>
      </c>
      <c r="I23" s="37">
        <v>119.40000000000002</v>
      </c>
      <c r="J23" s="37">
        <v>115.99999999999999</v>
      </c>
      <c r="K23" s="37">
        <v>161.50000000000003</v>
      </c>
      <c r="L23" s="37">
        <v>158.29999999999998</v>
      </c>
      <c r="M23" s="37">
        <v>562.09999999999991</v>
      </c>
      <c r="N23" s="37">
        <v>372.3</v>
      </c>
      <c r="O23" s="37">
        <v>386.5</v>
      </c>
      <c r="P23" s="37">
        <v>439.2</v>
      </c>
      <c r="Q23" s="37">
        <v>475.7</v>
      </c>
      <c r="R23" s="37">
        <v>540.4</v>
      </c>
      <c r="S23" s="37">
        <v>1356</v>
      </c>
      <c r="T23" s="37">
        <v>845.69999999999993</v>
      </c>
      <c r="U23" s="37">
        <v>694.7</v>
      </c>
      <c r="V23" s="37">
        <v>1344.5000000000002</v>
      </c>
      <c r="W23" s="38">
        <v>2821</v>
      </c>
      <c r="X23" s="38">
        <v>2399.3000000000002</v>
      </c>
      <c r="Y23" s="39">
        <v>2557.1</v>
      </c>
      <c r="Z23" s="39">
        <v>4608.3999999999996</v>
      </c>
      <c r="AA23" s="39">
        <v>5750.8</v>
      </c>
      <c r="AB23" s="39">
        <v>8932.9</v>
      </c>
      <c r="AC23" s="39">
        <v>8136</v>
      </c>
      <c r="AD23" s="39">
        <v>10327.799999999999</v>
      </c>
      <c r="AE23" s="39">
        <v>13048.9</v>
      </c>
      <c r="AF23" s="39">
        <v>5310.4</v>
      </c>
      <c r="AG23" s="39">
        <v>9574.2000000000007</v>
      </c>
      <c r="AH23" s="39">
        <v>12848.8</v>
      </c>
    </row>
    <row r="24" spans="1:46" ht="18.75" customHeight="1" x14ac:dyDescent="0.2">
      <c r="A24" s="33"/>
      <c r="B24" s="62" t="s">
        <v>44</v>
      </c>
      <c r="C24" s="63"/>
      <c r="D24" s="36">
        <v>62.5</v>
      </c>
      <c r="E24" s="37">
        <v>137.29999999999998</v>
      </c>
      <c r="F24" s="37">
        <v>196.9</v>
      </c>
      <c r="G24" s="37">
        <v>264.10000000000002</v>
      </c>
      <c r="H24" s="37">
        <v>293.79999999999995</v>
      </c>
      <c r="I24" s="37">
        <v>152.30000000000001</v>
      </c>
      <c r="J24" s="37">
        <v>262.89999999999998</v>
      </c>
      <c r="K24" s="37">
        <v>554.5</v>
      </c>
      <c r="L24" s="37">
        <v>449.5</v>
      </c>
      <c r="M24" s="37">
        <v>462.5</v>
      </c>
      <c r="N24" s="37">
        <v>671</v>
      </c>
      <c r="O24" s="37">
        <v>523.4</v>
      </c>
      <c r="P24" s="37">
        <v>650.6</v>
      </c>
      <c r="Q24" s="37">
        <v>1717.3</v>
      </c>
      <c r="R24" s="37">
        <v>1833.4</v>
      </c>
      <c r="S24" s="37">
        <v>1808.3</v>
      </c>
      <c r="T24" s="37">
        <v>1775</v>
      </c>
      <c r="U24" s="37">
        <v>1275.9000000000001</v>
      </c>
      <c r="V24" s="37">
        <v>1253.7</v>
      </c>
      <c r="W24" s="38">
        <v>2182</v>
      </c>
      <c r="X24" s="38">
        <v>2144.5</v>
      </c>
      <c r="Y24" s="39">
        <v>1721.9</v>
      </c>
      <c r="Z24" s="39">
        <v>3243.9</v>
      </c>
      <c r="AA24" s="39">
        <v>5165.3</v>
      </c>
      <c r="AB24" s="39">
        <v>7009.7</v>
      </c>
      <c r="AC24" s="39">
        <v>8306.1</v>
      </c>
      <c r="AD24" s="39">
        <v>9643.1</v>
      </c>
      <c r="AE24" s="39">
        <v>11992.2</v>
      </c>
      <c r="AF24" s="39">
        <v>8279.2999999999993</v>
      </c>
      <c r="AG24" s="39">
        <v>9637</v>
      </c>
      <c r="AH24" s="39">
        <v>12622.3</v>
      </c>
    </row>
    <row r="25" spans="1:46" ht="18.75" customHeight="1" x14ac:dyDescent="0.2">
      <c r="A25" s="59" t="s">
        <v>45</v>
      </c>
      <c r="B25" s="60"/>
      <c r="C25" s="64" t="s">
        <v>46</v>
      </c>
      <c r="D25" s="36">
        <v>260.3</v>
      </c>
      <c r="E25" s="37">
        <v>273.5</v>
      </c>
      <c r="F25" s="37">
        <v>318</v>
      </c>
      <c r="G25" s="37">
        <v>359.90000000000003</v>
      </c>
      <c r="H25" s="37">
        <v>288.70000000000005</v>
      </c>
      <c r="I25" s="37">
        <v>303.5</v>
      </c>
      <c r="J25" s="37">
        <v>244.3</v>
      </c>
      <c r="K25" s="37">
        <v>240</v>
      </c>
      <c r="L25" s="37">
        <v>435.4</v>
      </c>
      <c r="M25" s="37">
        <v>376.5</v>
      </c>
      <c r="N25" s="37">
        <v>396.9</v>
      </c>
      <c r="O25" s="37">
        <v>409.3</v>
      </c>
      <c r="P25" s="37">
        <v>429.90000000000009</v>
      </c>
      <c r="Q25" s="37">
        <v>497.5</v>
      </c>
      <c r="R25" s="37">
        <v>619.5</v>
      </c>
      <c r="S25" s="37">
        <v>537.5</v>
      </c>
      <c r="T25" s="37">
        <v>664.2</v>
      </c>
      <c r="U25" s="37">
        <v>832.50000000000011</v>
      </c>
      <c r="V25" s="37">
        <v>471.2</v>
      </c>
      <c r="W25" s="38">
        <v>404.9</v>
      </c>
      <c r="X25" s="38">
        <v>589.20000000000005</v>
      </c>
      <c r="Y25" s="39">
        <v>853.4</v>
      </c>
      <c r="Z25" s="39">
        <v>1276.4000000000001</v>
      </c>
      <c r="AA25" s="39">
        <v>2000.6</v>
      </c>
      <c r="AB25" s="39">
        <v>997.5</v>
      </c>
      <c r="AC25" s="39">
        <v>1327.3</v>
      </c>
      <c r="AD25" s="39">
        <v>1496.8</v>
      </c>
      <c r="AE25" s="39">
        <v>1053.8</v>
      </c>
      <c r="AF25" s="39">
        <v>137.69999999999999</v>
      </c>
      <c r="AG25" s="39">
        <v>195.2</v>
      </c>
      <c r="AH25" s="39">
        <v>1262.7</v>
      </c>
    </row>
    <row r="26" spans="1:46" ht="18.75" customHeight="1" x14ac:dyDescent="0.2">
      <c r="A26" s="65" t="s">
        <v>47</v>
      </c>
      <c r="B26" s="66"/>
      <c r="C26" s="67"/>
      <c r="D26" s="10">
        <v>34.5</v>
      </c>
      <c r="E26" s="8">
        <v>31.5</v>
      </c>
      <c r="F26" s="8">
        <v>35.700000000000003</v>
      </c>
      <c r="G26" s="8">
        <v>33.700000000000003</v>
      </c>
      <c r="H26" s="8">
        <v>35.9</v>
      </c>
      <c r="I26" s="8">
        <v>40.000000000000007</v>
      </c>
      <c r="J26" s="8">
        <v>49.1</v>
      </c>
      <c r="K26" s="8">
        <v>63.800000000000004</v>
      </c>
      <c r="L26" s="8">
        <v>65.400000000000006</v>
      </c>
      <c r="M26" s="8">
        <v>56.099999999999994</v>
      </c>
      <c r="N26" s="8">
        <v>100.10000000000001</v>
      </c>
      <c r="O26" s="8">
        <v>88.199999999999989</v>
      </c>
      <c r="P26" s="8">
        <v>122.5</v>
      </c>
      <c r="Q26" s="8">
        <v>131</v>
      </c>
      <c r="R26" s="8">
        <v>102.3</v>
      </c>
      <c r="S26" s="8">
        <v>136.29999999999998</v>
      </c>
      <c r="T26" s="8">
        <v>189.99999999999997</v>
      </c>
      <c r="U26" s="8">
        <v>178</v>
      </c>
      <c r="V26" s="8">
        <v>251.4</v>
      </c>
      <c r="W26" s="38">
        <v>216.5</v>
      </c>
      <c r="X26" s="38">
        <v>218.6</v>
      </c>
      <c r="Y26" s="39">
        <v>209.6</v>
      </c>
      <c r="Z26" s="39">
        <v>195.8</v>
      </c>
      <c r="AA26" s="39">
        <v>164.2</v>
      </c>
      <c r="AB26" s="39">
        <v>216.8</v>
      </c>
      <c r="AC26" s="39">
        <v>283</v>
      </c>
      <c r="AD26" s="39">
        <v>345.2</v>
      </c>
      <c r="AE26" s="39">
        <v>448</v>
      </c>
      <c r="AF26" s="39">
        <v>433.9</v>
      </c>
      <c r="AG26" s="39">
        <v>425.9</v>
      </c>
      <c r="AH26" s="39">
        <v>503.5</v>
      </c>
    </row>
    <row r="27" spans="1:46" s="53" customFormat="1" ht="21" customHeight="1" x14ac:dyDescent="0.2">
      <c r="A27" s="68"/>
      <c r="B27" s="69"/>
      <c r="C27" s="70"/>
      <c r="D27" s="49">
        <f t="shared" ref="D27:AH27" si="7">SUM(D$28,D$29,D$30,D$34,D$32,D$36,D$37,D$39,D$40)</f>
        <v>9999.7000000000007</v>
      </c>
      <c r="E27" s="49">
        <f t="shared" si="7"/>
        <v>13583.2</v>
      </c>
      <c r="F27" s="49">
        <f t="shared" si="7"/>
        <v>13055.300000000001</v>
      </c>
      <c r="G27" s="49">
        <f t="shared" si="7"/>
        <v>12915.999999999998</v>
      </c>
      <c r="H27" s="49">
        <f t="shared" si="7"/>
        <v>12526.399999999998</v>
      </c>
      <c r="I27" s="49">
        <f t="shared" si="7"/>
        <v>12542.499999999998</v>
      </c>
      <c r="J27" s="49">
        <f t="shared" si="7"/>
        <v>12064.9</v>
      </c>
      <c r="K27" s="49">
        <f t="shared" si="7"/>
        <v>12324.100000000002</v>
      </c>
      <c r="L27" s="49">
        <f t="shared" si="7"/>
        <v>12398</v>
      </c>
      <c r="M27" s="49">
        <f t="shared" si="7"/>
        <v>12868.5</v>
      </c>
      <c r="N27" s="49">
        <f t="shared" si="7"/>
        <v>14266.699999999999</v>
      </c>
      <c r="O27" s="49">
        <f t="shared" si="7"/>
        <v>15661.6</v>
      </c>
      <c r="P27" s="49">
        <f t="shared" si="7"/>
        <v>16695.599999999999</v>
      </c>
      <c r="Q27" s="49">
        <f t="shared" si="7"/>
        <v>18354.699999999997</v>
      </c>
      <c r="R27" s="49">
        <f t="shared" si="7"/>
        <v>20425.3</v>
      </c>
      <c r="S27" s="49">
        <f t="shared" si="7"/>
        <v>22322.600000000006</v>
      </c>
      <c r="T27" s="49">
        <f t="shared" si="7"/>
        <v>23942.399999999998</v>
      </c>
      <c r="U27" s="49">
        <f t="shared" si="7"/>
        <v>26775</v>
      </c>
      <c r="V27" s="49">
        <f t="shared" si="7"/>
        <v>29623</v>
      </c>
      <c r="W27" s="49">
        <f t="shared" si="7"/>
        <v>32461.899999999998</v>
      </c>
      <c r="X27" s="49">
        <f t="shared" si="7"/>
        <v>36077.4</v>
      </c>
      <c r="Y27" s="71">
        <f t="shared" si="7"/>
        <v>37385.800000000003</v>
      </c>
      <c r="Z27" s="71">
        <f t="shared" si="7"/>
        <v>41340.599999999991</v>
      </c>
      <c r="AA27" s="71">
        <f t="shared" si="7"/>
        <v>45822.1</v>
      </c>
      <c r="AB27" s="71">
        <f t="shared" si="7"/>
        <v>51372.2</v>
      </c>
      <c r="AC27" s="71">
        <f t="shared" si="7"/>
        <v>55872.600000000006</v>
      </c>
      <c r="AD27" s="71">
        <f t="shared" si="7"/>
        <v>71288.899999999994</v>
      </c>
      <c r="AE27" s="71">
        <f t="shared" si="7"/>
        <v>84145.1</v>
      </c>
      <c r="AF27" s="71">
        <f t="shared" si="7"/>
        <v>74221.5</v>
      </c>
      <c r="AG27" s="71">
        <f t="shared" si="7"/>
        <v>79229.399999999994</v>
      </c>
      <c r="AH27" s="71">
        <f t="shared" si="7"/>
        <v>87146.000000000015</v>
      </c>
      <c r="AI27" s="51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</row>
    <row r="28" spans="1:46" s="20" customFormat="1" ht="18.75" customHeight="1" x14ac:dyDescent="0.2">
      <c r="A28" s="26" t="s">
        <v>48</v>
      </c>
      <c r="B28" s="27"/>
      <c r="C28" s="28" t="s">
        <v>49</v>
      </c>
      <c r="D28" s="29">
        <v>31.099999999999994</v>
      </c>
      <c r="E28" s="72">
        <v>2.1999999999999886</v>
      </c>
      <c r="F28" s="72">
        <v>-5.2000000000000455</v>
      </c>
      <c r="G28" s="72">
        <v>177.00000000000003</v>
      </c>
      <c r="H28" s="72">
        <v>181.3</v>
      </c>
      <c r="I28" s="72">
        <v>198.39999999999998</v>
      </c>
      <c r="J28" s="72">
        <v>254.10000000000002</v>
      </c>
      <c r="K28" s="72">
        <v>293.59999999999997</v>
      </c>
      <c r="L28" s="72">
        <v>258.79999999999995</v>
      </c>
      <c r="M28" s="72">
        <v>268.7</v>
      </c>
      <c r="N28" s="72">
        <v>200.7</v>
      </c>
      <c r="O28" s="72">
        <v>351.09999999999991</v>
      </c>
      <c r="P28" s="72">
        <v>412.2</v>
      </c>
      <c r="Q28" s="72">
        <v>538.1</v>
      </c>
      <c r="R28" s="72">
        <v>463.9</v>
      </c>
      <c r="S28" s="72">
        <v>455.7</v>
      </c>
      <c r="T28" s="72">
        <v>579.1</v>
      </c>
      <c r="U28" s="72">
        <v>849.19999999999993</v>
      </c>
      <c r="V28" s="72">
        <v>894.80000000000007</v>
      </c>
      <c r="W28" s="30">
        <v>888.2</v>
      </c>
      <c r="X28" s="30">
        <v>880.6</v>
      </c>
      <c r="Y28" s="31">
        <v>802.6</v>
      </c>
      <c r="Z28" s="31">
        <v>896.3</v>
      </c>
      <c r="AA28" s="31">
        <v>946.8</v>
      </c>
      <c r="AB28" s="31">
        <v>889.9</v>
      </c>
      <c r="AC28" s="31">
        <v>981.5</v>
      </c>
      <c r="AD28" s="31">
        <v>1534.4</v>
      </c>
      <c r="AE28" s="31">
        <v>1526.3</v>
      </c>
      <c r="AF28" s="31">
        <v>1777.9</v>
      </c>
      <c r="AG28" s="31">
        <v>1809.7</v>
      </c>
      <c r="AH28" s="31">
        <v>2000.1</v>
      </c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</row>
    <row r="29" spans="1:46" s="20" customFormat="1" ht="18.75" customHeight="1" x14ac:dyDescent="0.2">
      <c r="A29" s="41" t="s">
        <v>50</v>
      </c>
      <c r="B29" s="42"/>
      <c r="C29" s="43" t="s">
        <v>51</v>
      </c>
      <c r="D29" s="44">
        <v>2450.8999999999996</v>
      </c>
      <c r="E29" s="44">
        <v>2958.7999999999997</v>
      </c>
      <c r="F29" s="44">
        <v>2643.4000000000005</v>
      </c>
      <c r="G29" s="44">
        <v>2302.1999999999998</v>
      </c>
      <c r="H29" s="44">
        <v>1968.8000000000002</v>
      </c>
      <c r="I29" s="44">
        <v>1603.5999999999997</v>
      </c>
      <c r="J29" s="44">
        <v>1519.8999999999996</v>
      </c>
      <c r="K29" s="44">
        <v>1586.7</v>
      </c>
      <c r="L29" s="44">
        <v>1606.7</v>
      </c>
      <c r="M29" s="44">
        <v>1702.3000000000002</v>
      </c>
      <c r="N29" s="44">
        <v>1899.1999999999998</v>
      </c>
      <c r="O29" s="44">
        <v>1897.6999999999998</v>
      </c>
      <c r="P29" s="44">
        <v>1860.8000000000002</v>
      </c>
      <c r="Q29" s="44">
        <v>2246.5</v>
      </c>
      <c r="R29" s="44">
        <v>2423.8000000000002</v>
      </c>
      <c r="S29" s="44">
        <v>2639.8000000000006</v>
      </c>
      <c r="T29" s="44">
        <v>2745.7</v>
      </c>
      <c r="U29" s="44">
        <v>3237.0999999999995</v>
      </c>
      <c r="V29" s="44">
        <v>3387.9999999999995</v>
      </c>
      <c r="W29" s="30">
        <f>3833.1-W13</f>
        <v>3759.5</v>
      </c>
      <c r="X29" s="30">
        <f>4353.3-X13</f>
        <v>4276.8</v>
      </c>
      <c r="Y29" s="31">
        <f>4092.1-Y13</f>
        <v>4022.4</v>
      </c>
      <c r="Z29" s="31">
        <f>5197-Z13</f>
        <v>5109.8999999999996</v>
      </c>
      <c r="AA29" s="31">
        <v>5938.8</v>
      </c>
      <c r="AB29" s="31">
        <v>7452.5</v>
      </c>
      <c r="AC29" s="31">
        <v>8576.9</v>
      </c>
      <c r="AD29" s="31">
        <v>11309.8</v>
      </c>
      <c r="AE29" s="31">
        <v>14476.5</v>
      </c>
      <c r="AF29" s="31">
        <v>13726.5</v>
      </c>
      <c r="AG29" s="31">
        <v>9410.5</v>
      </c>
      <c r="AH29" s="31">
        <v>8772.2999999999993</v>
      </c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s="20" customFormat="1" ht="18.75" customHeight="1" x14ac:dyDescent="0.2">
      <c r="A30" s="41" t="s">
        <v>52</v>
      </c>
      <c r="B30" s="42"/>
      <c r="C30" s="43" t="s">
        <v>53</v>
      </c>
      <c r="D30" s="44">
        <v>1628.4</v>
      </c>
      <c r="E30" s="44">
        <v>2124.8999999999996</v>
      </c>
      <c r="F30" s="44">
        <v>2191.0999999999995</v>
      </c>
      <c r="G30" s="44">
        <v>2203</v>
      </c>
      <c r="H30" s="44">
        <v>2407.8999999999996</v>
      </c>
      <c r="I30" s="44">
        <v>2719.3</v>
      </c>
      <c r="J30" s="44">
        <v>2681.8</v>
      </c>
      <c r="K30" s="44">
        <v>3001.5000000000005</v>
      </c>
      <c r="L30" s="44">
        <v>3162.7</v>
      </c>
      <c r="M30" s="44">
        <v>3090.5</v>
      </c>
      <c r="N30" s="44">
        <v>3474.2</v>
      </c>
      <c r="O30" s="44">
        <v>3636.2999999999997</v>
      </c>
      <c r="P30" s="44">
        <v>4325.2</v>
      </c>
      <c r="Q30" s="44">
        <v>4619.3999999999996</v>
      </c>
      <c r="R30" s="44">
        <v>5526.5999999999995</v>
      </c>
      <c r="S30" s="44">
        <v>5928.0999999999995</v>
      </c>
      <c r="T30" s="44">
        <v>6450.2999999999993</v>
      </c>
      <c r="U30" s="44">
        <v>6950.4</v>
      </c>
      <c r="V30" s="44">
        <v>7920</v>
      </c>
      <c r="W30" s="30">
        <f>8401.8+W31</f>
        <v>9773.4</v>
      </c>
      <c r="X30" s="30">
        <f>8724.3+X31</f>
        <v>10274.5</v>
      </c>
      <c r="Y30" s="31">
        <f>9286.7+Y31</f>
        <v>10712.1</v>
      </c>
      <c r="Z30" s="31">
        <f>9901.9+Z31</f>
        <v>11262.699999999999</v>
      </c>
      <c r="AA30" s="31">
        <f>10623.5+AA31</f>
        <v>12177.3</v>
      </c>
      <c r="AB30" s="31">
        <f>11970.5+AB31</f>
        <v>14980.3</v>
      </c>
      <c r="AC30" s="31">
        <f>15081.2+AC31</f>
        <v>17287.900000000001</v>
      </c>
      <c r="AD30" s="31">
        <f>16925.1+AD31</f>
        <v>21278.899999999998</v>
      </c>
      <c r="AE30" s="31">
        <f>21140+AE31</f>
        <v>27623.8</v>
      </c>
      <c r="AF30" s="31">
        <f>17934.9+AF31</f>
        <v>20224</v>
      </c>
      <c r="AG30" s="31">
        <f>24911.9+AG31</f>
        <v>28629.300000000003</v>
      </c>
      <c r="AH30" s="31">
        <f>28994+AH31</f>
        <v>35296.800000000003</v>
      </c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</row>
    <row r="31" spans="1:46" ht="33" customHeight="1" x14ac:dyDescent="0.2">
      <c r="A31" s="45"/>
      <c r="B31" s="62" t="s">
        <v>54</v>
      </c>
      <c r="C31" s="63"/>
      <c r="D31" s="36">
        <v>-225.9</v>
      </c>
      <c r="E31" s="37">
        <v>-52.900000000000034</v>
      </c>
      <c r="F31" s="37">
        <v>104.19999999999999</v>
      </c>
      <c r="G31" s="37">
        <v>319.79999999999995</v>
      </c>
      <c r="H31" s="37">
        <v>305.19999999999993</v>
      </c>
      <c r="I31" s="37">
        <v>398.8</v>
      </c>
      <c r="J31" s="37">
        <v>416.29999999999995</v>
      </c>
      <c r="K31" s="37">
        <v>575.4</v>
      </c>
      <c r="L31" s="37">
        <v>601.4</v>
      </c>
      <c r="M31" s="37">
        <v>512.20000000000005</v>
      </c>
      <c r="N31" s="37">
        <v>689.3</v>
      </c>
      <c r="O31" s="37">
        <v>712.2</v>
      </c>
      <c r="P31" s="37">
        <v>837.59999999999991</v>
      </c>
      <c r="Q31" s="37">
        <v>762.40000000000009</v>
      </c>
      <c r="R31" s="37">
        <v>1404.1</v>
      </c>
      <c r="S31" s="37">
        <v>1556.6</v>
      </c>
      <c r="T31" s="37">
        <v>1188.4000000000001</v>
      </c>
      <c r="U31" s="37">
        <v>897.5</v>
      </c>
      <c r="V31" s="37">
        <v>1074</v>
      </c>
      <c r="W31" s="38">
        <v>1371.6</v>
      </c>
      <c r="X31" s="38">
        <v>1550.2</v>
      </c>
      <c r="Y31" s="39">
        <v>1425.4</v>
      </c>
      <c r="Z31" s="39">
        <v>1360.8</v>
      </c>
      <c r="AA31" s="39">
        <v>1553.8</v>
      </c>
      <c r="AB31" s="39">
        <v>3009.8</v>
      </c>
      <c r="AC31" s="39">
        <v>2206.6999999999998</v>
      </c>
      <c r="AD31" s="39">
        <v>4353.8</v>
      </c>
      <c r="AE31" s="39">
        <v>6483.8</v>
      </c>
      <c r="AF31" s="39">
        <v>2289.1</v>
      </c>
      <c r="AG31" s="39">
        <v>3717.4</v>
      </c>
      <c r="AH31" s="39">
        <v>6302.8</v>
      </c>
    </row>
    <row r="32" spans="1:46" s="20" customFormat="1" ht="18.75" customHeight="1" x14ac:dyDescent="0.2">
      <c r="A32" s="41" t="s">
        <v>55</v>
      </c>
      <c r="B32" s="42"/>
      <c r="C32" s="43" t="s">
        <v>56</v>
      </c>
      <c r="D32" s="44">
        <v>1634.9000000000003</v>
      </c>
      <c r="E32" s="73">
        <v>2036.4999999999998</v>
      </c>
      <c r="F32" s="73">
        <v>1882.2000000000003</v>
      </c>
      <c r="G32" s="73">
        <v>1752</v>
      </c>
      <c r="H32" s="73">
        <v>1616.1999999999998</v>
      </c>
      <c r="I32" s="73">
        <v>1718</v>
      </c>
      <c r="J32" s="73">
        <v>1699.7</v>
      </c>
      <c r="K32" s="73">
        <v>1706.9</v>
      </c>
      <c r="L32" s="73">
        <v>1701.9</v>
      </c>
      <c r="M32" s="73">
        <v>1753.1</v>
      </c>
      <c r="N32" s="73">
        <v>1936.0000000000002</v>
      </c>
      <c r="O32" s="73">
        <v>2221.6</v>
      </c>
      <c r="P32" s="73">
        <v>2202.1999999999998</v>
      </c>
      <c r="Q32" s="73">
        <v>2536.5</v>
      </c>
      <c r="R32" s="73">
        <v>2963.5</v>
      </c>
      <c r="S32" s="73">
        <v>3206.5000000000005</v>
      </c>
      <c r="T32" s="73">
        <v>3229.8000000000006</v>
      </c>
      <c r="U32" s="73">
        <v>3610.5</v>
      </c>
      <c r="V32" s="73">
        <v>3918.6</v>
      </c>
      <c r="W32" s="30">
        <v>4410.3999999999996</v>
      </c>
      <c r="X32" s="30">
        <v>5571.5</v>
      </c>
      <c r="Y32" s="31">
        <v>5657.9</v>
      </c>
      <c r="Z32" s="31">
        <v>5668.7</v>
      </c>
      <c r="AA32" s="31">
        <v>5432.8</v>
      </c>
      <c r="AB32" s="31">
        <v>5634.5</v>
      </c>
      <c r="AC32" s="31">
        <v>4186.3999999999996</v>
      </c>
      <c r="AD32" s="31">
        <v>7641.8</v>
      </c>
      <c r="AE32" s="31">
        <v>6983.4</v>
      </c>
      <c r="AF32" s="31">
        <v>7194.6</v>
      </c>
      <c r="AG32" s="31">
        <v>8185.1</v>
      </c>
      <c r="AH32" s="31">
        <v>8653.1</v>
      </c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:46" ht="18.75" customHeight="1" x14ac:dyDescent="0.2">
      <c r="A33" s="45"/>
      <c r="B33" s="34" t="s">
        <v>57</v>
      </c>
      <c r="C33" s="35"/>
      <c r="D33" s="36">
        <v>10.700000000000003</v>
      </c>
      <c r="E33" s="37">
        <v>31.299999999999997</v>
      </c>
      <c r="F33" s="37">
        <v>36.9</v>
      </c>
      <c r="G33" s="37">
        <v>27.4</v>
      </c>
      <c r="H33" s="37">
        <v>28.400000000000002</v>
      </c>
      <c r="I33" s="37">
        <v>27.7</v>
      </c>
      <c r="J33" s="37">
        <v>27.1</v>
      </c>
      <c r="K33" s="37">
        <v>17</v>
      </c>
      <c r="L33" s="37">
        <v>18.400000000000002</v>
      </c>
      <c r="M33" s="37">
        <v>16</v>
      </c>
      <c r="N33" s="37">
        <v>37.199999999999996</v>
      </c>
      <c r="O33" s="37">
        <v>40.699999999999996</v>
      </c>
      <c r="P33" s="37">
        <v>36.900000000000006</v>
      </c>
      <c r="Q33" s="37">
        <v>43.9</v>
      </c>
      <c r="R33" s="37">
        <v>56.699999999999996</v>
      </c>
      <c r="S33" s="37">
        <v>59.000000000000007</v>
      </c>
      <c r="T33" s="37">
        <v>81.100000000000023</v>
      </c>
      <c r="U33" s="37">
        <v>89.2</v>
      </c>
      <c r="V33" s="37">
        <v>99.500000000000014</v>
      </c>
      <c r="W33" s="38"/>
      <c r="X33" s="38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46" s="20" customFormat="1" ht="18.75" customHeight="1" x14ac:dyDescent="0.2">
      <c r="A34" s="41" t="s">
        <v>58</v>
      </c>
      <c r="B34" s="42"/>
      <c r="C34" s="43" t="s">
        <v>59</v>
      </c>
      <c r="D34" s="44">
        <v>164.3</v>
      </c>
      <c r="E34" s="44">
        <v>188.1</v>
      </c>
      <c r="F34" s="44">
        <v>192.7</v>
      </c>
      <c r="G34" s="44">
        <v>164.4</v>
      </c>
      <c r="H34" s="44">
        <v>158.19999999999999</v>
      </c>
      <c r="I34" s="44">
        <v>149.69999999999999</v>
      </c>
      <c r="J34" s="44">
        <v>181.9</v>
      </c>
      <c r="K34" s="44">
        <v>184.79999999999998</v>
      </c>
      <c r="L34" s="44">
        <v>210.4</v>
      </c>
      <c r="M34" s="44">
        <v>233.2</v>
      </c>
      <c r="N34" s="44">
        <v>275.60000000000002</v>
      </c>
      <c r="O34" s="44">
        <v>293.7</v>
      </c>
      <c r="P34" s="44">
        <v>371</v>
      </c>
      <c r="Q34" s="44">
        <v>412.20000000000005</v>
      </c>
      <c r="R34" s="44">
        <v>506.99999999999994</v>
      </c>
      <c r="S34" s="44">
        <v>881.59999999999991</v>
      </c>
      <c r="T34" s="44">
        <v>848.8</v>
      </c>
      <c r="U34" s="44">
        <v>922.7</v>
      </c>
      <c r="V34" s="44">
        <v>984.7</v>
      </c>
      <c r="W34" s="30">
        <v>217</v>
      </c>
      <c r="X34" s="30">
        <v>235.9</v>
      </c>
      <c r="Y34" s="31">
        <v>255.4</v>
      </c>
      <c r="Z34" s="31">
        <v>265.10000000000002</v>
      </c>
      <c r="AA34" s="31">
        <v>290.60000000000002</v>
      </c>
      <c r="AB34" s="31">
        <v>406.3</v>
      </c>
      <c r="AC34" s="31">
        <v>443.1</v>
      </c>
      <c r="AD34" s="31">
        <v>461.1</v>
      </c>
      <c r="AE34" s="31">
        <v>399.2</v>
      </c>
      <c r="AF34" s="31">
        <v>498</v>
      </c>
      <c r="AG34" s="31">
        <v>587.1</v>
      </c>
      <c r="AH34" s="31">
        <v>574.9</v>
      </c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:46" ht="18.75" customHeight="1" x14ac:dyDescent="0.2">
      <c r="A35" s="45"/>
      <c r="B35" s="34" t="s">
        <v>60</v>
      </c>
      <c r="C35" s="35"/>
      <c r="D35" s="36">
        <v>96.399999999999991</v>
      </c>
      <c r="E35" s="37">
        <v>113.49999999999999</v>
      </c>
      <c r="F35" s="37">
        <v>114.4</v>
      </c>
      <c r="G35" s="37">
        <v>94</v>
      </c>
      <c r="H35" s="37">
        <v>94.9</v>
      </c>
      <c r="I35" s="37">
        <v>97.5</v>
      </c>
      <c r="J35" s="37">
        <v>129.5</v>
      </c>
      <c r="K35" s="37">
        <v>127.69999999999999</v>
      </c>
      <c r="L35" s="37">
        <v>136.4</v>
      </c>
      <c r="M35" s="37">
        <v>137.79999999999998</v>
      </c>
      <c r="N35" s="37">
        <v>169.3</v>
      </c>
      <c r="O35" s="37">
        <v>180.1</v>
      </c>
      <c r="P35" s="37">
        <v>232.7</v>
      </c>
      <c r="Q35" s="37">
        <v>251.6</v>
      </c>
      <c r="R35" s="37">
        <v>328.29999999999995</v>
      </c>
      <c r="S35" s="37">
        <v>658.8</v>
      </c>
      <c r="T35" s="37">
        <v>702.1</v>
      </c>
      <c r="U35" s="37">
        <v>737.1</v>
      </c>
      <c r="V35" s="37">
        <v>771</v>
      </c>
      <c r="W35" s="38"/>
      <c r="X35" s="38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spans="1:46" s="20" customFormat="1" ht="33" customHeight="1" x14ac:dyDescent="0.2">
      <c r="A36" s="55" t="s">
        <v>61</v>
      </c>
      <c r="B36" s="56"/>
      <c r="C36" s="57" t="s">
        <v>62</v>
      </c>
      <c r="D36" s="44">
        <v>1840.8</v>
      </c>
      <c r="E36" s="73">
        <v>2166.5</v>
      </c>
      <c r="F36" s="73">
        <v>2282.3999999999996</v>
      </c>
      <c r="G36" s="73">
        <v>2179</v>
      </c>
      <c r="H36" s="73">
        <v>2185.2999999999997</v>
      </c>
      <c r="I36" s="73">
        <v>2160.1999999999998</v>
      </c>
      <c r="J36" s="73">
        <v>2058.6999999999998</v>
      </c>
      <c r="K36" s="73">
        <v>1950.1</v>
      </c>
      <c r="L36" s="73">
        <v>2072.6</v>
      </c>
      <c r="M36" s="73">
        <v>2294.9000000000005</v>
      </c>
      <c r="N36" s="73">
        <v>2694.9</v>
      </c>
      <c r="O36" s="73">
        <v>3171</v>
      </c>
      <c r="P36" s="73">
        <v>3314.5</v>
      </c>
      <c r="Q36" s="73">
        <v>3582.8</v>
      </c>
      <c r="R36" s="73">
        <v>3900.3</v>
      </c>
      <c r="S36" s="73">
        <v>4148.1000000000004</v>
      </c>
      <c r="T36" s="73">
        <v>5039.1999999999989</v>
      </c>
      <c r="U36" s="73">
        <v>5602.6</v>
      </c>
      <c r="V36" s="73">
        <v>6363.2</v>
      </c>
      <c r="W36" s="30">
        <v>7305.1</v>
      </c>
      <c r="X36" s="30">
        <v>7505.8</v>
      </c>
      <c r="Y36" s="31">
        <v>8890.1</v>
      </c>
      <c r="Z36" s="31">
        <v>9182.2000000000007</v>
      </c>
      <c r="AA36" s="31">
        <v>11695.2</v>
      </c>
      <c r="AB36" s="31">
        <v>11642.6</v>
      </c>
      <c r="AC36" s="31">
        <v>13351.5</v>
      </c>
      <c r="AD36" s="31">
        <v>15561.8</v>
      </c>
      <c r="AE36" s="31">
        <v>15681.3</v>
      </c>
      <c r="AF36" s="31">
        <v>14453.8</v>
      </c>
      <c r="AG36" s="31">
        <v>14812.5</v>
      </c>
      <c r="AH36" s="31">
        <v>16229.5</v>
      </c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:46" s="20" customFormat="1" ht="18.75" customHeight="1" x14ac:dyDescent="0.2">
      <c r="A37" s="41" t="s">
        <v>63</v>
      </c>
      <c r="B37" s="42"/>
      <c r="C37" s="43" t="s">
        <v>64</v>
      </c>
      <c r="D37" s="44">
        <v>1475.2</v>
      </c>
      <c r="E37" s="73">
        <v>2868.2000000000003</v>
      </c>
      <c r="F37" s="73">
        <v>2617.2999999999997</v>
      </c>
      <c r="G37" s="73">
        <v>2775.6</v>
      </c>
      <c r="H37" s="73">
        <v>2741.3999999999996</v>
      </c>
      <c r="I37" s="73">
        <v>2765.2999999999997</v>
      </c>
      <c r="J37" s="73">
        <v>2552.1999999999998</v>
      </c>
      <c r="K37" s="73">
        <v>2441.3000000000002</v>
      </c>
      <c r="L37" s="73">
        <v>2194.4</v>
      </c>
      <c r="M37" s="73">
        <v>2298.1</v>
      </c>
      <c r="N37" s="73">
        <v>2499.9</v>
      </c>
      <c r="O37" s="73">
        <v>2734.8</v>
      </c>
      <c r="P37" s="73">
        <v>2793.9</v>
      </c>
      <c r="Q37" s="73">
        <v>2961.6</v>
      </c>
      <c r="R37" s="73">
        <v>3088.7999999999997</v>
      </c>
      <c r="S37" s="73">
        <v>3398.4</v>
      </c>
      <c r="T37" s="73">
        <v>3314.7</v>
      </c>
      <c r="U37" s="73">
        <v>3489.1</v>
      </c>
      <c r="V37" s="73">
        <v>4075.9</v>
      </c>
      <c r="W37" s="30">
        <v>3887.2</v>
      </c>
      <c r="X37" s="30">
        <v>4714.1000000000004</v>
      </c>
      <c r="Y37" s="31">
        <v>4332.8999999999996</v>
      </c>
      <c r="Z37" s="31">
        <v>5560</v>
      </c>
      <c r="AA37" s="31">
        <v>5963.8</v>
      </c>
      <c r="AB37" s="31">
        <v>6675.3</v>
      </c>
      <c r="AC37" s="31">
        <v>6987.5</v>
      </c>
      <c r="AD37" s="31">
        <v>9038.2999999999993</v>
      </c>
      <c r="AE37" s="31">
        <v>12495.1</v>
      </c>
      <c r="AF37" s="31">
        <v>11167.9</v>
      </c>
      <c r="AG37" s="31">
        <v>10423.9</v>
      </c>
      <c r="AH37" s="31">
        <v>10475.6</v>
      </c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  <row r="38" spans="1:46" ht="18.75" customHeight="1" x14ac:dyDescent="0.2">
      <c r="A38" s="45"/>
      <c r="B38" s="34" t="s">
        <v>65</v>
      </c>
      <c r="C38" s="35"/>
      <c r="D38" s="36">
        <v>77.5</v>
      </c>
      <c r="E38" s="37">
        <v>109</v>
      </c>
      <c r="F38" s="37">
        <v>120.9</v>
      </c>
      <c r="G38" s="37">
        <v>127.9</v>
      </c>
      <c r="H38" s="37">
        <v>135.5</v>
      </c>
      <c r="I38" s="37">
        <v>134</v>
      </c>
      <c r="J38" s="37">
        <v>121.6</v>
      </c>
      <c r="K38" s="37">
        <v>110.2</v>
      </c>
      <c r="L38" s="37">
        <v>97.7</v>
      </c>
      <c r="M38" s="37">
        <v>94.600000000000009</v>
      </c>
      <c r="N38" s="37">
        <v>109.1</v>
      </c>
      <c r="O38" s="37">
        <v>127.9</v>
      </c>
      <c r="P38" s="37">
        <v>124</v>
      </c>
      <c r="Q38" s="37">
        <v>127.2</v>
      </c>
      <c r="R38" s="37">
        <v>69</v>
      </c>
      <c r="S38" s="37">
        <v>83.800000000000011</v>
      </c>
      <c r="T38" s="37">
        <v>77.8</v>
      </c>
      <c r="U38" s="37">
        <v>60.2</v>
      </c>
      <c r="V38" s="37">
        <v>94.9</v>
      </c>
      <c r="W38" s="38"/>
      <c r="X38" s="38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46" s="20" customFormat="1" ht="18.75" customHeight="1" x14ac:dyDescent="0.2">
      <c r="A39" s="41" t="s">
        <v>66</v>
      </c>
      <c r="B39" s="42"/>
      <c r="C39" s="43" t="s">
        <v>67</v>
      </c>
      <c r="D39" s="44">
        <v>383.1</v>
      </c>
      <c r="E39" s="73">
        <v>812.6</v>
      </c>
      <c r="F39" s="73">
        <v>808.69999999999993</v>
      </c>
      <c r="G39" s="73">
        <v>856.40000000000009</v>
      </c>
      <c r="H39" s="73">
        <v>853.30000000000007</v>
      </c>
      <c r="I39" s="73">
        <v>830.19999999999993</v>
      </c>
      <c r="J39" s="73">
        <v>817.99999999999989</v>
      </c>
      <c r="K39" s="73">
        <v>815.00000000000011</v>
      </c>
      <c r="L39" s="73">
        <v>733.2</v>
      </c>
      <c r="M39" s="73">
        <v>711.80000000000007</v>
      </c>
      <c r="N39" s="73">
        <v>813.8</v>
      </c>
      <c r="O39" s="73">
        <v>866.8</v>
      </c>
      <c r="P39" s="73">
        <v>896.8</v>
      </c>
      <c r="Q39" s="73">
        <v>904.6</v>
      </c>
      <c r="R39" s="73">
        <v>957.4</v>
      </c>
      <c r="S39" s="73">
        <v>1035.8999999999999</v>
      </c>
      <c r="T39" s="73">
        <v>1100.3</v>
      </c>
      <c r="U39" s="73">
        <v>1437.2</v>
      </c>
      <c r="V39" s="73">
        <v>1388.1999999999998</v>
      </c>
      <c r="W39" s="30">
        <v>1411.1</v>
      </c>
      <c r="X39" s="30">
        <v>1749.1</v>
      </c>
      <c r="Y39" s="31">
        <v>1810.5</v>
      </c>
      <c r="Z39" s="31">
        <v>2287.6999999999998</v>
      </c>
      <c r="AA39" s="31">
        <v>2254.6</v>
      </c>
      <c r="AB39" s="31">
        <v>2598.6</v>
      </c>
      <c r="AC39" s="31">
        <v>2774.5</v>
      </c>
      <c r="AD39" s="31">
        <v>3015.4</v>
      </c>
      <c r="AE39" s="31">
        <v>3478.9</v>
      </c>
      <c r="AF39" s="31">
        <v>3544.5</v>
      </c>
      <c r="AG39" s="31">
        <v>3771.8</v>
      </c>
      <c r="AH39" s="31">
        <v>3222.5</v>
      </c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</row>
    <row r="40" spans="1:46" s="20" customFormat="1" ht="18.75" customHeight="1" x14ac:dyDescent="0.2">
      <c r="A40" s="41" t="s">
        <v>68</v>
      </c>
      <c r="B40" s="42"/>
      <c r="C40" s="43" t="s">
        <v>69</v>
      </c>
      <c r="D40" s="44">
        <v>391</v>
      </c>
      <c r="E40" s="44">
        <v>425.4</v>
      </c>
      <c r="F40" s="44">
        <v>442.70000000000005</v>
      </c>
      <c r="G40" s="44">
        <v>506.4</v>
      </c>
      <c r="H40" s="44">
        <v>414.00000000000006</v>
      </c>
      <c r="I40" s="44">
        <v>397.8</v>
      </c>
      <c r="J40" s="44">
        <v>298.60000000000002</v>
      </c>
      <c r="K40" s="44">
        <v>344.2</v>
      </c>
      <c r="L40" s="44">
        <v>457.29999999999995</v>
      </c>
      <c r="M40" s="44">
        <v>515.9</v>
      </c>
      <c r="N40" s="44">
        <v>472.40000000000009</v>
      </c>
      <c r="O40" s="44">
        <v>488.60000000000008</v>
      </c>
      <c r="P40" s="44">
        <v>519</v>
      </c>
      <c r="Q40" s="44">
        <v>553.00000000000011</v>
      </c>
      <c r="R40" s="44">
        <v>594</v>
      </c>
      <c r="S40" s="44">
        <v>628.5</v>
      </c>
      <c r="T40" s="44">
        <v>634.5</v>
      </c>
      <c r="U40" s="44">
        <v>676.2</v>
      </c>
      <c r="V40" s="44">
        <v>689.59999999999991</v>
      </c>
      <c r="W40" s="30">
        <v>810</v>
      </c>
      <c r="X40" s="30">
        <v>869.1</v>
      </c>
      <c r="Y40" s="31">
        <v>901.9</v>
      </c>
      <c r="Z40" s="31">
        <v>1108</v>
      </c>
      <c r="AA40" s="31">
        <v>1122.2</v>
      </c>
      <c r="AB40" s="31">
        <v>1092.2</v>
      </c>
      <c r="AC40" s="31">
        <v>1283.3</v>
      </c>
      <c r="AD40" s="31">
        <v>1447.4</v>
      </c>
      <c r="AE40" s="31">
        <v>1480.6</v>
      </c>
      <c r="AF40" s="31">
        <v>1634.3</v>
      </c>
      <c r="AG40" s="31">
        <v>1599.5</v>
      </c>
      <c r="AH40" s="31">
        <v>1921.2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</row>
    <row r="41" spans="1:46" s="32" customFormat="1" ht="18.75" customHeight="1" x14ac:dyDescent="0.2">
      <c r="A41" s="74" t="s">
        <v>70</v>
      </c>
      <c r="B41" s="75"/>
      <c r="C41" s="76" t="s">
        <v>71</v>
      </c>
      <c r="D41" s="77">
        <v>730.1</v>
      </c>
      <c r="E41" s="77">
        <v>778.8</v>
      </c>
      <c r="F41" s="77">
        <v>746.6</v>
      </c>
      <c r="G41" s="77">
        <v>777.5</v>
      </c>
      <c r="H41" s="77">
        <v>810.3</v>
      </c>
      <c r="I41" s="77">
        <v>766.5</v>
      </c>
      <c r="J41" s="77">
        <v>686.7</v>
      </c>
      <c r="K41" s="77">
        <v>652</v>
      </c>
      <c r="L41" s="77">
        <v>679.9</v>
      </c>
      <c r="M41" s="77">
        <v>563.6</v>
      </c>
      <c r="N41" s="77">
        <v>668.3</v>
      </c>
      <c r="O41" s="77">
        <v>1048.9000000000001</v>
      </c>
      <c r="P41" s="77">
        <v>977.8</v>
      </c>
      <c r="Q41" s="77">
        <v>1004.4</v>
      </c>
      <c r="R41" s="77">
        <v>820.9</v>
      </c>
      <c r="S41" s="77">
        <v>891.5</v>
      </c>
      <c r="T41" s="77">
        <v>1373.7</v>
      </c>
      <c r="U41" s="77">
        <v>1410.5</v>
      </c>
      <c r="V41" s="77">
        <v>1677</v>
      </c>
      <c r="W41" s="78">
        <v>2216</v>
      </c>
      <c r="X41" s="78">
        <v>2116</v>
      </c>
      <c r="Y41" s="31">
        <v>2187.3000000000002</v>
      </c>
      <c r="Z41" s="31">
        <v>2493</v>
      </c>
      <c r="AA41" s="31">
        <v>3018.5</v>
      </c>
      <c r="AB41" s="31">
        <v>2958.2</v>
      </c>
      <c r="AC41" s="31">
        <v>3658.6</v>
      </c>
      <c r="AD41" s="31">
        <v>4677.8</v>
      </c>
      <c r="AE41" s="31">
        <v>5090.7</v>
      </c>
      <c r="AF41" s="31">
        <v>5459.6</v>
      </c>
      <c r="AG41" s="31">
        <v>5812.5</v>
      </c>
      <c r="AH41" s="31">
        <v>5721.8</v>
      </c>
    </row>
    <row r="42" spans="1:46" s="20" customFormat="1" ht="18.75" customHeight="1" x14ac:dyDescent="0.2">
      <c r="A42" s="79" t="s">
        <v>72</v>
      </c>
      <c r="B42" s="80"/>
      <c r="C42" s="81"/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926.6</v>
      </c>
      <c r="N42" s="2">
        <v>1054.5</v>
      </c>
      <c r="O42" s="2">
        <v>968.6</v>
      </c>
      <c r="P42" s="2">
        <v>1163.0999999999999</v>
      </c>
      <c r="Q42" s="2">
        <v>1305</v>
      </c>
      <c r="R42" s="2">
        <v>1344.8</v>
      </c>
      <c r="S42" s="2">
        <v>1413.9</v>
      </c>
      <c r="T42" s="2">
        <v>1624</v>
      </c>
      <c r="U42" s="2">
        <v>2153.9</v>
      </c>
      <c r="V42" s="2">
        <v>1946</v>
      </c>
      <c r="W42" s="30">
        <v>2027.4</v>
      </c>
      <c r="X42" s="30">
        <v>2178.6999999999998</v>
      </c>
      <c r="Y42" s="31">
        <v>2400.9</v>
      </c>
      <c r="Z42" s="31">
        <v>2364.3000000000002</v>
      </c>
      <c r="AA42" s="31">
        <v>3170.9</v>
      </c>
      <c r="AB42" s="31">
        <v>3079.1</v>
      </c>
      <c r="AC42" s="31">
        <v>4324.1000000000004</v>
      </c>
      <c r="AD42" s="31">
        <v>5335.3</v>
      </c>
      <c r="AE42" s="31">
        <v>5933</v>
      </c>
      <c r="AF42" s="31">
        <v>5147.3</v>
      </c>
      <c r="AG42" s="31">
        <v>6032.3</v>
      </c>
      <c r="AH42" s="31">
        <v>4917</v>
      </c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</row>
    <row r="43" spans="1:46" ht="21" customHeight="1" x14ac:dyDescent="0.2">
      <c r="A43" s="82"/>
      <c r="B43" s="83"/>
      <c r="C43" s="84"/>
      <c r="D43" s="4">
        <f t="shared" ref="D43:AH43" si="8">SUM(D$5,D$9,D$14,D$28,D$29,D$30,D$34,D$32:D$37,D$39,D$40,D$42,)-D$41</f>
        <v>17100.499999999996</v>
      </c>
      <c r="E43" s="4">
        <f t="shared" si="8"/>
        <v>19838.300000000003</v>
      </c>
      <c r="F43" s="4">
        <f t="shared" si="8"/>
        <v>18940.400000000005</v>
      </c>
      <c r="G43" s="4">
        <f t="shared" si="8"/>
        <v>18875.3</v>
      </c>
      <c r="H43" s="4">
        <f t="shared" si="8"/>
        <v>18324.300000000003</v>
      </c>
      <c r="I43" s="4">
        <f t="shared" si="8"/>
        <v>17506.900000000001</v>
      </c>
      <c r="J43" s="4">
        <f t="shared" si="8"/>
        <v>17583.3</v>
      </c>
      <c r="K43" s="4">
        <f t="shared" si="8"/>
        <v>17597.2</v>
      </c>
      <c r="L43" s="4">
        <f t="shared" si="8"/>
        <v>18719.699999999997</v>
      </c>
      <c r="M43" s="4">
        <f t="shared" si="8"/>
        <v>21910.3</v>
      </c>
      <c r="N43" s="4">
        <f t="shared" si="8"/>
        <v>23003.500000000004</v>
      </c>
      <c r="O43" s="4">
        <f t="shared" si="8"/>
        <v>23592.599999999995</v>
      </c>
      <c r="P43" s="4">
        <f t="shared" si="8"/>
        <v>25486.500000000004</v>
      </c>
      <c r="Q43" s="4">
        <f t="shared" si="8"/>
        <v>29344.199999999997</v>
      </c>
      <c r="R43" s="4">
        <f t="shared" si="8"/>
        <v>32532.299999999996</v>
      </c>
      <c r="S43" s="4">
        <f t="shared" si="8"/>
        <v>36127</v>
      </c>
      <c r="T43" s="4">
        <f t="shared" si="8"/>
        <v>37421.699999999997</v>
      </c>
      <c r="U43" s="4">
        <f t="shared" si="8"/>
        <v>39724.899999999994</v>
      </c>
      <c r="V43" s="4">
        <f t="shared" si="8"/>
        <v>44644.899999999994</v>
      </c>
      <c r="W43" s="4">
        <f t="shared" si="8"/>
        <v>51587.7</v>
      </c>
      <c r="X43" s="4">
        <f t="shared" si="8"/>
        <v>55243.1</v>
      </c>
      <c r="Y43" s="85">
        <f t="shared" si="8"/>
        <v>56545.4</v>
      </c>
      <c r="Z43" s="85">
        <f t="shared" si="8"/>
        <v>71434.099999999991</v>
      </c>
      <c r="AA43" s="85">
        <f t="shared" si="8"/>
        <v>83943.1</v>
      </c>
      <c r="AB43" s="85">
        <f t="shared" si="8"/>
        <v>101088.30000000002</v>
      </c>
      <c r="AC43" s="85">
        <f t="shared" si="8"/>
        <v>116394.2</v>
      </c>
      <c r="AD43" s="85">
        <f t="shared" si="8"/>
        <v>137413.59999999998</v>
      </c>
      <c r="AE43" s="85">
        <f t="shared" si="8"/>
        <v>175686.39999999999</v>
      </c>
      <c r="AF43" s="85">
        <f t="shared" si="8"/>
        <v>121779.3</v>
      </c>
      <c r="AG43" s="85">
        <f t="shared" si="8"/>
        <v>141855.1</v>
      </c>
      <c r="AH43" s="85">
        <f t="shared" si="8"/>
        <v>163582.70000000004</v>
      </c>
      <c r="AI43" s="86">
        <v>174545.6</v>
      </c>
      <c r="AJ43" s="86">
        <v>180383.5</v>
      </c>
      <c r="AK43" s="86">
        <v>187049.3</v>
      </c>
      <c r="AL43" s="86">
        <v>185992.8</v>
      </c>
      <c r="AM43" s="86">
        <v>172222.9</v>
      </c>
      <c r="AN43" s="86">
        <v>163924.20000000001</v>
      </c>
      <c r="AO43" s="86">
        <v>162308.70000000001</v>
      </c>
      <c r="AP43" s="86">
        <v>163074.5</v>
      </c>
      <c r="AQ43" s="86">
        <v>148556.29999999999</v>
      </c>
      <c r="AR43" s="86">
        <v>147201.5</v>
      </c>
      <c r="AS43" s="86">
        <v>148794.5</v>
      </c>
      <c r="AT43" s="86">
        <v>150918</v>
      </c>
    </row>
    <row r="44" spans="1:46" x14ac:dyDescent="0.2"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 spans="1:46" ht="16" x14ac:dyDescent="0.2">
      <c r="A45" s="88" t="s">
        <v>73</v>
      </c>
      <c r="B45" s="88"/>
      <c r="C45" s="16"/>
      <c r="Y45" s="40">
        <f>(Z43/Y43*100)-100</f>
        <v>26.330523791502031</v>
      </c>
      <c r="Z45" s="40">
        <f t="shared" ref="Z45:AK45" si="9">(AA43/Z43*100)-100</f>
        <v>17.511244629665697</v>
      </c>
      <c r="AA45" s="40">
        <f t="shared" si="9"/>
        <v>20.424787743126018</v>
      </c>
      <c r="AB45" s="40">
        <f t="shared" si="9"/>
        <v>15.141119199749099</v>
      </c>
      <c r="AC45" s="40">
        <f t="shared" si="9"/>
        <v>18.058803617362358</v>
      </c>
      <c r="AD45" s="40">
        <f t="shared" si="9"/>
        <v>27.852264986871774</v>
      </c>
      <c r="AE45" s="40">
        <f>(AF43/AE43*100)-100</f>
        <v>-30.683706877709369</v>
      </c>
      <c r="AF45" s="40">
        <f t="shared" si="9"/>
        <v>16.48539612232949</v>
      </c>
      <c r="AG45" s="40">
        <f t="shared" si="9"/>
        <v>15.316756323882629</v>
      </c>
      <c r="AH45" s="40">
        <f t="shared" si="9"/>
        <v>6.7017478009593816</v>
      </c>
      <c r="AI45" s="40">
        <f t="shared" si="9"/>
        <v>3.3446274211438123</v>
      </c>
      <c r="AJ45" s="40">
        <f t="shared" si="9"/>
        <v>3.6953490757192213</v>
      </c>
      <c r="AK45" s="40">
        <f t="shared" si="9"/>
        <v>-0.56482435379335527</v>
      </c>
      <c r="AL45" s="40">
        <f>(AM43/AL43*100)-100</f>
        <v>-7.4034586285060442</v>
      </c>
      <c r="AM45" s="40">
        <f t="shared" ref="AM45:AS45" si="10">(AN43/AM43*100)-100</f>
        <v>-4.8185810365520325</v>
      </c>
      <c r="AN45" s="40">
        <f t="shared" si="10"/>
        <v>-0.98551647651780172</v>
      </c>
      <c r="AO45" s="40">
        <f t="shared" si="10"/>
        <v>0.4718169759230193</v>
      </c>
      <c r="AP45" s="40">
        <f t="shared" si="10"/>
        <v>-8.9028020935216716</v>
      </c>
      <c r="AQ45" s="40">
        <f t="shared" si="10"/>
        <v>-0.91197747924522332</v>
      </c>
      <c r="AR45" s="40">
        <f t="shared" si="10"/>
        <v>1.0821900592045637</v>
      </c>
      <c r="AS45" s="40">
        <f t="shared" si="10"/>
        <v>1.4271360836590077</v>
      </c>
    </row>
    <row r="46" spans="1:46" hidden="1" x14ac:dyDescent="0.2"/>
    <row r="47" spans="1:46" hidden="1" x14ac:dyDescent="0.2"/>
    <row r="48" spans="1:46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spans="1:46" hidden="1" x14ac:dyDescent="0.2"/>
    <row r="242" spans="1:46" hidden="1" x14ac:dyDescent="0.2"/>
    <row r="243" spans="1:46" hidden="1" x14ac:dyDescent="0.2"/>
    <row r="244" spans="1:46" hidden="1" x14ac:dyDescent="0.2"/>
    <row r="245" spans="1:46" hidden="1" x14ac:dyDescent="0.2"/>
    <row r="246" spans="1:46" hidden="1" x14ac:dyDescent="0.2"/>
    <row r="247" spans="1:46" hidden="1" x14ac:dyDescent="0.2"/>
    <row r="248" spans="1:46" hidden="1" x14ac:dyDescent="0.2"/>
    <row r="249" spans="1:46" hidden="1" x14ac:dyDescent="0.2"/>
    <row r="250" spans="1:46" hidden="1" x14ac:dyDescent="0.2"/>
    <row r="251" spans="1:46" hidden="1" x14ac:dyDescent="0.2"/>
    <row r="252" spans="1:46" s="89" customFormat="1" ht="14" x14ac:dyDescent="0.2">
      <c r="A252" s="89" t="s">
        <v>74</v>
      </c>
      <c r="C252" s="90"/>
      <c r="Y252" s="91"/>
      <c r="Z252" s="91"/>
      <c r="AA252" s="91"/>
      <c r="AB252" s="91"/>
      <c r="AC252" s="91"/>
      <c r="AD252" s="91"/>
      <c r="AE252" s="91"/>
      <c r="AF252" s="91"/>
      <c r="AG252" s="91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1"/>
      <c r="AS252" s="91"/>
      <c r="AT252" s="91"/>
    </row>
    <row r="253" spans="1:46" s="89" customFormat="1" ht="13.5" customHeight="1" x14ac:dyDescent="0.2">
      <c r="B253" s="89" t="s">
        <v>75</v>
      </c>
      <c r="C253" s="90"/>
      <c r="Y253" s="91"/>
      <c r="Z253" s="91"/>
      <c r="AA253" s="91"/>
      <c r="AB253" s="91"/>
      <c r="AC253" s="91"/>
      <c r="AD253" s="91"/>
      <c r="AE253" s="91"/>
      <c r="AF253" s="91"/>
      <c r="AG253" s="91"/>
      <c r="AH253" s="91"/>
      <c r="AI253" s="91"/>
      <c r="AJ253" s="91"/>
      <c r="AK253" s="91"/>
      <c r="AL253" s="91"/>
      <c r="AM253" s="91"/>
      <c r="AN253" s="91"/>
      <c r="AO253" s="91"/>
      <c r="AP253" s="91"/>
      <c r="AQ253" s="91"/>
      <c r="AR253" s="91"/>
      <c r="AS253" s="91"/>
      <c r="AT253" s="91"/>
    </row>
    <row r="254" spans="1:46" s="92" customFormat="1" ht="16" x14ac:dyDescent="0.2">
      <c r="B254" s="92" t="s">
        <v>76</v>
      </c>
      <c r="C254" s="93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Y254" s="95">
        <f>AVERAGE(Y45:AD251)</f>
        <v>20.886457328046163</v>
      </c>
      <c r="Z254" s="96"/>
      <c r="AA254" s="96"/>
      <c r="AB254" s="96"/>
      <c r="AC254" s="96"/>
      <c r="AD254" s="96"/>
      <c r="AE254" s="95">
        <f>AVERAGE(AE45:AG45)</f>
        <v>0.37281518950091669</v>
      </c>
      <c r="AF254" s="96"/>
      <c r="AG254" s="96"/>
      <c r="AH254" s="95">
        <f>AVERAGE(AH45:AL45)</f>
        <v>1.1546882631046032</v>
      </c>
      <c r="AI254" s="96"/>
      <c r="AJ254" s="96"/>
      <c r="AK254" s="96"/>
      <c r="AL254" s="96"/>
      <c r="AM254" s="95">
        <f>AVERAGE(AM45:AQ45)</f>
        <v>-3.0294120219827421</v>
      </c>
      <c r="AN254" s="96"/>
      <c r="AO254" s="96"/>
      <c r="AP254" s="96"/>
      <c r="AQ254" s="96"/>
      <c r="AR254" s="95">
        <f>AVERAGE(AR45:AS45)</f>
        <v>1.2546630714317857</v>
      </c>
      <c r="AS254" s="96"/>
      <c r="AT254" s="96"/>
    </row>
    <row r="255" spans="1:46" s="89" customFormat="1" ht="14" x14ac:dyDescent="0.2">
      <c r="B255" s="89" t="s">
        <v>77</v>
      </c>
      <c r="C255" s="90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Y255" s="91"/>
      <c r="Z255" s="91"/>
      <c r="AA255" s="91"/>
      <c r="AB255" s="91"/>
      <c r="AC255" s="91"/>
      <c r="AD255" s="91"/>
      <c r="AE255" s="91"/>
      <c r="AF255" s="91"/>
      <c r="AG255" s="91"/>
      <c r="AH255" s="91"/>
      <c r="AI255" s="91"/>
      <c r="AJ255" s="91"/>
      <c r="AK255" s="91"/>
      <c r="AL255" s="91"/>
      <c r="AM255" s="91"/>
      <c r="AN255" s="91"/>
      <c r="AO255" s="91"/>
      <c r="AP255" s="91"/>
      <c r="AQ255" s="91"/>
      <c r="AR255" s="91"/>
      <c r="AS255" s="91"/>
      <c r="AT255" s="91"/>
    </row>
  </sheetData>
  <mergeCells count="29">
    <mergeCell ref="A39:B39"/>
    <mergeCell ref="A40:B40"/>
    <mergeCell ref="A41:B41"/>
    <mergeCell ref="A42:B42"/>
    <mergeCell ref="A43:B43"/>
    <mergeCell ref="A29:B29"/>
    <mergeCell ref="A30:B30"/>
    <mergeCell ref="A32:B32"/>
    <mergeCell ref="A34:B34"/>
    <mergeCell ref="A36:B36"/>
    <mergeCell ref="A37:B37"/>
    <mergeCell ref="A23:A24"/>
    <mergeCell ref="A25:B25"/>
    <mergeCell ref="C25:C26"/>
    <mergeCell ref="A26:B26"/>
    <mergeCell ref="A27:B27"/>
    <mergeCell ref="A28:B28"/>
    <mergeCell ref="A16:A17"/>
    <mergeCell ref="A18:B18"/>
    <mergeCell ref="A20:B20"/>
    <mergeCell ref="C20:C21"/>
    <mergeCell ref="A21:B21"/>
    <mergeCell ref="A22:B22"/>
    <mergeCell ref="A4:B4"/>
    <mergeCell ref="A5:B5"/>
    <mergeCell ref="A6:A8"/>
    <mergeCell ref="A9:B9"/>
    <mergeCell ref="A14:B14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5665-098E-314B-9E8B-35FC1013F4CF}">
  <dimension ref="A1:C25"/>
  <sheetViews>
    <sheetView workbookViewId="0">
      <selection activeCell="B1" sqref="B1:C1048576"/>
    </sheetView>
  </sheetViews>
  <sheetFormatPr baseColWidth="10" defaultRowHeight="16" x14ac:dyDescent="0.2"/>
  <cols>
    <col min="1" max="1" width="8.5" bestFit="1" customWidth="1"/>
    <col min="2" max="2" width="18.6640625" bestFit="1" customWidth="1"/>
    <col min="3" max="3" width="15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12">
        <v>36891</v>
      </c>
      <c r="B2">
        <v>5140</v>
      </c>
      <c r="C2">
        <v>10.54</v>
      </c>
    </row>
    <row r="3" spans="1:3" x14ac:dyDescent="0.2">
      <c r="A3" s="12">
        <v>37256</v>
      </c>
      <c r="B3">
        <v>5770</v>
      </c>
      <c r="C3">
        <v>12.26</v>
      </c>
    </row>
    <row r="4" spans="1:3" x14ac:dyDescent="0.2">
      <c r="A4" s="12">
        <v>37621</v>
      </c>
      <c r="B4">
        <v>6420</v>
      </c>
      <c r="C4">
        <v>11.27</v>
      </c>
    </row>
    <row r="5" spans="1:3" x14ac:dyDescent="0.2">
      <c r="A5" s="12">
        <v>37986</v>
      </c>
      <c r="B5">
        <v>7650</v>
      </c>
      <c r="C5">
        <v>19.16</v>
      </c>
    </row>
    <row r="6" spans="1:3" x14ac:dyDescent="0.2">
      <c r="A6" s="12">
        <v>38352</v>
      </c>
      <c r="B6">
        <v>9190</v>
      </c>
      <c r="C6">
        <v>20.13</v>
      </c>
    </row>
    <row r="7" spans="1:3" x14ac:dyDescent="0.2">
      <c r="A7" s="12">
        <v>38717</v>
      </c>
      <c r="B7">
        <v>10590</v>
      </c>
      <c r="C7">
        <v>15.23</v>
      </c>
    </row>
    <row r="8" spans="1:3" x14ac:dyDescent="0.2">
      <c r="A8" s="12">
        <v>39082</v>
      </c>
      <c r="B8">
        <v>12560</v>
      </c>
      <c r="C8">
        <v>18.600000000000001</v>
      </c>
    </row>
    <row r="9" spans="1:3" x14ac:dyDescent="0.2">
      <c r="A9" s="12">
        <v>39447</v>
      </c>
      <c r="B9">
        <v>14170</v>
      </c>
      <c r="C9">
        <v>12.82</v>
      </c>
    </row>
    <row r="10" spans="1:3" x14ac:dyDescent="0.2">
      <c r="A10" s="12">
        <v>39813</v>
      </c>
      <c r="B10">
        <v>16370</v>
      </c>
      <c r="C10">
        <v>15.53</v>
      </c>
    </row>
    <row r="11" spans="1:3" x14ac:dyDescent="0.2">
      <c r="A11" s="12">
        <v>40178</v>
      </c>
      <c r="B11">
        <v>15270</v>
      </c>
      <c r="C11">
        <v>-6.72</v>
      </c>
    </row>
    <row r="12" spans="1:3" x14ac:dyDescent="0.2">
      <c r="A12" s="12">
        <v>40543</v>
      </c>
      <c r="B12">
        <v>15500</v>
      </c>
      <c r="C12">
        <v>1.51</v>
      </c>
    </row>
    <row r="13" spans="1:3" x14ac:dyDescent="0.2">
      <c r="A13" s="12">
        <v>40908</v>
      </c>
      <c r="B13">
        <v>14090</v>
      </c>
      <c r="C13">
        <v>-9.1</v>
      </c>
    </row>
    <row r="14" spans="1:3" x14ac:dyDescent="0.2">
      <c r="A14" s="12">
        <v>41274</v>
      </c>
      <c r="B14">
        <v>16890</v>
      </c>
      <c r="C14">
        <v>19.87</v>
      </c>
    </row>
    <row r="15" spans="1:3" x14ac:dyDescent="0.2">
      <c r="A15" s="12">
        <v>41639</v>
      </c>
      <c r="B15">
        <v>18860</v>
      </c>
      <c r="C15">
        <v>11.66</v>
      </c>
    </row>
    <row r="16" spans="1:3" x14ac:dyDescent="0.2">
      <c r="A16" s="12">
        <v>42004</v>
      </c>
      <c r="B16">
        <v>19290</v>
      </c>
      <c r="C16">
        <v>2.2799999999999998</v>
      </c>
    </row>
    <row r="17" spans="1:3" x14ac:dyDescent="0.2">
      <c r="A17" s="12">
        <v>42369</v>
      </c>
      <c r="B17">
        <v>19170</v>
      </c>
      <c r="C17">
        <v>-0.62</v>
      </c>
    </row>
    <row r="18" spans="1:3" x14ac:dyDescent="0.2">
      <c r="A18" s="12">
        <v>42735</v>
      </c>
      <c r="B18">
        <v>16550</v>
      </c>
      <c r="C18">
        <v>-13.67</v>
      </c>
    </row>
    <row r="19" spans="1:3" x14ac:dyDescent="0.2">
      <c r="A19" s="12">
        <v>43100</v>
      </c>
      <c r="B19">
        <v>15640</v>
      </c>
      <c r="C19">
        <v>-5.5</v>
      </c>
    </row>
    <row r="20" spans="1:3" x14ac:dyDescent="0.2">
      <c r="A20" s="12">
        <v>43465</v>
      </c>
      <c r="B20">
        <v>15430</v>
      </c>
      <c r="C20">
        <v>-1.34</v>
      </c>
    </row>
    <row r="21" spans="1:3" x14ac:dyDescent="0.2">
      <c r="A21" s="12">
        <v>43830</v>
      </c>
      <c r="B21">
        <v>15740</v>
      </c>
      <c r="C21">
        <v>2.0099999999999998</v>
      </c>
    </row>
    <row r="22" spans="1:3" x14ac:dyDescent="0.2">
      <c r="A22" s="12">
        <v>44196</v>
      </c>
      <c r="B22">
        <v>13670</v>
      </c>
      <c r="C22">
        <v>-13.15</v>
      </c>
    </row>
    <row r="23" spans="1:3" x14ac:dyDescent="0.2">
      <c r="A23" s="12">
        <v>44561</v>
      </c>
      <c r="B23">
        <v>14850</v>
      </c>
      <c r="C23">
        <v>8.6300000000000008</v>
      </c>
    </row>
    <row r="24" spans="1:3" x14ac:dyDescent="0.2">
      <c r="A24" s="12">
        <v>44926</v>
      </c>
      <c r="B24">
        <v>16190</v>
      </c>
      <c r="C24">
        <v>9.02</v>
      </c>
    </row>
    <row r="25" spans="1:3" x14ac:dyDescent="0.2">
      <c r="A25" s="12">
        <v>45291</v>
      </c>
      <c r="B25">
        <v>17940</v>
      </c>
      <c r="C25">
        <v>10.81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E495-84B8-3F43-92DA-14367FFC20B7}">
  <dimension ref="A1:C23"/>
  <sheetViews>
    <sheetView workbookViewId="0">
      <selection activeCell="D1" sqref="D1:E1048576"/>
    </sheetView>
  </sheetViews>
  <sheetFormatPr baseColWidth="10" defaultRowHeight="16" x14ac:dyDescent="0.2"/>
  <cols>
    <col min="1" max="1" width="5.1640625" bestFit="1" customWidth="1"/>
    <col min="2" max="2" width="23" bestFit="1" customWidth="1"/>
    <col min="3" max="3" width="13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2000</v>
      </c>
      <c r="B2">
        <v>9.01</v>
      </c>
      <c r="C2" s="6">
        <v>0.25240000000000001</v>
      </c>
    </row>
    <row r="3" spans="1:3" x14ac:dyDescent="0.2">
      <c r="A3">
        <v>2001</v>
      </c>
      <c r="B3">
        <v>11.28</v>
      </c>
      <c r="C3" s="6">
        <v>0.25240000000000001</v>
      </c>
    </row>
    <row r="4" spans="1:3" x14ac:dyDescent="0.2">
      <c r="A4">
        <v>2002</v>
      </c>
      <c r="B4">
        <v>12.7</v>
      </c>
      <c r="C4" s="6">
        <v>0.12620000000000001</v>
      </c>
    </row>
    <row r="5" spans="1:3" x14ac:dyDescent="0.2">
      <c r="A5">
        <v>2003</v>
      </c>
      <c r="B5">
        <v>16.920000000000002</v>
      </c>
      <c r="C5" s="6">
        <v>0.33169999999999999</v>
      </c>
    </row>
    <row r="6" spans="1:3" x14ac:dyDescent="0.2">
      <c r="A6">
        <v>2004</v>
      </c>
      <c r="B6">
        <v>19.100000000000001</v>
      </c>
      <c r="C6" s="6">
        <v>0.129</v>
      </c>
    </row>
    <row r="7" spans="1:3" x14ac:dyDescent="0.2">
      <c r="A7">
        <v>2005</v>
      </c>
      <c r="B7">
        <v>28.19</v>
      </c>
      <c r="C7" s="6">
        <v>0.47599999999999998</v>
      </c>
    </row>
    <row r="8" spans="1:3" x14ac:dyDescent="0.2">
      <c r="A8">
        <v>2006</v>
      </c>
      <c r="B8">
        <v>26.94</v>
      </c>
      <c r="C8" s="6">
        <v>-4.4299999999999999E-2</v>
      </c>
    </row>
    <row r="9" spans="1:3" x14ac:dyDescent="0.2">
      <c r="A9">
        <v>2007</v>
      </c>
      <c r="B9">
        <v>28.23</v>
      </c>
      <c r="C9" s="6">
        <v>4.7899999999999998E-2</v>
      </c>
    </row>
    <row r="10" spans="1:3" x14ac:dyDescent="0.2">
      <c r="A10">
        <v>2008</v>
      </c>
      <c r="B10">
        <v>39.270000000000003</v>
      </c>
      <c r="C10" s="6">
        <v>0.39100000000000001</v>
      </c>
    </row>
    <row r="11" spans="1:3" x14ac:dyDescent="0.2">
      <c r="A11">
        <v>2009</v>
      </c>
      <c r="B11">
        <v>36.18</v>
      </c>
      <c r="C11" s="6">
        <v>-7.8700000000000006E-2</v>
      </c>
    </row>
    <row r="12" spans="1:3" x14ac:dyDescent="0.2">
      <c r="A12">
        <v>2010</v>
      </c>
      <c r="B12">
        <v>33.54</v>
      </c>
      <c r="C12" s="6">
        <v>-7.3099999999999998E-2</v>
      </c>
    </row>
    <row r="13" spans="1:3" x14ac:dyDescent="0.2">
      <c r="A13">
        <v>2011</v>
      </c>
      <c r="B13">
        <v>24.79</v>
      </c>
      <c r="C13" s="6">
        <v>-0.26090000000000002</v>
      </c>
    </row>
    <row r="14" spans="1:3" x14ac:dyDescent="0.2">
      <c r="A14">
        <v>2012</v>
      </c>
      <c r="B14">
        <v>26.57</v>
      </c>
      <c r="C14" s="6">
        <v>7.17E-2</v>
      </c>
    </row>
    <row r="15" spans="1:3" x14ac:dyDescent="0.2">
      <c r="A15">
        <v>2013</v>
      </c>
      <c r="B15">
        <v>28.25</v>
      </c>
      <c r="C15" s="6">
        <v>6.3399999999999998E-2</v>
      </c>
    </row>
    <row r="16" spans="1:3" x14ac:dyDescent="0.2">
      <c r="A16">
        <v>2014</v>
      </c>
      <c r="B16">
        <v>27.92</v>
      </c>
      <c r="C16" s="6">
        <v>-1.17E-2</v>
      </c>
    </row>
    <row r="17" spans="1:3" x14ac:dyDescent="0.2">
      <c r="A17">
        <v>2015</v>
      </c>
      <c r="B17">
        <v>28.76</v>
      </c>
      <c r="C17" s="6">
        <v>3.0300000000000001E-2</v>
      </c>
    </row>
    <row r="18" spans="1:3" x14ac:dyDescent="0.2">
      <c r="A18">
        <v>2016</v>
      </c>
      <c r="B18">
        <v>31.51</v>
      </c>
      <c r="C18" s="6">
        <v>9.5500000000000002E-2</v>
      </c>
    </row>
    <row r="19" spans="1:3" x14ac:dyDescent="0.2">
      <c r="A19">
        <v>2017</v>
      </c>
      <c r="B19">
        <v>33.479999999999997</v>
      </c>
      <c r="C19" s="6">
        <v>6.2399999999999997E-2</v>
      </c>
    </row>
    <row r="20" spans="1:3" x14ac:dyDescent="0.2">
      <c r="A20">
        <v>2018</v>
      </c>
      <c r="B20">
        <v>34.36</v>
      </c>
      <c r="C20" s="6">
        <v>2.63E-2</v>
      </c>
    </row>
    <row r="21" spans="1:3" x14ac:dyDescent="0.2">
      <c r="A21">
        <v>2019</v>
      </c>
      <c r="B21">
        <v>35.46</v>
      </c>
      <c r="C21" s="6">
        <v>3.2099999999999997E-2</v>
      </c>
    </row>
    <row r="22" spans="1:3" x14ac:dyDescent="0.2">
      <c r="A22">
        <v>2020</v>
      </c>
      <c r="B22">
        <v>26.28</v>
      </c>
      <c r="C22" s="6">
        <v>-0.25890000000000002</v>
      </c>
    </row>
    <row r="23" spans="1:3" x14ac:dyDescent="0.2">
      <c r="A23">
        <v>2021</v>
      </c>
      <c r="B23">
        <v>29.36</v>
      </c>
      <c r="C23" s="6">
        <v>0.1173</v>
      </c>
    </row>
  </sheetData>
  <sortState xmlns:xlrd2="http://schemas.microsoft.com/office/spreadsheetml/2017/richdata2" ref="A2:C24">
    <sortCondition ref="A1:A24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DA78-31B4-F942-B89D-2F7469AD3CA1}">
  <dimension ref="A1:B25"/>
  <sheetViews>
    <sheetView workbookViewId="0">
      <selection sqref="A1:B1048576"/>
    </sheetView>
  </sheetViews>
  <sheetFormatPr baseColWidth="10" defaultRowHeight="16" x14ac:dyDescent="0.2"/>
  <cols>
    <col min="1" max="1" width="5.1640625" bestFit="1" customWidth="1"/>
    <col min="2" max="2" width="12.16406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2000</v>
      </c>
      <c r="B2">
        <v>3.5554131966687699</v>
      </c>
    </row>
    <row r="3" spans="1:2" x14ac:dyDescent="0.2">
      <c r="A3">
        <v>2001</v>
      </c>
      <c r="B3">
        <v>5.5366532632230001</v>
      </c>
    </row>
    <row r="4" spans="1:2" x14ac:dyDescent="0.2">
      <c r="A4">
        <v>2002</v>
      </c>
      <c r="B4">
        <v>4.1500586166472004</v>
      </c>
    </row>
    <row r="5" spans="1:2" x14ac:dyDescent="0.2">
      <c r="A5">
        <v>2003</v>
      </c>
      <c r="B5">
        <v>3.8111062439687</v>
      </c>
    </row>
    <row r="6" spans="1:2" x14ac:dyDescent="0.2">
      <c r="A6">
        <v>2004</v>
      </c>
      <c r="B6">
        <v>3.7215493899596499</v>
      </c>
    </row>
    <row r="7" spans="1:2" x14ac:dyDescent="0.2">
      <c r="A7">
        <v>2005</v>
      </c>
      <c r="B7">
        <v>6.8745345958351596</v>
      </c>
    </row>
    <row r="8" spans="1:2" x14ac:dyDescent="0.2">
      <c r="A8">
        <v>2006</v>
      </c>
      <c r="B8">
        <v>8.3296035146534706</v>
      </c>
    </row>
    <row r="9" spans="1:2" x14ac:dyDescent="0.2">
      <c r="A9">
        <v>2007</v>
      </c>
      <c r="B9">
        <v>7.8943883475729901</v>
      </c>
    </row>
    <row r="10" spans="1:2" x14ac:dyDescent="0.2">
      <c r="A10">
        <v>2008</v>
      </c>
      <c r="B10">
        <v>12.0303445477177</v>
      </c>
    </row>
    <row r="11" spans="1:2" x14ac:dyDescent="0.2">
      <c r="A11">
        <v>2009</v>
      </c>
      <c r="B11">
        <v>6.9780872525154702</v>
      </c>
    </row>
    <row r="12" spans="1:2" x14ac:dyDescent="0.2">
      <c r="A12">
        <v>2010</v>
      </c>
      <c r="B12">
        <v>10.5492003179988</v>
      </c>
    </row>
    <row r="13" spans="1:2" x14ac:dyDescent="0.2">
      <c r="A13">
        <v>2011</v>
      </c>
      <c r="B13">
        <v>5.1071328926456001</v>
      </c>
    </row>
    <row r="14" spans="1:2" x14ac:dyDescent="0.2">
      <c r="A14">
        <v>2012</v>
      </c>
      <c r="B14">
        <v>9.2602813706829199</v>
      </c>
    </row>
    <row r="15" spans="1:2" x14ac:dyDescent="0.2">
      <c r="A15">
        <v>2013</v>
      </c>
      <c r="B15">
        <v>5.1998174046561099</v>
      </c>
    </row>
    <row r="16" spans="1:2" x14ac:dyDescent="0.2">
      <c r="A16">
        <v>2014</v>
      </c>
      <c r="B16">
        <v>5.6844181459565899</v>
      </c>
    </row>
    <row r="17" spans="1:2" x14ac:dyDescent="0.2">
      <c r="A17">
        <v>2015</v>
      </c>
      <c r="B17">
        <v>4.6612159809826403</v>
      </c>
    </row>
    <row r="18" spans="1:2" x14ac:dyDescent="0.2">
      <c r="A18">
        <v>2016</v>
      </c>
      <c r="B18">
        <v>3.0706674246402401</v>
      </c>
    </row>
    <row r="19" spans="1:2" x14ac:dyDescent="0.2">
      <c r="A19">
        <v>2017</v>
      </c>
      <c r="B19">
        <v>1.88038440183532</v>
      </c>
    </row>
    <row r="20" spans="1:2" x14ac:dyDescent="0.2">
      <c r="A20">
        <v>2018</v>
      </c>
      <c r="B20">
        <v>1.01856930188822</v>
      </c>
    </row>
    <row r="21" spans="1:2" x14ac:dyDescent="0.2">
      <c r="A21">
        <v>2019</v>
      </c>
      <c r="B21">
        <v>1.0005429302723701</v>
      </c>
    </row>
    <row r="22" spans="1:2" x14ac:dyDescent="0.2">
      <c r="A22">
        <v>2020</v>
      </c>
      <c r="B22">
        <v>0.59898633082464303</v>
      </c>
    </row>
    <row r="23" spans="1:2" x14ac:dyDescent="0.2">
      <c r="A23">
        <v>2021</v>
      </c>
      <c r="B23">
        <v>2.05922746915458</v>
      </c>
    </row>
    <row r="24" spans="1:2" x14ac:dyDescent="0.2">
      <c r="A24">
        <v>2022</v>
      </c>
      <c r="B24">
        <v>5.8283863851795896</v>
      </c>
    </row>
    <row r="25" spans="1:2" x14ac:dyDescent="0.2">
      <c r="A25">
        <v>2023</v>
      </c>
      <c r="B25">
        <v>4.6293024241996799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EA18-1BFF-A841-8953-150EA1F2113A}">
  <dimension ref="A1:B25"/>
  <sheetViews>
    <sheetView workbookViewId="0">
      <selection activeCell="B1" sqref="B1:B1048576"/>
    </sheetView>
  </sheetViews>
  <sheetFormatPr baseColWidth="10" defaultRowHeight="16" x14ac:dyDescent="0.2"/>
  <cols>
    <col min="1" max="1" width="5.1640625" bestFit="1" customWidth="1"/>
    <col min="2" max="2" width="6.16406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2000</v>
      </c>
      <c r="B2">
        <v>12.1</v>
      </c>
    </row>
    <row r="3" spans="1:2" x14ac:dyDescent="0.2">
      <c r="A3">
        <v>2001</v>
      </c>
      <c r="B3">
        <v>10.88</v>
      </c>
    </row>
    <row r="4" spans="1:2" x14ac:dyDescent="0.2">
      <c r="A4">
        <v>2002</v>
      </c>
      <c r="B4">
        <v>10.39</v>
      </c>
    </row>
    <row r="5" spans="1:2" x14ac:dyDescent="0.2">
      <c r="A5">
        <v>2003</v>
      </c>
      <c r="B5">
        <v>10.48</v>
      </c>
    </row>
    <row r="6" spans="1:2" x14ac:dyDescent="0.2">
      <c r="A6">
        <v>2004</v>
      </c>
      <c r="B6">
        <v>8.33</v>
      </c>
    </row>
    <row r="7" spans="1:2" x14ac:dyDescent="0.2">
      <c r="A7">
        <v>2005</v>
      </c>
      <c r="B7">
        <v>7.95</v>
      </c>
    </row>
    <row r="8" spans="1:2" x14ac:dyDescent="0.2">
      <c r="A8">
        <v>2006</v>
      </c>
      <c r="B8">
        <v>6.27</v>
      </c>
    </row>
    <row r="9" spans="1:2" x14ac:dyDescent="0.2">
      <c r="A9">
        <v>2007</v>
      </c>
      <c r="B9">
        <v>5.54</v>
      </c>
    </row>
    <row r="10" spans="1:2" x14ac:dyDescent="0.2">
      <c r="A10">
        <v>2008</v>
      </c>
      <c r="B10">
        <v>4.63</v>
      </c>
    </row>
    <row r="11" spans="1:2" x14ac:dyDescent="0.2">
      <c r="A11">
        <v>2009</v>
      </c>
      <c r="B11">
        <v>5.28</v>
      </c>
    </row>
    <row r="12" spans="1:2" x14ac:dyDescent="0.2">
      <c r="A12">
        <v>2010</v>
      </c>
      <c r="B12">
        <v>4.0330000000000004</v>
      </c>
    </row>
    <row r="13" spans="1:2" x14ac:dyDescent="0.2">
      <c r="A13">
        <v>2011</v>
      </c>
      <c r="B13">
        <v>3.4249999999999998</v>
      </c>
    </row>
    <row r="14" spans="1:2" x14ac:dyDescent="0.2">
      <c r="A14">
        <v>2012</v>
      </c>
      <c r="B14">
        <v>3.718</v>
      </c>
    </row>
    <row r="15" spans="1:2" x14ac:dyDescent="0.2">
      <c r="A15">
        <v>2013</v>
      </c>
      <c r="B15">
        <v>2.6829999999999998</v>
      </c>
    </row>
    <row r="16" spans="1:2" x14ac:dyDescent="0.2">
      <c r="A16">
        <v>2014</v>
      </c>
      <c r="B16">
        <v>2.4769999999999999</v>
      </c>
    </row>
    <row r="17" spans="1:2" x14ac:dyDescent="0.2">
      <c r="A17">
        <v>2015</v>
      </c>
      <c r="B17">
        <v>2.4279999999999999</v>
      </c>
    </row>
    <row r="18" spans="1:2" x14ac:dyDescent="0.2">
      <c r="A18">
        <v>2016</v>
      </c>
      <c r="B18">
        <v>3.2069999999999999</v>
      </c>
    </row>
    <row r="19" spans="1:2" x14ac:dyDescent="0.2">
      <c r="A19">
        <v>2017</v>
      </c>
      <c r="B19">
        <v>3.3940000000000001</v>
      </c>
    </row>
    <row r="20" spans="1:2" x14ac:dyDescent="0.2">
      <c r="A20">
        <v>2018</v>
      </c>
      <c r="B20">
        <v>3.4980000000000002</v>
      </c>
    </row>
    <row r="21" spans="1:2" x14ac:dyDescent="0.2">
      <c r="A21">
        <v>2019</v>
      </c>
      <c r="B21">
        <v>3.5230000000000001</v>
      </c>
    </row>
    <row r="22" spans="1:2" x14ac:dyDescent="0.2">
      <c r="A22">
        <v>2020</v>
      </c>
      <c r="B22">
        <v>4.2060000000000004</v>
      </c>
    </row>
    <row r="23" spans="1:2" x14ac:dyDescent="0.2">
      <c r="A23">
        <v>2021</v>
      </c>
      <c r="B23">
        <v>4.4459999999999997</v>
      </c>
    </row>
    <row r="24" spans="1:2" x14ac:dyDescent="0.2">
      <c r="A24">
        <v>2022</v>
      </c>
      <c r="B24">
        <v>4.383</v>
      </c>
    </row>
    <row r="25" spans="1:2" x14ac:dyDescent="0.2">
      <c r="A25">
        <v>2023</v>
      </c>
      <c r="B25">
        <v>4.21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Collated Data</vt:lpstr>
      <vt:lpstr>GDP</vt:lpstr>
      <vt:lpstr>GNI</vt:lpstr>
      <vt:lpstr>Homicides</vt:lpstr>
      <vt:lpstr>Inflation</vt:lpstr>
      <vt:lpstr>Unemployment</vt:lpstr>
      <vt:lpstr>GNI!trinidad_and_tobago_gni_per_capita</vt:lpstr>
      <vt:lpstr>Homicides!tt_homicide_rate_1</vt:lpstr>
      <vt:lpstr>'Collated Data'!tt_inflation</vt:lpstr>
      <vt:lpstr>Inflation!tt_inflation</vt:lpstr>
      <vt:lpstr>Unemployment!tt_unemployment_rate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christophe.gittens</dc:creator>
  <cp:lastModifiedBy>christophe.gittens</cp:lastModifiedBy>
  <dcterms:created xsi:type="dcterms:W3CDTF">2025-04-05T21:42:44Z</dcterms:created>
  <dcterms:modified xsi:type="dcterms:W3CDTF">2025-04-05T22:16:55Z</dcterms:modified>
</cp:coreProperties>
</file>