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nnis_hammerschmidt/Downloads/"/>
    </mc:Choice>
  </mc:AlternateContent>
  <xr:revisionPtr revIDLastSave="0" documentId="13_ncr:1_{22EF58A7-EE3B-9948-91BA-1F8B6B7E278B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Tabelle1" sheetId="1" r:id="rId1"/>
    <sheet name="Abbildung 1" sheetId="4" r:id="rId2"/>
    <sheet name="Abbildung 2" sheetId="5" r:id="rId3"/>
    <sheet name="Abbildung 3" sheetId="6" r:id="rId4"/>
    <sheet name="Abbildung 4" sheetId="7" r:id="rId5"/>
    <sheet name="Abbildung 5" sheetId="8" r:id="rId6"/>
    <sheet name="Grundgesamtheit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S4" i="1"/>
  <c r="B3" i="4" s="1"/>
  <c r="N110" i="1"/>
  <c r="N105" i="1"/>
  <c r="N106" i="1"/>
  <c r="N107" i="1"/>
  <c r="N108" i="1"/>
  <c r="N109" i="1"/>
  <c r="N111" i="1"/>
  <c r="S106" i="1" s="1"/>
  <c r="N112" i="1"/>
  <c r="N53" i="1"/>
  <c r="N67" i="1"/>
  <c r="N51" i="1"/>
  <c r="N56" i="1"/>
  <c r="N29" i="1"/>
  <c r="S30" i="1" s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7" i="1"/>
  <c r="N43" i="1"/>
  <c r="N44" i="1"/>
  <c r="N45" i="1"/>
  <c r="N46" i="1"/>
  <c r="N49" i="1"/>
  <c r="N50" i="1"/>
  <c r="N52" i="1"/>
  <c r="N54" i="1"/>
  <c r="N55" i="1"/>
  <c r="N57" i="1"/>
  <c r="N58" i="1"/>
  <c r="N4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127" i="1"/>
  <c r="N119" i="1"/>
  <c r="N114" i="1"/>
  <c r="N115" i="1"/>
  <c r="N116" i="1"/>
  <c r="N117" i="1"/>
  <c r="S117" i="1" s="1"/>
  <c r="N118" i="1"/>
  <c r="N120" i="1"/>
  <c r="N121" i="1"/>
  <c r="N122" i="1"/>
  <c r="N123" i="1"/>
  <c r="N124" i="1"/>
  <c r="N125" i="1"/>
  <c r="N126" i="1"/>
  <c r="N128" i="1"/>
  <c r="N75" i="1"/>
  <c r="N76" i="1"/>
  <c r="N77" i="1"/>
  <c r="N78" i="1"/>
  <c r="N79" i="1"/>
  <c r="S77" i="1" s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S3" i="1"/>
  <c r="B2" i="4" s="1"/>
  <c r="S5" i="1"/>
  <c r="B4" i="4" s="1"/>
  <c r="S78" i="1"/>
  <c r="D4" i="4" s="1"/>
  <c r="E6" i="4"/>
  <c r="O28" i="1"/>
  <c r="O74" i="1"/>
  <c r="O104" i="1"/>
  <c r="O113" i="1"/>
  <c r="B5" i="8"/>
  <c r="F5" i="8" s="1"/>
  <c r="C5" i="8"/>
  <c r="D5" i="8"/>
  <c r="E5" i="8"/>
  <c r="B6" i="8"/>
  <c r="C6" i="8"/>
  <c r="D6" i="8"/>
  <c r="E6" i="8"/>
  <c r="F6" i="8"/>
  <c r="W118" i="1"/>
  <c r="B2" i="8"/>
  <c r="C2" i="8"/>
  <c r="F2" i="8" s="1"/>
  <c r="G4" i="8" s="1"/>
  <c r="D2" i="8"/>
  <c r="E2" i="8"/>
  <c r="B3" i="8"/>
  <c r="C3" i="8"/>
  <c r="F3" i="8" s="1"/>
  <c r="D3" i="8"/>
  <c r="E3" i="8"/>
  <c r="B4" i="8"/>
  <c r="C4" i="8"/>
  <c r="D4" i="8"/>
  <c r="E4" i="8"/>
  <c r="F4" i="8"/>
  <c r="B2" i="5"/>
  <c r="B3" i="5"/>
  <c r="W3" i="1"/>
  <c r="B2" i="7"/>
  <c r="W29" i="1"/>
  <c r="C2" i="7"/>
  <c r="G2" i="7" s="1"/>
  <c r="W76" i="1"/>
  <c r="D2" i="7" s="1"/>
  <c r="W106" i="1"/>
  <c r="E2" i="7"/>
  <c r="W115" i="1"/>
  <c r="F2" i="7"/>
  <c r="W4" i="1"/>
  <c r="B3" i="7"/>
  <c r="W30" i="1"/>
  <c r="C3" i="7" s="1"/>
  <c r="G3" i="7" s="1"/>
  <c r="B12" i="7" s="1"/>
  <c r="C12" i="7" s="1"/>
  <c r="W77" i="1"/>
  <c r="D3" i="7"/>
  <c r="W107" i="1"/>
  <c r="E3" i="7"/>
  <c r="W116" i="1"/>
  <c r="F3" i="7"/>
  <c r="W5" i="1"/>
  <c r="B4" i="7"/>
  <c r="W31" i="1"/>
  <c r="C4" i="7" s="1"/>
  <c r="G4" i="7" s="1"/>
  <c r="B13" i="7" s="1"/>
  <c r="C13" i="7" s="1"/>
  <c r="W78" i="1"/>
  <c r="D4" i="7"/>
  <c r="W108" i="1"/>
  <c r="E4" i="7"/>
  <c r="W117" i="1"/>
  <c r="F4" i="7"/>
  <c r="W7" i="1"/>
  <c r="B6" i="7" s="1"/>
  <c r="W33" i="1"/>
  <c r="C6" i="7"/>
  <c r="W80" i="1"/>
  <c r="D6" i="7"/>
  <c r="W110" i="1"/>
  <c r="E6" i="7"/>
  <c r="W119" i="1"/>
  <c r="F6" i="7" s="1"/>
  <c r="W6" i="1"/>
  <c r="B5" i="7" s="1"/>
  <c r="G5" i="7" s="1"/>
  <c r="B14" i="7" s="1"/>
  <c r="C14" i="7" s="1"/>
  <c r="W32" i="1"/>
  <c r="C5" i="7"/>
  <c r="W79" i="1"/>
  <c r="D5" i="7"/>
  <c r="W109" i="1"/>
  <c r="E5" i="7"/>
  <c r="F5" i="7"/>
  <c r="D4" i="5"/>
  <c r="E4" i="5"/>
  <c r="E3" i="5"/>
  <c r="E2" i="5"/>
  <c r="D3" i="5"/>
  <c r="D2" i="5"/>
  <c r="C4" i="5"/>
  <c r="C7" i="5" s="1"/>
  <c r="C3" i="5"/>
  <c r="C2" i="5"/>
  <c r="B4" i="5"/>
  <c r="I32" i="2"/>
  <c r="B5" i="5"/>
  <c r="I33" i="2"/>
  <c r="B6" i="5" s="1"/>
  <c r="I27" i="2"/>
  <c r="F6" i="4" s="1"/>
  <c r="I26" i="2"/>
  <c r="F5" i="4" s="1"/>
  <c r="S118" i="1"/>
  <c r="I23" i="2"/>
  <c r="S110" i="1"/>
  <c r="I22" i="2"/>
  <c r="S109" i="1" s="1"/>
  <c r="I19" i="2"/>
  <c r="S80" i="1" s="1"/>
  <c r="I18" i="2"/>
  <c r="D5" i="4" s="1"/>
  <c r="S79" i="1"/>
  <c r="I15" i="2"/>
  <c r="C6" i="4" s="1"/>
  <c r="I14" i="2"/>
  <c r="C5" i="4" s="1"/>
  <c r="I11" i="2"/>
  <c r="N10" i="2" s="1"/>
  <c r="I10" i="2"/>
  <c r="B5" i="4" s="1"/>
  <c r="S6" i="1"/>
  <c r="I44" i="2"/>
  <c r="E5" i="5" s="1"/>
  <c r="I45" i="2"/>
  <c r="E6" i="5" s="1"/>
  <c r="F2" i="5"/>
  <c r="F3" i="5"/>
  <c r="I36" i="2"/>
  <c r="C5" i="5"/>
  <c r="I40" i="2"/>
  <c r="D5" i="5"/>
  <c r="I37" i="2"/>
  <c r="C6" i="5"/>
  <c r="I41" i="2"/>
  <c r="D6" i="5" s="1"/>
  <c r="I46" i="2"/>
  <c r="K9" i="2"/>
  <c r="K28" i="2" s="1"/>
  <c r="K13" i="2"/>
  <c r="K17" i="2"/>
  <c r="K21" i="2"/>
  <c r="K25" i="2"/>
  <c r="J28" i="2"/>
  <c r="M28" i="1"/>
  <c r="M74" i="1"/>
  <c r="M113" i="1"/>
  <c r="M104" i="1"/>
  <c r="O130" i="1"/>
  <c r="G6" i="7" l="1"/>
  <c r="B15" i="7" s="1"/>
  <c r="C15" i="7" s="1"/>
  <c r="B11" i="7"/>
  <c r="C11" i="7" s="1"/>
  <c r="H4" i="7"/>
  <c r="C3" i="4"/>
  <c r="C15" i="5"/>
  <c r="C11" i="5"/>
  <c r="C14" i="5"/>
  <c r="C12" i="5"/>
  <c r="F4" i="4"/>
  <c r="F6" i="5"/>
  <c r="E7" i="5"/>
  <c r="E14" i="5"/>
  <c r="F5" i="5"/>
  <c r="E11" i="5"/>
  <c r="D3" i="4"/>
  <c r="E15" i="5"/>
  <c r="E12" i="5"/>
  <c r="D14" i="5"/>
  <c r="B7" i="5"/>
  <c r="E13" i="5"/>
  <c r="E2" i="4"/>
  <c r="C13" i="5"/>
  <c r="B13" i="5"/>
  <c r="S33" i="1"/>
  <c r="B6" i="4"/>
  <c r="D7" i="5"/>
  <c r="F4" i="5"/>
  <c r="S31" i="1"/>
  <c r="S76" i="1"/>
  <c r="N9" i="2"/>
  <c r="N11" i="2" s="1"/>
  <c r="D6" i="4"/>
  <c r="S108" i="1"/>
  <c r="S115" i="1"/>
  <c r="I28" i="2"/>
  <c r="S7" i="1"/>
  <c r="S119" i="1"/>
  <c r="E5" i="4"/>
  <c r="G5" i="4" s="1"/>
  <c r="S116" i="1"/>
  <c r="S107" i="1"/>
  <c r="S111" i="1" s="1"/>
  <c r="S29" i="1"/>
  <c r="S32" i="1"/>
  <c r="T110" i="1" l="1"/>
  <c r="T106" i="1"/>
  <c r="T109" i="1"/>
  <c r="B5" i="6"/>
  <c r="F3" i="4"/>
  <c r="T116" i="1"/>
  <c r="B12" i="5"/>
  <c r="B14" i="5"/>
  <c r="B11" i="5"/>
  <c r="B16" i="5" s="1"/>
  <c r="G6" i="4"/>
  <c r="E16" i="5"/>
  <c r="B7" i="4"/>
  <c r="T108" i="1"/>
  <c r="E4" i="4"/>
  <c r="D2" i="4"/>
  <c r="S81" i="1"/>
  <c r="F14" i="5"/>
  <c r="T31" i="1"/>
  <c r="C4" i="4"/>
  <c r="F7" i="5"/>
  <c r="F15" i="5" s="1"/>
  <c r="F13" i="5"/>
  <c r="D13" i="5"/>
  <c r="D12" i="5"/>
  <c r="D11" i="5"/>
  <c r="D15" i="5"/>
  <c r="C16" i="5"/>
  <c r="E3" i="4"/>
  <c r="T107" i="1"/>
  <c r="C2" i="4"/>
  <c r="S34" i="1"/>
  <c r="T30" i="1" s="1"/>
  <c r="T29" i="1"/>
  <c r="S120" i="1"/>
  <c r="T119" i="1" s="1"/>
  <c r="F2" i="4"/>
  <c r="T115" i="1"/>
  <c r="S8" i="1"/>
  <c r="E7" i="4"/>
  <c r="E15" i="4" s="1"/>
  <c r="B15" i="5"/>
  <c r="T80" i="1" l="1"/>
  <c r="T78" i="1"/>
  <c r="T79" i="1"/>
  <c r="T77" i="1"/>
  <c r="B6" i="6"/>
  <c r="D11" i="4"/>
  <c r="D7" i="4"/>
  <c r="E12" i="4"/>
  <c r="G3" i="4"/>
  <c r="G4" i="4"/>
  <c r="T3" i="1"/>
  <c r="T4" i="1"/>
  <c r="T6" i="1"/>
  <c r="T5" i="1"/>
  <c r="F7" i="4"/>
  <c r="F11" i="4" s="1"/>
  <c r="T76" i="1"/>
  <c r="T34" i="1"/>
  <c r="T111" i="1"/>
  <c r="E14" i="4"/>
  <c r="B13" i="4"/>
  <c r="B14" i="4"/>
  <c r="B11" i="4"/>
  <c r="B12" i="4"/>
  <c r="B15" i="4"/>
  <c r="F11" i="5"/>
  <c r="F12" i="5"/>
  <c r="T117" i="1"/>
  <c r="T120" i="1" s="1"/>
  <c r="T118" i="1"/>
  <c r="E13" i="4"/>
  <c r="T32" i="1"/>
  <c r="E11" i="4"/>
  <c r="C7" i="4"/>
  <c r="G2" i="4"/>
  <c r="D16" i="5"/>
  <c r="T7" i="1"/>
  <c r="T33" i="1"/>
  <c r="T8" i="1" l="1"/>
  <c r="B2" i="6"/>
  <c r="G7" i="4"/>
  <c r="T81" i="1"/>
  <c r="F12" i="4"/>
  <c r="F16" i="4" s="1"/>
  <c r="C14" i="4"/>
  <c r="C15" i="4"/>
  <c r="C12" i="4"/>
  <c r="B4" i="6"/>
  <c r="B3" i="6"/>
  <c r="D16" i="4"/>
  <c r="F16" i="5"/>
  <c r="C11" i="4"/>
  <c r="E16" i="4"/>
  <c r="F15" i="4"/>
  <c r="F14" i="4"/>
  <c r="F13" i="4"/>
  <c r="C13" i="4"/>
  <c r="B16" i="4"/>
  <c r="D14" i="4"/>
  <c r="D13" i="4"/>
  <c r="D12" i="4"/>
  <c r="D15" i="4"/>
  <c r="G14" i="4" l="1"/>
  <c r="G15" i="4"/>
  <c r="E4" i="6"/>
  <c r="G13" i="4"/>
  <c r="H13" i="4" s="1"/>
  <c r="E3" i="6"/>
  <c r="G12" i="4"/>
  <c r="G11" i="4"/>
  <c r="G16" i="4" s="1"/>
  <c r="E2" i="6"/>
  <c r="C4" i="6"/>
  <c r="C6" i="6"/>
  <c r="C16" i="4"/>
  <c r="D4" i="6" l="1"/>
</calcChain>
</file>

<file path=xl/sharedStrings.xml><?xml version="1.0" encoding="utf-8"?>
<sst xmlns="http://schemas.openxmlformats.org/spreadsheetml/2006/main" count="1170" uniqueCount="329">
  <si>
    <t>Afghanistan</t>
  </si>
  <si>
    <t>Bangladesch</t>
  </si>
  <si>
    <t>Bhutan</t>
  </si>
  <si>
    <t>Indien</t>
  </si>
  <si>
    <t>Indonesien</t>
  </si>
  <si>
    <t>Kambodscha</t>
  </si>
  <si>
    <t>Kiribati</t>
  </si>
  <si>
    <t>Malaysia</t>
  </si>
  <si>
    <t>Malediven</t>
  </si>
  <si>
    <t>Marshallinseln</t>
  </si>
  <si>
    <t>Mikronesien</t>
  </si>
  <si>
    <t>Mongolei</t>
  </si>
  <si>
    <t>Pakistan</t>
  </si>
  <si>
    <t>Salomonen</t>
  </si>
  <si>
    <t>Samoa</t>
  </si>
  <si>
    <t>Sri Lanka</t>
  </si>
  <si>
    <t>Tuvalu</t>
  </si>
  <si>
    <t>Vietnam</t>
  </si>
  <si>
    <t>Subsahara-Afrika</t>
  </si>
  <si>
    <t>Burkina Faso</t>
  </si>
  <si>
    <t>Côte d'Ivoire</t>
  </si>
  <si>
    <t>Dschibuti</t>
  </si>
  <si>
    <t>Eritrea</t>
  </si>
  <si>
    <t>Ghana</t>
  </si>
  <si>
    <t>Kap Verde</t>
  </si>
  <si>
    <t>Öffentliche Schulden / BIP</t>
  </si>
  <si>
    <t>Trend1</t>
  </si>
  <si>
    <t>Öffentliche Schulden / Staatseinnahmen</t>
  </si>
  <si>
    <t>Auslandsschuldenstand / BIP</t>
  </si>
  <si>
    <t>Auslandsschuldenstand / Export­einnahmen</t>
  </si>
  <si>
    <t>Auslandsschuldendienst / Export­einnahmen</t>
  </si>
  <si>
    <t>Südasien, Südostasien, Pazifik</t>
  </si>
  <si>
    <t>Kenia</t>
  </si>
  <si>
    <t>Malawi</t>
  </si>
  <si>
    <t>Mauritius</t>
  </si>
  <si>
    <t>Mosambik</t>
  </si>
  <si>
    <t>Sambia</t>
  </si>
  <si>
    <t>Simbabwe</t>
  </si>
  <si>
    <t>Südafrika</t>
  </si>
  <si>
    <t>Sudan</t>
  </si>
  <si>
    <t>Südsudan</t>
  </si>
  <si>
    <t>Togo</t>
  </si>
  <si>
    <t>Tschad</t>
  </si>
  <si>
    <t>Zentralafrikanische Republik</t>
  </si>
  <si>
    <t>Lateinamerika, Karibik</t>
  </si>
  <si>
    <t>Brasilien</t>
  </si>
  <si>
    <t>Costa Rica</t>
  </si>
  <si>
    <t>Dominica</t>
  </si>
  <si>
    <t>Dominikanische Republik</t>
  </si>
  <si>
    <t>Ecuador</t>
  </si>
  <si>
    <t>El Salvador</t>
  </si>
  <si>
    <t>Grenada</t>
  </si>
  <si>
    <t>Guatemala</t>
  </si>
  <si>
    <t>Honduras</t>
  </si>
  <si>
    <t>Jamaika</t>
  </si>
  <si>
    <t>Kolumbien</t>
  </si>
  <si>
    <t>Nicaragua</t>
  </si>
  <si>
    <t>Panama</t>
  </si>
  <si>
    <t>St. Lucia</t>
  </si>
  <si>
    <t>St. Vincent und die Grenadinen</t>
  </si>
  <si>
    <t>Venezuela</t>
  </si>
  <si>
    <t>Nordafrika, Naher Osten</t>
  </si>
  <si>
    <t>Ägypten</t>
  </si>
  <si>
    <t>Jordanien</t>
  </si>
  <si>
    <t>Libanon</t>
  </si>
  <si>
    <t>Marokko</t>
  </si>
  <si>
    <t>Tunesien</t>
  </si>
  <si>
    <t>Europa, GUS</t>
  </si>
  <si>
    <t>Albanien</t>
  </si>
  <si>
    <t>Armenien</t>
  </si>
  <si>
    <t>Bosnien und Herzegowina</t>
  </si>
  <si>
    <t>Georgien</t>
  </si>
  <si>
    <t>Kasachstan</t>
  </si>
  <si>
    <t>Kirgisistan</t>
  </si>
  <si>
    <t>Mazedonien</t>
  </si>
  <si>
    <t>Moldawien</t>
  </si>
  <si>
    <t>Montenegro</t>
  </si>
  <si>
    <t>Serbien</t>
  </si>
  <si>
    <t>Tadschikistan</t>
  </si>
  <si>
    <t>Türkei</t>
  </si>
  <si>
    <t>Ukraine</t>
  </si>
  <si>
    <t>Weißrussland</t>
  </si>
  <si>
    <t>Laos</t>
  </si>
  <si>
    <t>Guinea</t>
  </si>
  <si>
    <t>Guinea-Bissau</t>
  </si>
  <si>
    <t>Mali</t>
  </si>
  <si>
    <t>Niger</t>
  </si>
  <si>
    <t>Senegal</t>
  </si>
  <si>
    <t>Belize</t>
  </si>
  <si>
    <t>Paraguay</t>
  </si>
  <si>
    <t>Angola</t>
  </si>
  <si>
    <t>Gabun</t>
  </si>
  <si>
    <t>Surinam</t>
  </si>
  <si>
    <t>Nepal</t>
  </si>
  <si>
    <t>Peru</t>
  </si>
  <si>
    <t>Ruanda</t>
  </si>
  <si>
    <t>Tonga</t>
  </si>
  <si>
    <t>Burundi</t>
  </si>
  <si>
    <t>Komoren</t>
  </si>
  <si>
    <t>Madagaskar</t>
  </si>
  <si>
    <t>Mauretanien</t>
  </si>
  <si>
    <t>Tansania</t>
  </si>
  <si>
    <t>Guyana</t>
  </si>
  <si>
    <t>Haiti</t>
  </si>
  <si>
    <t>Argentinien</t>
  </si>
  <si>
    <t>Benin</t>
  </si>
  <si>
    <t>Äthiopien</t>
  </si>
  <si>
    <t>Gambia</t>
  </si>
  <si>
    <t>Nigeria</t>
  </si>
  <si>
    <t>Papua-Neuguinea</t>
  </si>
  <si>
    <t>São Tomé und Príncipe</t>
  </si>
  <si>
    <t>Sierra Leone</t>
  </si>
  <si>
    <t>Uganda</t>
  </si>
  <si>
    <t>Vanuatu</t>
  </si>
  <si>
    <t>Kamerun</t>
  </si>
  <si>
    <t>Antigua und Barbuda</t>
  </si>
  <si>
    <t>St. Kitts und Nevis*</t>
  </si>
  <si>
    <t>Seychellen</t>
  </si>
  <si>
    <t>-</t>
  </si>
  <si>
    <t>+</t>
  </si>
  <si>
    <t>n.n.</t>
  </si>
  <si>
    <r>
      <t>+</t>
    </r>
    <r>
      <rPr>
        <sz val="12"/>
        <color indexed="205"/>
        <rFont val="Calibri"/>
        <family val="2"/>
      </rPr>
      <t/>
    </r>
  </si>
  <si>
    <t>Lesotho</t>
  </si>
  <si>
    <t>Bahrain</t>
  </si>
  <si>
    <t>Liberia</t>
  </si>
  <si>
    <t>Philippinen</t>
  </si>
  <si>
    <t>Uruguay</t>
  </si>
  <si>
    <t>Irak</t>
  </si>
  <si>
    <t>Nauru</t>
  </si>
  <si>
    <t>*= Eigene Berechnungen</t>
  </si>
  <si>
    <t>k.A.</t>
  </si>
  <si>
    <t>k.A</t>
  </si>
  <si>
    <t>Namibia*</t>
  </si>
  <si>
    <t>Quellen: ids 2019; IMF: WEO-Outlook Oct. 2018, CIA Factbook, IMF Art. IV Country Reports</t>
  </si>
  <si>
    <t>Risiko der Überschuldung laut IWF am 1.11.2018</t>
  </si>
  <si>
    <t>Überschreitungen</t>
  </si>
  <si>
    <t>Tendenz</t>
  </si>
  <si>
    <t>Mexiko</t>
  </si>
  <si>
    <t>Aserbaidschan</t>
  </si>
  <si>
    <t>Bahamas</t>
  </si>
  <si>
    <t>Barbados</t>
  </si>
  <si>
    <t>L</t>
  </si>
  <si>
    <t>LM</t>
  </si>
  <si>
    <t>UM</t>
  </si>
  <si>
    <t>H</t>
  </si>
  <si>
    <t>Trend12</t>
  </si>
  <si>
    <t>Trend13</t>
  </si>
  <si>
    <t>Trend14</t>
  </si>
  <si>
    <t>Trend15</t>
  </si>
  <si>
    <t>Income</t>
  </si>
  <si>
    <t>Land</t>
  </si>
  <si>
    <t>Verschuldungs-situation</t>
  </si>
  <si>
    <t>Sehr kritisch</t>
  </si>
  <si>
    <t>Kritisch</t>
  </si>
  <si>
    <t>Leicht Kritisch</t>
  </si>
  <si>
    <t>Unkritisch</t>
  </si>
  <si>
    <t>Keine Daten</t>
  </si>
  <si>
    <t>OECD/EU</t>
  </si>
  <si>
    <t>keine Daten</t>
  </si>
  <si>
    <t>Albania</t>
  </si>
  <si>
    <t>Algeria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</si>
  <si>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</si>
  <si>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</si>
  <si>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</si>
  <si>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</si>
  <si>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</si>
  <si>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</si>
  <si>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</si>
  <si>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</si>
  <si>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</si>
  <si>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</si>
  <si>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</si>
  <si>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</si>
  <si>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</si>
  <si>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</si>
  <si>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</si>
  <si>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Brunei Darussalam</t>
  </si>
  <si>
    <t>Bulgaria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</si>
  <si>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</si>
  <si>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</si>
  <si>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</si>
  <si>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</si>
  <si>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</si>
  <si>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</si>
  <si>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</si>
  <si>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</si>
  <si>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</si>
  <si>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</si>
  <si>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</si>
  <si>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</si>
  <si>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C»te d'Ivoire</t>
  </si>
  <si>
    <t>Croatia</t>
  </si>
  <si>
    <t>Cyprus</t>
  </si>
  <si>
    <t>Czech Republic</t>
  </si>
  <si>
    <t>Denmark</t>
  </si>
  <si>
    <t>Djibouti</t>
  </si>
  <si>
    <t>Dominican Republic</t>
  </si>
  <si>
    <t>Egypt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</si>
  <si>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</si>
  <si>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</si>
  <si>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</si>
  <si>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</si>
  <si>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</si>
  <si>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</si>
  <si>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</si>
  <si>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</si>
  <si>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</si>
  <si>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</si>
  <si>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</si>
  <si>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Greece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</si>
  <si>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</si>
  <si>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</si>
  <si>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</si>
  <si>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</si>
  <si>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</si>
  <si>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</si>
  <si>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</si>
  <si>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</si>
  <si>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</si>
  <si>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</si>
  <si>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</si>
  <si>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</si>
  <si>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</si>
  <si>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</si>
  <si>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</si>
  <si>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</si>
  <si>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Kosovo</t>
  </si>
  <si>
    <t>Kuwait</t>
  </si>
  <si>
    <t>Kyrgyz Republic</t>
  </si>
  <si>
    <t>Lao P.D.R.</t>
  </si>
  <si>
    <t>Latvia</t>
  </si>
  <si>
    <t>Lebanon</t>
  </si>
  <si>
    <t>Libya</t>
  </si>
  <si>
    <t>Lithuania</t>
  </si>
  <si>
    <t>Luxembourg</t>
  </si>
  <si>
    <t>Macao SAR</t>
  </si>
  <si>
    <t>FYR Macedonia</t>
  </si>
  <si>
    <t>Madagascar</t>
  </si>
  <si>
    <t>Maldives</t>
  </si>
  <si>
    <t>Malta</t>
  </si>
  <si>
    <t>Marshall Islands</t>
  </si>
  <si>
    <t>Mauritania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</si>
  <si>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</si>
  <si>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</si>
  <si>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</si>
  <si>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</si>
  <si>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</si>
  <si>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</si>
  <si>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</si>
  <si>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</si>
  <si>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</si>
  <si>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</si>
  <si>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Norway</t>
  </si>
  <si>
    <t>Oman</t>
  </si>
  <si>
    <t>Palau</t>
  </si>
  <si>
    <t>Papua New Guinea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</si>
  <si>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</si>
  <si>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</si>
  <si>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</si>
  <si>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</si>
  <si>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</si>
  <si>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</si>
  <si>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</si>
  <si>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</si>
  <si>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San Marino</t>
  </si>
  <si>
    <t>S†o Tom_ and PrÍncipe</t>
  </si>
  <si>
    <t>Saudi Arabia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</si>
  <si>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</si>
  <si>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</si>
  <si>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</si>
  <si>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</si>
  <si>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</si>
  <si>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</si>
  <si>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</si>
  <si>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</si>
  <si>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</si>
  <si>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</si>
  <si>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St. Kitts and Nevis</t>
  </si>
  <si>
    <t>St. Vincent and the Grenadines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</si>
  <si>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</si>
  <si>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</si>
  <si>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</si>
  <si>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</si>
  <si>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</si>
  <si>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</si>
  <si>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</si>
  <si>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</si>
  <si>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</si>
  <si>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Trinidad and Tobago</t>
  </si>
  <si>
    <t>Tunisia</t>
  </si>
  <si>
    <t>Turkey</t>
  </si>
  <si>
    <t>Turkmenistan</t>
  </si>
  <si>
    <t>United Arab Emirates</t>
  </si>
  <si>
    <t>United Kingdom</t>
  </si>
  <si>
    <t>United States</t>
  </si>
  <si>
    <t>Uzbekistan</t>
  </si>
  <si>
    <t>Yemen</t>
  </si>
  <si>
    <t>Zambia</t>
  </si>
  <si>
    <t>Zimbabwe</t>
  </si>
  <si>
    <t>Insgesamt</t>
  </si>
  <si>
    <t>Untersuchte Länder</t>
  </si>
  <si>
    <t>SR-Tabelle 1</t>
  </si>
  <si>
    <t>unkritisch</t>
  </si>
  <si>
    <t>Region</t>
  </si>
  <si>
    <t>NAO</t>
  </si>
  <si>
    <t>SAP</t>
  </si>
  <si>
    <t>Südasien, Südostsie, Pazifik</t>
  </si>
  <si>
    <t>SSA</t>
  </si>
  <si>
    <t>Lateinamerika, Karbik</t>
  </si>
  <si>
    <t>LAK</t>
  </si>
  <si>
    <t>EUG</t>
  </si>
  <si>
    <t>Weltweit</t>
  </si>
  <si>
    <t>high income</t>
  </si>
  <si>
    <t>upper middle income</t>
  </si>
  <si>
    <t>lower middle income</t>
  </si>
  <si>
    <t>low</t>
  </si>
  <si>
    <t>Verbessert</t>
  </si>
  <si>
    <t>Verschlechtert</t>
  </si>
  <si>
    <t>Stagniert</t>
  </si>
  <si>
    <t>&gt;4</t>
  </si>
  <si>
    <t>&gt;5</t>
  </si>
  <si>
    <t>Gesamt</t>
  </si>
  <si>
    <t>Jemen*</t>
  </si>
  <si>
    <t>insg. Keine Daten</t>
  </si>
  <si>
    <t>Insg. Unkritisch</t>
  </si>
  <si>
    <t>Trend</t>
  </si>
  <si>
    <t>Äquatorialguinea</t>
  </si>
  <si>
    <t xml:space="preserve">Kongo, Demokratische Republik </t>
  </si>
  <si>
    <t>Kongo, Republik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</si>
</sst>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_ ;[Red]\-0\ 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scheme val="minor"/>
    </font>
    <font>
      <sz val="12"/>
      <color indexed="205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0" xfId="0" applyFo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5" borderId="0" xfId="0" applyNumberFormat="1" applyFill="1" applyAlignment="1">
      <alignment horizontal="center" wrapText="1"/>
    </xf>
    <xf numFmtId="164" fontId="0" fillId="5" borderId="0" xfId="0" applyNumberFormat="1" applyFont="1" applyFill="1" applyAlignment="1">
      <alignment horizontal="center" wrapText="1"/>
    </xf>
    <xf numFmtId="164" fontId="0" fillId="2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4" borderId="0" xfId="0" applyNumberFormat="1" applyFill="1" applyAlignment="1">
      <alignment horizontal="center"/>
    </xf>
    <xf numFmtId="164" fontId="0" fillId="3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6" borderId="0" xfId="0" applyNumberFormat="1" applyFill="1"/>
    <xf numFmtId="1" fontId="0" fillId="0" borderId="0" xfId="0" applyNumberFormat="1" applyAlignment="1">
      <alignment horizontal="center" wrapText="1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9" borderId="0" xfId="0" applyNumberFormat="1" applyFont="1" applyFill="1" applyAlignment="1">
      <alignment horizontal="center" wrapText="1"/>
    </xf>
    <xf numFmtId="1" fontId="6" fillId="8" borderId="0" xfId="0" applyNumberFormat="1" applyFont="1" applyFill="1"/>
    <xf numFmtId="1" fontId="0" fillId="0" borderId="0" xfId="0" applyNumberFormat="1"/>
    <xf numFmtId="1" fontId="0" fillId="6" borderId="0" xfId="0" applyNumberFormat="1" applyFill="1"/>
    <xf numFmtId="1" fontId="0" fillId="8" borderId="0" xfId="0" applyNumberFormat="1" applyFill="1"/>
    <xf numFmtId="1" fontId="0" fillId="2" borderId="0" xfId="0" applyNumberFormat="1" applyFill="1"/>
    <xf numFmtId="1" fontId="0" fillId="7" borderId="0" xfId="0" applyNumberFormat="1" applyFill="1"/>
    <xf numFmtId="1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7" fillId="0" borderId="0" xfId="0" applyFont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2" fontId="0" fillId="0" borderId="3" xfId="0" applyNumberFormat="1" applyBorder="1"/>
    <xf numFmtId="0" fontId="0" fillId="0" borderId="6" xfId="0" applyBorder="1"/>
    <xf numFmtId="2" fontId="0" fillId="0" borderId="5" xfId="0" applyNumberFormat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0" fontId="0" fillId="0" borderId="10" xfId="0" applyFill="1" applyBorder="1"/>
    <xf numFmtId="0" fontId="0" fillId="0" borderId="12" xfId="0" applyBorder="1"/>
    <xf numFmtId="0" fontId="0" fillId="0" borderId="11" xfId="0" applyBorder="1"/>
    <xf numFmtId="2" fontId="0" fillId="0" borderId="13" xfId="0" applyNumberFormat="1" applyBorder="1"/>
    <xf numFmtId="164" fontId="0" fillId="3" borderId="10" xfId="0" applyNumberFormat="1" applyFill="1" applyBorder="1"/>
    <xf numFmtId="0" fontId="0" fillId="3" borderId="8" xfId="0" applyFill="1" applyBorder="1"/>
    <xf numFmtId="0" fontId="0" fillId="3" borderId="9" xfId="0" applyFill="1" applyBorder="1"/>
    <xf numFmtId="1" fontId="0" fillId="0" borderId="8" xfId="0" applyNumberFormat="1" applyFill="1" applyBorder="1"/>
    <xf numFmtId="164" fontId="0" fillId="3" borderId="7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9" fontId="0" fillId="3" borderId="27" xfId="0" applyNumberFormat="1" applyFill="1" applyBorder="1" applyAlignment="1">
      <alignment wrapText="1"/>
    </xf>
    <xf numFmtId="49" fontId="0" fillId="3" borderId="28" xfId="0" applyNumberFormat="1" applyFill="1" applyBorder="1" applyAlignment="1">
      <alignment wrapText="1"/>
    </xf>
    <xf numFmtId="49" fontId="0" fillId="3" borderId="29" xfId="0" applyNumberFormat="1" applyFill="1" applyBorder="1" applyAlignment="1">
      <alignment wrapText="1"/>
    </xf>
    <xf numFmtId="0" fontId="7" fillId="0" borderId="23" xfId="0" applyFont="1" applyBorder="1"/>
    <xf numFmtId="49" fontId="7" fillId="13" borderId="27" xfId="0" applyNumberFormat="1" applyFont="1" applyFill="1" applyBorder="1" applyAlignment="1">
      <alignment wrapText="1"/>
    </xf>
    <xf numFmtId="49" fontId="7" fillId="13" borderId="33" xfId="0" applyNumberFormat="1" applyFont="1" applyFill="1" applyBorder="1" applyAlignment="1">
      <alignment wrapText="1"/>
    </xf>
    <xf numFmtId="49" fontId="7" fillId="13" borderId="34" xfId="0" applyNumberFormat="1" applyFont="1" applyFill="1" applyBorder="1" applyAlignment="1">
      <alignment wrapText="1"/>
    </xf>
    <xf numFmtId="0" fontId="7" fillId="0" borderId="25" xfId="0" applyFont="1" applyBorder="1"/>
    <xf numFmtId="0" fontId="7" fillId="0" borderId="17" xfId="0" applyFont="1" applyBorder="1"/>
    <xf numFmtId="0" fontId="7" fillId="0" borderId="35" xfId="0" applyFont="1" applyBorder="1"/>
    <xf numFmtId="0" fontId="7" fillId="0" borderId="26" xfId="0" applyFont="1" applyBorder="1"/>
    <xf numFmtId="0" fontId="7" fillId="0" borderId="36" xfId="0" applyFont="1" applyBorder="1"/>
    <xf numFmtId="0" fontId="7" fillId="0" borderId="30" xfId="0" applyFont="1" applyBorder="1"/>
    <xf numFmtId="0" fontId="7" fillId="0" borderId="24" xfId="0" applyFont="1" applyBorder="1"/>
    <xf numFmtId="0" fontId="0" fillId="0" borderId="0" xfId="0" applyFill="1" applyBorder="1"/>
    <xf numFmtId="2" fontId="7" fillId="0" borderId="14" xfId="0" applyNumberFormat="1" applyFont="1" applyBorder="1"/>
    <xf numFmtId="2" fontId="7" fillId="0" borderId="1" xfId="0" applyNumberFormat="1" applyFont="1" applyBorder="1"/>
    <xf numFmtId="2" fontId="7" fillId="0" borderId="15" xfId="0" applyNumberFormat="1" applyFont="1" applyBorder="1"/>
    <xf numFmtId="2" fontId="7" fillId="0" borderId="16" xfId="0" applyNumberFormat="1" applyFont="1" applyBorder="1"/>
    <xf numFmtId="2" fontId="7" fillId="0" borderId="3" xfId="0" applyNumberFormat="1" applyFont="1" applyBorder="1"/>
    <xf numFmtId="2" fontId="7" fillId="0" borderId="6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Border="1"/>
    <xf numFmtId="2" fontId="7" fillId="0" borderId="20" xfId="0" applyNumberFormat="1" applyFont="1" applyBorder="1"/>
    <xf numFmtId="2" fontId="7" fillId="0" borderId="22" xfId="0" applyNumberFormat="1" applyFont="1" applyBorder="1"/>
    <xf numFmtId="2" fontId="7" fillId="0" borderId="2" xfId="0" applyNumberFormat="1" applyFont="1" applyBorder="1"/>
    <xf numFmtId="2" fontId="7" fillId="0" borderId="4" xfId="0" applyNumberFormat="1" applyFont="1" applyBorder="1"/>
    <xf numFmtId="0" fontId="7" fillId="0" borderId="31" xfId="0" applyFont="1" applyBorder="1"/>
    <xf numFmtId="0" fontId="7" fillId="0" borderId="32" xfId="0" applyFont="1" applyBorder="1"/>
    <xf numFmtId="0" fontId="0" fillId="0" borderId="14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" xfId="0" applyNumberFormat="1" applyBorder="1"/>
    <xf numFmtId="0" fontId="0" fillId="0" borderId="3" xfId="0" applyBorder="1"/>
    <xf numFmtId="0" fontId="0" fillId="0" borderId="5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" fontId="8" fillId="7" borderId="0" xfId="0" applyNumberFormat="1" applyFont="1" applyFill="1"/>
    <xf numFmtId="164" fontId="0" fillId="14" borderId="0" xfId="0" applyNumberFormat="1" applyFill="1"/>
    <xf numFmtId="2" fontId="0" fillId="0" borderId="0" xfId="0" applyNumberForma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7" fillId="0" borderId="19" xfId="0" applyFont="1" applyBorder="1"/>
    <xf numFmtId="0" fontId="7" fillId="0" borderId="21" xfId="0" applyFont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41" xfId="0" applyBorder="1"/>
    <xf numFmtId="0" fontId="7" fillId="0" borderId="42" xfId="0" applyFont="1" applyBorder="1"/>
    <xf numFmtId="0" fontId="7" fillId="0" borderId="43" xfId="0" applyFont="1" applyBorder="1"/>
    <xf numFmtId="0" fontId="7" fillId="0" borderId="44" xfId="0" applyFont="1" applyBorder="1"/>
    <xf numFmtId="1" fontId="0" fillId="0" borderId="0" xfId="0" applyNumberFormat="1" applyFill="1"/>
    <xf numFmtId="164" fontId="0" fillId="15" borderId="0" xfId="0" applyNumberFormat="1" applyFill="1"/>
    <xf numFmtId="164" fontId="8" fillId="15" borderId="0" xfId="0" applyNumberFormat="1" applyFont="1" applyFill="1"/>
    <xf numFmtId="2" fontId="0" fillId="0" borderId="0" xfId="0" applyNumberFormat="1" applyAlignment="1">
      <alignment horizontal="center" wrapText="1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19"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rgb="FFFFFF00"/>
        </patternFill>
      </fill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4" formatCode="0.0"/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rgb="FFFFFF00"/>
        </patternFill>
      </fill>
    </dxf>
    <dxf>
      <numFmt numFmtId="164" formatCode="0.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1'!$A$2</c:f>
              <c:strCache>
                <c:ptCount val="1"/>
                <c:pt idx="0">
                  <c:v>Sehr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1'!$B$2:$F$2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A-0244-A60F-5088E5758187}"/>
            </c:ext>
          </c:extLst>
        </c:ser>
        <c:ser>
          <c:idx val="1"/>
          <c:order val="1"/>
          <c:tx>
            <c:strRef>
              <c:f>'Abbildung 1'!$A$3</c:f>
              <c:strCache>
                <c:ptCount val="1"/>
                <c:pt idx="0">
                  <c:v>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1'!$B$3:$F$3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A-0244-A60F-5088E5758187}"/>
            </c:ext>
          </c:extLst>
        </c:ser>
        <c:ser>
          <c:idx val="2"/>
          <c:order val="2"/>
          <c:tx>
            <c:strRef>
              <c:f>'Abbildung 1'!$A$4</c:f>
              <c:strCache>
                <c:ptCount val="1"/>
                <c:pt idx="0">
                  <c:v>Leicht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1'!$B$4:$F$4</c:f>
              <c:numCache>
                <c:formatCode>General</c:formatCode>
                <c:ptCount val="5"/>
                <c:pt idx="0">
                  <c:v>18</c:v>
                </c:pt>
                <c:pt idx="1">
                  <c:v>30</c:v>
                </c:pt>
                <c:pt idx="2">
                  <c:v>18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A-0244-A60F-5088E5758187}"/>
            </c:ext>
          </c:extLst>
        </c:ser>
        <c:ser>
          <c:idx val="3"/>
          <c:order val="3"/>
          <c:tx>
            <c:strRef>
              <c:f>'Abbildung 1'!$A$5</c:f>
              <c:strCache>
                <c:ptCount val="1"/>
                <c:pt idx="0">
                  <c:v>Unkritisch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1'!$B$5:$F$5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A-0244-A60F-5088E5758187}"/>
            </c:ext>
          </c:extLst>
        </c:ser>
        <c:ser>
          <c:idx val="4"/>
          <c:order val="4"/>
          <c:tx>
            <c:strRef>
              <c:f>'Abbildung 1'!$A$6</c:f>
              <c:strCache>
                <c:ptCount val="1"/>
                <c:pt idx="0">
                  <c:v>Keine Daten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1'!$B$1:$F$1</c:f>
              <c:strCache>
                <c:ptCount val="5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</c:strCache>
            </c:strRef>
          </c:cat>
          <c:val>
            <c:numRef>
              <c:f>'Abbildung 1'!$B$6:$F$6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A-0244-A60F-5088E57581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2403032"/>
        <c:axId val="-2136817000"/>
      </c:barChart>
      <c:catAx>
        <c:axId val="-211240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6817000"/>
        <c:crosses val="autoZero"/>
        <c:auto val="1"/>
        <c:lblAlgn val="ctr"/>
        <c:lblOffset val="100"/>
        <c:noMultiLvlLbl val="0"/>
      </c:catAx>
      <c:valAx>
        <c:axId val="-2136817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2403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31656255562203"/>
          <c:y val="0.22247186064893101"/>
          <c:w val="0.16268343744437799"/>
          <c:h val="0.25518314340313603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2'!$A$2</c:f>
              <c:strCache>
                <c:ptCount val="1"/>
                <c:pt idx="0">
                  <c:v>Sehr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C-0844-9629-3458416ACADC}"/>
            </c:ext>
          </c:extLst>
        </c:ser>
        <c:ser>
          <c:idx val="1"/>
          <c:order val="1"/>
          <c:tx>
            <c:strRef>
              <c:f>'Abbildung 2'!$A$3</c:f>
              <c:strCache>
                <c:ptCount val="1"/>
                <c:pt idx="0">
                  <c:v>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2'!$B$3:$E$3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C-0844-9629-3458416ACADC}"/>
            </c:ext>
          </c:extLst>
        </c:ser>
        <c:ser>
          <c:idx val="2"/>
          <c:order val="2"/>
          <c:tx>
            <c:strRef>
              <c:f>'Abbildung 2'!$A$4</c:f>
              <c:strCache>
                <c:ptCount val="1"/>
                <c:pt idx="0">
                  <c:v>Leicht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2'!$B$4:$E$4</c:f>
              <c:numCache>
                <c:formatCode>General</c:formatCode>
                <c:ptCount val="4"/>
                <c:pt idx="0">
                  <c:v>3</c:v>
                </c:pt>
                <c:pt idx="1">
                  <c:v>31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C-0844-9629-3458416ACADC}"/>
            </c:ext>
          </c:extLst>
        </c:ser>
        <c:ser>
          <c:idx val="3"/>
          <c:order val="3"/>
          <c:tx>
            <c:strRef>
              <c:f>'Abbildung 2'!$A$5</c:f>
              <c:strCache>
                <c:ptCount val="1"/>
                <c:pt idx="0">
                  <c:v>Unkritisch</c:v>
                </c:pt>
              </c:strCache>
            </c:strRef>
          </c:tx>
          <c:spPr>
            <a:solidFill>
              <a:srgbClr val="DDD9C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2'!$B$5:$E$5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C-0844-9629-3458416ACADC}"/>
            </c:ext>
          </c:extLst>
        </c:ser>
        <c:ser>
          <c:idx val="4"/>
          <c:order val="4"/>
          <c:tx>
            <c:strRef>
              <c:f>'Abbildung 2'!$A$6</c:f>
              <c:strCache>
                <c:ptCount val="1"/>
                <c:pt idx="0">
                  <c:v>Keine Daten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2'!$B$6:$E$6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C-0844-9629-3458416AC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3219224"/>
        <c:axId val="-2114925640"/>
      </c:barChart>
      <c:catAx>
        <c:axId val="-211321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4925640"/>
        <c:crosses val="autoZero"/>
        <c:auto val="1"/>
        <c:lblAlgn val="ctr"/>
        <c:lblOffset val="100"/>
        <c:noMultiLvlLbl val="0"/>
      </c:catAx>
      <c:valAx>
        <c:axId val="-2114925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321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'Abbildung 3'!$B$1</c:f>
              <c:strCache>
                <c:ptCount val="1"/>
                <c:pt idx="0">
                  <c:v>Weltweit</c:v>
                </c:pt>
              </c:strCache>
            </c:strRef>
          </c:tx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603-624F-866B-FDA04D964A7F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603-624F-866B-FDA04D964A7F}"/>
              </c:ext>
            </c:extLst>
          </c:dPt>
          <c:cat>
            <c:strRef>
              <c:f>'Abbildung 3'!$A$2:$A$6</c:f>
              <c:strCache>
                <c:ptCount val="5"/>
                <c:pt idx="0">
                  <c:v>Sehr kritisch</c:v>
                </c:pt>
                <c:pt idx="1">
                  <c:v>Kritisch</c:v>
                </c:pt>
                <c:pt idx="2">
                  <c:v>Leicht Kritisch</c:v>
                </c:pt>
                <c:pt idx="3">
                  <c:v>Unkritisch</c:v>
                </c:pt>
                <c:pt idx="4">
                  <c:v>Keine Daten</c:v>
                </c:pt>
              </c:strCache>
            </c:strRef>
          </c:cat>
          <c:val>
            <c:numRef>
              <c:f>'Abbildung 3'!$B$2:$B$6</c:f>
              <c:numCache>
                <c:formatCode>General</c:formatCode>
                <c:ptCount val="5"/>
                <c:pt idx="0">
                  <c:v>7</c:v>
                </c:pt>
                <c:pt idx="1">
                  <c:v>41</c:v>
                </c:pt>
                <c:pt idx="2">
                  <c:v>74</c:v>
                </c:pt>
                <c:pt idx="3">
                  <c:v>24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03-624F-866B-FDA04D96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4'!$A$2</c:f>
              <c:strCache>
                <c:ptCount val="1"/>
                <c:pt idx="0">
                  <c:v>Verschlechtert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4'!$B$2:$G$2</c:f>
              <c:numCache>
                <c:formatCode>General</c:formatCode>
                <c:ptCount val="6"/>
                <c:pt idx="0">
                  <c:v>16</c:v>
                </c:pt>
                <c:pt idx="1">
                  <c:v>35</c:v>
                </c:pt>
                <c:pt idx="2">
                  <c:v>19</c:v>
                </c:pt>
                <c:pt idx="3">
                  <c:v>8</c:v>
                </c:pt>
                <c:pt idx="4">
                  <c:v>12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B845-BA73-C69D8D055CE0}"/>
            </c:ext>
          </c:extLst>
        </c:ser>
        <c:ser>
          <c:idx val="1"/>
          <c:order val="1"/>
          <c:tx>
            <c:strRef>
              <c:f>'Abbildung 4'!$A$3</c:f>
              <c:strCache>
                <c:ptCount val="1"/>
                <c:pt idx="0">
                  <c:v>Stagniert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4'!$B$3:$G$3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0-B845-BA73-C69D8D055CE0}"/>
            </c:ext>
          </c:extLst>
        </c:ser>
        <c:ser>
          <c:idx val="2"/>
          <c:order val="2"/>
          <c:tx>
            <c:strRef>
              <c:f>'Abbildung 4'!$A$4</c:f>
              <c:strCache>
                <c:ptCount val="1"/>
                <c:pt idx="0">
                  <c:v>Verbessert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4'!$B$4:$G$4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0</c:v>
                </c:pt>
                <c:pt idx="4">
                  <c:v>3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0-B845-BA73-C69D8D05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015896"/>
        <c:axId val="-2114178248"/>
      </c:barChart>
      <c:catAx>
        <c:axId val="-21130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4178248"/>
        <c:crosses val="autoZero"/>
        <c:auto val="1"/>
        <c:lblAlgn val="ctr"/>
        <c:lblOffset val="100"/>
        <c:noMultiLvlLbl val="0"/>
      </c:catAx>
      <c:valAx>
        <c:axId val="-2114178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301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5'!$A$2</c:f>
              <c:strCache>
                <c:ptCount val="1"/>
                <c:pt idx="0">
                  <c:v>Verschlechtert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5'!$B$2:$E$2</c:f>
              <c:numCache>
                <c:formatCode>General</c:formatCode>
                <c:ptCount val="4"/>
                <c:pt idx="0">
                  <c:v>5</c:v>
                </c:pt>
                <c:pt idx="1">
                  <c:v>29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0-C74A-842F-0825DD692E9A}"/>
            </c:ext>
          </c:extLst>
        </c:ser>
        <c:ser>
          <c:idx val="1"/>
          <c:order val="1"/>
          <c:tx>
            <c:strRef>
              <c:f>'Abbildung 5'!$A$3</c:f>
              <c:strCache>
                <c:ptCount val="1"/>
                <c:pt idx="0">
                  <c:v>Stagniert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5'!$B$3:$E$3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0-C74A-842F-0825DD692E9A}"/>
            </c:ext>
          </c:extLst>
        </c:ser>
        <c:ser>
          <c:idx val="2"/>
          <c:order val="2"/>
          <c:tx>
            <c:strRef>
              <c:f>'Abbildung 5'!$A$4</c:f>
              <c:strCache>
                <c:ptCount val="1"/>
                <c:pt idx="0">
                  <c:v>Verbessert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5'!$B$4:$E$4</c:f>
              <c:numCache>
                <c:formatCode>General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0-C74A-842F-0825DD69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832728"/>
        <c:axId val="-2114015800"/>
      </c:barChart>
      <c:catAx>
        <c:axId val="-213783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4015800"/>
        <c:crosses val="autoZero"/>
        <c:auto val="1"/>
        <c:lblAlgn val="ctr"/>
        <c:lblOffset val="100"/>
        <c:noMultiLvlLbl val="0"/>
      </c:catAx>
      <c:valAx>
        <c:axId val="-2114015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83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0</xdr:rowOff>
    </xdr:from>
    <xdr:to>
      <xdr:col>13</xdr:col>
      <xdr:colOff>673100</xdr:colOff>
      <xdr:row>21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3</xdr:row>
      <xdr:rowOff>63500</xdr:rowOff>
    </xdr:from>
    <xdr:to>
      <xdr:col>15</xdr:col>
      <xdr:colOff>749300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</xdr:row>
      <xdr:rowOff>69850</xdr:rowOff>
    </xdr:from>
    <xdr:to>
      <xdr:col>11</xdr:col>
      <xdr:colOff>196850</xdr:colOff>
      <xdr:row>15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19050</xdr:rowOff>
    </xdr:from>
    <xdr:to>
      <xdr:col>17</xdr:col>
      <xdr:colOff>279400</xdr:colOff>
      <xdr:row>29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146050</xdr:rowOff>
    </xdr:from>
    <xdr:to>
      <xdr:col>15</xdr:col>
      <xdr:colOff>730250</xdr:colOff>
      <xdr:row>26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Q128" totalsRowShown="0" headerRowDxfId="16" dataDxfId="15">
  <autoFilter ref="A1:Q128" xr:uid="{00000000-0009-0000-0100-000002000000}"/>
  <tableColumns count="17">
    <tableColumn id="1" xr3:uid="{00000000-0010-0000-0000-000001000000}" name="Land" dataDxfId="14"/>
    <tableColumn id="2" xr3:uid="{00000000-0010-0000-0000-000002000000}" name="Öffentliche Schulden / BIP" dataDxfId="13"/>
    <tableColumn id="3" xr3:uid="{00000000-0010-0000-0000-000003000000}" name="Trend1" dataDxfId="12"/>
    <tableColumn id="4" xr3:uid="{00000000-0010-0000-0000-000004000000}" name="Öffentliche Schulden / Staatseinnahmen" dataDxfId="11"/>
    <tableColumn id="5" xr3:uid="{00000000-0010-0000-0000-000005000000}" name="Trend12" dataDxfId="10"/>
    <tableColumn id="6" xr3:uid="{00000000-0010-0000-0000-000006000000}" name="Auslandsschuldenstand / BIP"/>
    <tableColumn id="7" xr3:uid="{00000000-0010-0000-0000-000007000000}" name="Trend13" dataDxfId="9"/>
    <tableColumn id="8" xr3:uid="{00000000-0010-0000-0000-000008000000}" name="Auslandsschuldenstand / Export­einnahmen" dataDxfId="8"/>
    <tableColumn id="9" xr3:uid="{00000000-0010-0000-0000-000009000000}" name="Trend14" dataDxfId="7"/>
    <tableColumn id="10" xr3:uid="{00000000-0010-0000-0000-00000A000000}" name="Auslandsschuldendienst / Export­einnahmen"/>
    <tableColumn id="11" xr3:uid="{00000000-0010-0000-0000-00000B000000}" name="Trend15" dataDxfId="6"/>
    <tableColumn id="12" xr3:uid="{00000000-0010-0000-0000-00000C000000}" name="Risiko der Überschuldung laut IWF am 1.11.2018" dataDxfId="5"/>
    <tableColumn id="13" xr3:uid="{00000000-0010-0000-0000-00000D000000}" name="Überschreitungen" dataDxfId="4"/>
    <tableColumn id="14" xr3:uid="{00000000-0010-0000-0000-00000E000000}" name="Verschuldungs-situation" dataDxfId="3"/>
    <tableColumn id="15" xr3:uid="{00000000-0010-0000-0000-00000F000000}" name="Tendenz" dataDxfId="2"/>
    <tableColumn id="16" xr3:uid="{00000000-0010-0000-0000-000010000000}" name="Income" dataDxfId="1"/>
    <tableColumn id="17" xr3:uid="{00000000-0010-0000-0000-000011000000}" name="Tren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33"/>
  <sheetViews>
    <sheetView tabSelected="1"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baseColWidth="10" defaultRowHeight="16" x14ac:dyDescent="0.2"/>
  <cols>
    <col min="1" max="1" width="23.1640625" customWidth="1"/>
    <col min="2" max="2" width="10.83203125" customWidth="1"/>
    <col min="3" max="3" width="10.83203125" style="6" customWidth="1"/>
    <col min="4" max="4" width="10.83203125" customWidth="1"/>
    <col min="5" max="5" width="10.83203125" style="6" customWidth="1"/>
    <col min="6" max="6" width="10.83203125" customWidth="1"/>
    <col min="7" max="7" width="10.83203125" style="6" customWidth="1"/>
    <col min="8" max="8" width="10.83203125" customWidth="1"/>
    <col min="9" max="9" width="10.83203125" style="6" customWidth="1"/>
    <col min="10" max="10" width="11" customWidth="1"/>
    <col min="11" max="11" width="11" style="7" customWidth="1"/>
    <col min="12" max="12" width="11" customWidth="1"/>
    <col min="13" max="13" width="11.33203125" style="25" customWidth="1"/>
    <col min="14" max="14" width="13.5" style="25" customWidth="1"/>
    <col min="15" max="15" width="11" style="25" customWidth="1"/>
    <col min="16" max="16" width="11" style="28" customWidth="1"/>
    <col min="17" max="17" width="10.83203125" style="126"/>
    <col min="18" max="18" width="13.83203125" customWidth="1"/>
    <col min="19" max="19" width="14.33203125" customWidth="1"/>
  </cols>
  <sheetData>
    <row r="1" spans="1:33" ht="86" thickBot="1" x14ac:dyDescent="0.25">
      <c r="A1" s="8" t="s">
        <v>150</v>
      </c>
      <c r="B1" s="9" t="s">
        <v>25</v>
      </c>
      <c r="C1" s="37" t="s">
        <v>26</v>
      </c>
      <c r="D1" s="9" t="s">
        <v>27</v>
      </c>
      <c r="E1" s="10" t="s">
        <v>145</v>
      </c>
      <c r="F1" s="9" t="s">
        <v>28</v>
      </c>
      <c r="G1" s="10" t="s">
        <v>146</v>
      </c>
      <c r="H1" s="9" t="s">
        <v>29</v>
      </c>
      <c r="I1" s="10" t="s">
        <v>147</v>
      </c>
      <c r="J1" s="9" t="s">
        <v>30</v>
      </c>
      <c r="K1" s="11" t="s">
        <v>148</v>
      </c>
      <c r="L1" s="9" t="s">
        <v>134</v>
      </c>
      <c r="M1" s="23" t="s">
        <v>135</v>
      </c>
      <c r="N1" s="23" t="s">
        <v>151</v>
      </c>
      <c r="O1" s="23" t="s">
        <v>136</v>
      </c>
      <c r="P1" s="28" t="s">
        <v>149</v>
      </c>
      <c r="Q1" s="147" t="s">
        <v>325</v>
      </c>
    </row>
    <row r="2" spans="1:33" s="1" customFormat="1" ht="17" thickBot="1" x14ac:dyDescent="0.25">
      <c r="A2" s="12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48"/>
      <c r="R2" s="61" t="s">
        <v>31</v>
      </c>
      <c r="S2" s="62"/>
      <c r="T2" s="63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x14ac:dyDescent="0.2">
      <c r="A3" s="8" t="s">
        <v>0</v>
      </c>
      <c r="B3" s="8">
        <v>7</v>
      </c>
      <c r="C3" s="13"/>
      <c r="D3" s="8">
        <v>27.7</v>
      </c>
      <c r="E3" s="13"/>
      <c r="F3" s="8">
        <v>12.1</v>
      </c>
      <c r="G3" s="13" t="s">
        <v>118</v>
      </c>
      <c r="H3" s="22">
        <v>186.1</v>
      </c>
      <c r="I3" s="13" t="s">
        <v>119</v>
      </c>
      <c r="J3" s="8">
        <v>4.0999999999999996</v>
      </c>
      <c r="K3" s="14" t="s">
        <v>119</v>
      </c>
      <c r="L3" s="38">
        <v>2</v>
      </c>
      <c r="M3" s="35">
        <v>1</v>
      </c>
      <c r="N3" s="35">
        <f>IF(M3&gt;9,3,IF(M3&gt;4,2,IF(OR(M3&gt;0,L3&gt;0),1,0)))</f>
        <v>1</v>
      </c>
      <c r="O3" s="133">
        <v>1</v>
      </c>
      <c r="P3" s="36" t="s">
        <v>141</v>
      </c>
      <c r="Q3" s="148">
        <v>1</v>
      </c>
      <c r="R3" s="58" t="s">
        <v>152</v>
      </c>
      <c r="S3" s="59">
        <f>COUNTIF(N3:N27,"3")</f>
        <v>2</v>
      </c>
      <c r="T3" s="60">
        <f>S3/$S$8*100</f>
        <v>5.5555555555555554</v>
      </c>
      <c r="V3" s="66" t="s">
        <v>317</v>
      </c>
      <c r="W3" s="68">
        <f>COUNTIF($Q$3:$Q$27,"1")</f>
        <v>16</v>
      </c>
    </row>
    <row r="4" spans="1:33" x14ac:dyDescent="0.2">
      <c r="A4" s="8" t="s">
        <v>1</v>
      </c>
      <c r="B4" s="8">
        <v>33.1</v>
      </c>
      <c r="C4" s="13"/>
      <c r="D4" s="21">
        <v>323.89999999999998</v>
      </c>
      <c r="E4" s="13"/>
      <c r="F4" s="8">
        <v>18.100000000000001</v>
      </c>
      <c r="G4" s="13" t="s">
        <v>119</v>
      </c>
      <c r="H4" s="8">
        <v>120.1</v>
      </c>
      <c r="I4" s="13"/>
      <c r="J4" s="8">
        <v>5.5</v>
      </c>
      <c r="K4" s="14"/>
      <c r="L4" s="39">
        <v>0</v>
      </c>
      <c r="M4" s="35">
        <v>2</v>
      </c>
      <c r="N4" s="35">
        <f t="shared" ref="N4:N66" si="0">IF(M4&gt;9,3,IF(M4&gt;4,2,IF(OR(M4&gt;0,L4&gt;0),1,0)))</f>
        <v>1</v>
      </c>
      <c r="O4" s="133">
        <v>1</v>
      </c>
      <c r="P4" s="36" t="s">
        <v>142</v>
      </c>
      <c r="Q4" s="148">
        <v>1</v>
      </c>
      <c r="R4" s="46" t="s">
        <v>153</v>
      </c>
      <c r="S4" s="45">
        <f>COUNTIF(N3:N27,"2")</f>
        <v>5</v>
      </c>
      <c r="T4" s="60">
        <f t="shared" ref="T4:T7" si="1">S4/$S$8*100</f>
        <v>13.888888888888889</v>
      </c>
      <c r="V4" s="46" t="s">
        <v>318</v>
      </c>
      <c r="W4" s="117">
        <f>COUNTIF($Q$3:$Q$27,"0")</f>
        <v>2</v>
      </c>
    </row>
    <row r="5" spans="1:33" x14ac:dyDescent="0.2">
      <c r="A5" s="8" t="s">
        <v>2</v>
      </c>
      <c r="B5" s="20">
        <v>106.3</v>
      </c>
      <c r="C5" s="13"/>
      <c r="D5" s="21">
        <v>397.5</v>
      </c>
      <c r="E5" s="13" t="s">
        <v>119</v>
      </c>
      <c r="F5" s="20">
        <v>113.3</v>
      </c>
      <c r="G5" s="13" t="s">
        <v>119</v>
      </c>
      <c r="H5" s="20">
        <v>353.3</v>
      </c>
      <c r="I5" s="13" t="s">
        <v>119</v>
      </c>
      <c r="J5" s="8">
        <v>10.5</v>
      </c>
      <c r="K5" s="14"/>
      <c r="L5" s="40">
        <v>1</v>
      </c>
      <c r="M5" s="35">
        <v>11</v>
      </c>
      <c r="N5" s="35">
        <f t="shared" si="0"/>
        <v>3</v>
      </c>
      <c r="O5" s="133">
        <v>3</v>
      </c>
      <c r="P5" s="36" t="s">
        <v>142</v>
      </c>
      <c r="Q5" s="148">
        <v>1</v>
      </c>
      <c r="R5" s="46" t="s">
        <v>154</v>
      </c>
      <c r="S5" s="45">
        <f>COUNTIF(N3:N27,"1")</f>
        <v>18</v>
      </c>
      <c r="T5" s="60">
        <f t="shared" si="1"/>
        <v>50</v>
      </c>
      <c r="V5" s="46" t="s">
        <v>316</v>
      </c>
      <c r="W5" s="117">
        <f>COUNTIF($Q$3:$Q$27,"-1")</f>
        <v>7</v>
      </c>
    </row>
    <row r="6" spans="1:33" x14ac:dyDescent="0.2">
      <c r="A6" s="8" t="s">
        <v>3</v>
      </c>
      <c r="B6" s="22">
        <v>71.2</v>
      </c>
      <c r="C6" s="13"/>
      <c r="D6" s="21">
        <v>347.3</v>
      </c>
      <c r="E6" s="13"/>
      <c r="F6" s="8">
        <v>19.8</v>
      </c>
      <c r="G6" s="13" t="s">
        <v>118</v>
      </c>
      <c r="H6" s="8">
        <v>101</v>
      </c>
      <c r="I6" s="13" t="s">
        <v>119</v>
      </c>
      <c r="J6" s="8">
        <v>10.1</v>
      </c>
      <c r="K6" s="14" t="s">
        <v>119</v>
      </c>
      <c r="L6" s="39">
        <v>0</v>
      </c>
      <c r="M6" s="35">
        <v>3</v>
      </c>
      <c r="N6" s="35">
        <f t="shared" si="0"/>
        <v>1</v>
      </c>
      <c r="O6" s="133">
        <v>1</v>
      </c>
      <c r="P6" s="36" t="s">
        <v>142</v>
      </c>
      <c r="Q6" s="148">
        <v>1</v>
      </c>
      <c r="R6" s="46" t="s">
        <v>155</v>
      </c>
      <c r="S6" s="45">
        <f>Grundgesamtheit!I10</f>
        <v>7</v>
      </c>
      <c r="T6" s="60">
        <f t="shared" si="1"/>
        <v>19.444444444444446</v>
      </c>
      <c r="V6" s="46" t="s">
        <v>319</v>
      </c>
      <c r="W6" s="117">
        <f>COUNTIF($O$3:$O$27,"&gt;3")</f>
        <v>4</v>
      </c>
    </row>
    <row r="7" spans="1:33" ht="17" thickBot="1" x14ac:dyDescent="0.25">
      <c r="A7" s="8" t="s">
        <v>4</v>
      </c>
      <c r="B7" s="8">
        <v>28.8</v>
      </c>
      <c r="C7" s="13" t="s">
        <v>119</v>
      </c>
      <c r="D7" s="22">
        <v>205.4</v>
      </c>
      <c r="E7" s="13" t="s">
        <v>119</v>
      </c>
      <c r="F7" s="8">
        <v>36</v>
      </c>
      <c r="G7" s="13" t="s">
        <v>119</v>
      </c>
      <c r="H7" s="22">
        <v>177</v>
      </c>
      <c r="I7" s="13" t="s">
        <v>119</v>
      </c>
      <c r="J7" s="20">
        <v>34</v>
      </c>
      <c r="K7" s="14" t="s">
        <v>119</v>
      </c>
      <c r="L7" s="39">
        <v>0</v>
      </c>
      <c r="M7" s="35">
        <v>5</v>
      </c>
      <c r="N7" s="35">
        <f t="shared" si="0"/>
        <v>2</v>
      </c>
      <c r="O7" s="133">
        <v>5</v>
      </c>
      <c r="P7" s="36" t="s">
        <v>142</v>
      </c>
      <c r="Q7" s="148">
        <v>1</v>
      </c>
      <c r="R7" s="47" t="s">
        <v>156</v>
      </c>
      <c r="S7" s="45">
        <f>Grundgesamtheit!I11</f>
        <v>4</v>
      </c>
      <c r="T7" s="60">
        <f t="shared" si="1"/>
        <v>11.111111111111111</v>
      </c>
      <c r="V7" s="47" t="s">
        <v>320</v>
      </c>
      <c r="W7" s="118">
        <f>COUNTIF($O$3:$O$27,"&gt;4")</f>
        <v>1</v>
      </c>
    </row>
    <row r="8" spans="1:33" ht="17" thickBot="1" x14ac:dyDescent="0.25">
      <c r="A8" s="8" t="s">
        <v>5</v>
      </c>
      <c r="B8" s="8">
        <v>30.4</v>
      </c>
      <c r="C8" s="13"/>
      <c r="D8" s="8">
        <v>142.1</v>
      </c>
      <c r="E8" s="13" t="s">
        <v>118</v>
      </c>
      <c r="F8" s="22">
        <v>57.2</v>
      </c>
      <c r="G8" s="13" t="s">
        <v>119</v>
      </c>
      <c r="H8" s="8">
        <v>73.099999999999994</v>
      </c>
      <c r="I8" s="13"/>
      <c r="J8" s="8">
        <v>3.9</v>
      </c>
      <c r="K8" s="14" t="s">
        <v>118</v>
      </c>
      <c r="L8" s="39">
        <v>0</v>
      </c>
      <c r="M8" s="35">
        <v>1</v>
      </c>
      <c r="N8" s="35">
        <f t="shared" si="0"/>
        <v>1</v>
      </c>
      <c r="O8" s="133">
        <v>-1</v>
      </c>
      <c r="P8" s="36" t="s">
        <v>142</v>
      </c>
      <c r="Q8" s="148">
        <v>-1</v>
      </c>
      <c r="R8" s="57"/>
      <c r="S8" s="64">
        <f>SUM(S3:S7)</f>
        <v>36</v>
      </c>
      <c r="T8" s="55">
        <f>SUM(T3:T7)</f>
        <v>100</v>
      </c>
    </row>
    <row r="9" spans="1:33" x14ac:dyDescent="0.2">
      <c r="A9" s="8" t="s">
        <v>6</v>
      </c>
      <c r="B9" s="8">
        <v>26.3</v>
      </c>
      <c r="C9" s="13" t="s">
        <v>119</v>
      </c>
      <c r="D9" s="8">
        <v>21.7</v>
      </c>
      <c r="E9" s="13" t="s">
        <v>119</v>
      </c>
      <c r="F9" s="15" t="s">
        <v>130</v>
      </c>
      <c r="G9" s="13"/>
      <c r="H9" s="15" t="s">
        <v>130</v>
      </c>
      <c r="I9" s="13"/>
      <c r="J9" s="15" t="s">
        <v>130</v>
      </c>
      <c r="K9" s="14"/>
      <c r="L9" s="41">
        <v>2</v>
      </c>
      <c r="M9" s="35">
        <v>0</v>
      </c>
      <c r="N9" s="35">
        <f t="shared" si="0"/>
        <v>1</v>
      </c>
      <c r="O9" s="133">
        <v>2</v>
      </c>
      <c r="P9" s="36" t="s">
        <v>142</v>
      </c>
      <c r="Q9" s="148">
        <v>1</v>
      </c>
    </row>
    <row r="10" spans="1:33" x14ac:dyDescent="0.2">
      <c r="A10" s="8" t="s">
        <v>82</v>
      </c>
      <c r="B10" s="22">
        <v>63.6</v>
      </c>
      <c r="C10" s="13" t="s">
        <v>119</v>
      </c>
      <c r="D10" s="21">
        <v>378.3</v>
      </c>
      <c r="E10" s="13" t="s">
        <v>119</v>
      </c>
      <c r="F10" s="20">
        <v>90.8</v>
      </c>
      <c r="G10" s="13"/>
      <c r="H10" s="21">
        <v>248.6</v>
      </c>
      <c r="I10" s="13" t="s">
        <v>119</v>
      </c>
      <c r="J10" s="8">
        <v>13.4</v>
      </c>
      <c r="K10" s="14" t="s">
        <v>119</v>
      </c>
      <c r="L10" s="41">
        <v>2</v>
      </c>
      <c r="M10" s="31">
        <v>8</v>
      </c>
      <c r="N10" s="35">
        <f t="shared" si="0"/>
        <v>2</v>
      </c>
      <c r="O10" s="134">
        <v>4</v>
      </c>
      <c r="P10" s="32" t="s">
        <v>142</v>
      </c>
      <c r="Q10" s="148">
        <v>1</v>
      </c>
    </row>
    <row r="11" spans="1:33" x14ac:dyDescent="0.2">
      <c r="A11" s="8" t="s">
        <v>7</v>
      </c>
      <c r="B11" s="22">
        <v>54.1</v>
      </c>
      <c r="C11" s="13"/>
      <c r="D11" s="22">
        <v>276</v>
      </c>
      <c r="E11" s="13" t="s">
        <v>119</v>
      </c>
      <c r="F11" s="21">
        <v>69.5</v>
      </c>
      <c r="G11" s="13"/>
      <c r="H11" s="8">
        <v>115.6</v>
      </c>
      <c r="I11" s="16" t="s">
        <v>119</v>
      </c>
      <c r="J11" s="8">
        <v>4.9000000000000004</v>
      </c>
      <c r="K11" s="14" t="s">
        <v>118</v>
      </c>
      <c r="L11" s="39">
        <v>0</v>
      </c>
      <c r="M11" s="31">
        <v>4</v>
      </c>
      <c r="N11" s="35">
        <f t="shared" si="0"/>
        <v>1</v>
      </c>
      <c r="O11" s="134">
        <v>1</v>
      </c>
      <c r="P11" s="32" t="s">
        <v>143</v>
      </c>
      <c r="Q11" s="148">
        <v>1</v>
      </c>
    </row>
    <row r="12" spans="1:33" x14ac:dyDescent="0.2">
      <c r="A12" s="8" t="s">
        <v>8</v>
      </c>
      <c r="B12" s="22">
        <v>63.9</v>
      </c>
      <c r="C12" s="13" t="s">
        <v>119</v>
      </c>
      <c r="D12" s="22">
        <v>220.1</v>
      </c>
      <c r="E12" s="13"/>
      <c r="F12" s="8">
        <v>32.200000000000003</v>
      </c>
      <c r="G12" s="13" t="s">
        <v>119</v>
      </c>
      <c r="H12" s="8">
        <v>39.200000000000003</v>
      </c>
      <c r="I12" s="13" t="s">
        <v>119</v>
      </c>
      <c r="J12" s="8">
        <v>5.0999999999999996</v>
      </c>
      <c r="K12" s="14"/>
      <c r="L12" s="41">
        <v>2</v>
      </c>
      <c r="M12" s="31">
        <v>2</v>
      </c>
      <c r="N12" s="35">
        <f t="shared" si="0"/>
        <v>1</v>
      </c>
      <c r="O12" s="134">
        <v>3</v>
      </c>
      <c r="P12" s="32" t="s">
        <v>143</v>
      </c>
      <c r="Q12" s="148">
        <v>1</v>
      </c>
    </row>
    <row r="13" spans="1:33" x14ac:dyDescent="0.2">
      <c r="A13" s="8" t="s">
        <v>9</v>
      </c>
      <c r="B13" s="8">
        <v>25.6</v>
      </c>
      <c r="C13" s="13" t="s">
        <v>118</v>
      </c>
      <c r="D13" s="8">
        <v>37.700000000000003</v>
      </c>
      <c r="E13" s="13" t="s">
        <v>118</v>
      </c>
      <c r="F13" s="15" t="s">
        <v>130</v>
      </c>
      <c r="G13" s="13"/>
      <c r="H13" s="15" t="s">
        <v>130</v>
      </c>
      <c r="I13" s="13"/>
      <c r="J13" s="15" t="s">
        <v>130</v>
      </c>
      <c r="K13" s="14"/>
      <c r="L13" s="41">
        <v>2</v>
      </c>
      <c r="M13" s="31">
        <v>0</v>
      </c>
      <c r="N13" s="35">
        <f t="shared" si="0"/>
        <v>1</v>
      </c>
      <c r="O13" s="134">
        <v>-2</v>
      </c>
      <c r="P13" s="32" t="s">
        <v>143</v>
      </c>
      <c r="Q13" s="148">
        <v>-1</v>
      </c>
    </row>
    <row r="14" spans="1:33" x14ac:dyDescent="0.2">
      <c r="A14" s="8" t="s">
        <v>10</v>
      </c>
      <c r="B14" s="8">
        <v>24.5</v>
      </c>
      <c r="C14" s="13" t="s">
        <v>118</v>
      </c>
      <c r="D14" s="8">
        <v>35.4</v>
      </c>
      <c r="E14" s="13" t="s">
        <v>118</v>
      </c>
      <c r="F14" s="15" t="s">
        <v>130</v>
      </c>
      <c r="G14" s="13"/>
      <c r="H14" s="15" t="s">
        <v>130</v>
      </c>
      <c r="I14" s="13"/>
      <c r="J14" s="15" t="s">
        <v>130</v>
      </c>
      <c r="K14" s="14"/>
      <c r="L14" s="41">
        <v>2</v>
      </c>
      <c r="M14" s="31">
        <v>0</v>
      </c>
      <c r="N14" s="35">
        <f t="shared" si="0"/>
        <v>1</v>
      </c>
      <c r="O14" s="134">
        <v>-2</v>
      </c>
      <c r="P14" s="32" t="s">
        <v>142</v>
      </c>
      <c r="Q14" s="148">
        <v>-1</v>
      </c>
    </row>
    <row r="15" spans="1:33" s="5" customFormat="1" x14ac:dyDescent="0.2">
      <c r="A15" s="17" t="s">
        <v>11</v>
      </c>
      <c r="B15" s="21">
        <v>83.5</v>
      </c>
      <c r="C15" s="13" t="s">
        <v>119</v>
      </c>
      <c r="D15" s="22">
        <v>285.89999999999998</v>
      </c>
      <c r="E15" s="13" t="s">
        <v>119</v>
      </c>
      <c r="F15" s="20">
        <v>285.5</v>
      </c>
      <c r="G15" s="13" t="s">
        <v>119</v>
      </c>
      <c r="H15" s="20">
        <v>410.7</v>
      </c>
      <c r="I15" s="13"/>
      <c r="J15" s="20">
        <v>56.2</v>
      </c>
      <c r="K15" s="14" t="s">
        <v>119</v>
      </c>
      <c r="L15" s="39">
        <v>0</v>
      </c>
      <c r="M15" s="31">
        <v>12</v>
      </c>
      <c r="N15" s="35">
        <f t="shared" si="0"/>
        <v>3</v>
      </c>
      <c r="O15" s="134">
        <v>4</v>
      </c>
      <c r="P15" s="33" t="s">
        <v>142</v>
      </c>
      <c r="Q15" s="149">
        <v>1</v>
      </c>
    </row>
    <row r="16" spans="1:33" s="5" customFormat="1" x14ac:dyDescent="0.2">
      <c r="A16" s="17" t="s">
        <v>128</v>
      </c>
      <c r="B16" s="22">
        <v>62</v>
      </c>
      <c r="C16" s="13" t="s">
        <v>118</v>
      </c>
      <c r="D16" s="8"/>
      <c r="E16" s="13"/>
      <c r="F16" s="15" t="s">
        <v>130</v>
      </c>
      <c r="G16" s="13"/>
      <c r="H16" s="15" t="s">
        <v>130</v>
      </c>
      <c r="I16" s="13"/>
      <c r="J16" s="15" t="s">
        <v>130</v>
      </c>
      <c r="K16" s="14"/>
      <c r="L16" s="39">
        <v>0</v>
      </c>
      <c r="M16" s="31">
        <v>1</v>
      </c>
      <c r="N16" s="35">
        <f t="shared" si="0"/>
        <v>1</v>
      </c>
      <c r="O16" s="134">
        <v>-1</v>
      </c>
      <c r="P16" s="33" t="s">
        <v>143</v>
      </c>
      <c r="Q16" s="149">
        <v>-1</v>
      </c>
    </row>
    <row r="17" spans="1:23" x14ac:dyDescent="0.2">
      <c r="A17" s="8" t="s">
        <v>93</v>
      </c>
      <c r="B17" s="8">
        <v>26.4</v>
      </c>
      <c r="C17" s="13" t="s">
        <v>118</v>
      </c>
      <c r="D17" s="8">
        <v>108.8</v>
      </c>
      <c r="E17" s="13" t="s">
        <v>118</v>
      </c>
      <c r="F17" s="8">
        <v>20.100000000000001</v>
      </c>
      <c r="G17" s="13"/>
      <c r="H17" s="22">
        <v>165.7</v>
      </c>
      <c r="I17" s="13"/>
      <c r="J17" s="8">
        <v>8.5</v>
      </c>
      <c r="K17" s="14"/>
      <c r="L17" s="39">
        <v>0</v>
      </c>
      <c r="M17" s="31">
        <v>1</v>
      </c>
      <c r="N17" s="35">
        <f t="shared" si="0"/>
        <v>1</v>
      </c>
      <c r="O17" s="134">
        <v>-2</v>
      </c>
      <c r="P17" s="32" t="s">
        <v>141</v>
      </c>
      <c r="Q17" s="148">
        <v>-1</v>
      </c>
    </row>
    <row r="18" spans="1:23" x14ac:dyDescent="0.2">
      <c r="A18" s="146" t="s">
        <v>12</v>
      </c>
      <c r="B18" s="22">
        <v>67</v>
      </c>
      <c r="C18" s="13"/>
      <c r="D18" s="20">
        <v>429</v>
      </c>
      <c r="E18" s="13"/>
      <c r="F18" s="8">
        <v>26.3</v>
      </c>
      <c r="G18" s="13" t="s">
        <v>119</v>
      </c>
      <c r="H18" s="21">
        <v>286</v>
      </c>
      <c r="I18" s="13" t="s">
        <v>119</v>
      </c>
      <c r="J18" s="21">
        <v>22.6</v>
      </c>
      <c r="K18" s="14"/>
      <c r="L18" s="39">
        <v>0</v>
      </c>
      <c r="M18" s="31">
        <v>8</v>
      </c>
      <c r="N18" s="35">
        <f t="shared" si="0"/>
        <v>2</v>
      </c>
      <c r="O18" s="134">
        <v>2</v>
      </c>
      <c r="P18" s="32" t="s">
        <v>142</v>
      </c>
      <c r="Q18" s="148">
        <v>1</v>
      </c>
    </row>
    <row r="19" spans="1:23" x14ac:dyDescent="0.2">
      <c r="A19" s="8" t="s">
        <v>109</v>
      </c>
      <c r="B19" s="8">
        <v>36.9</v>
      </c>
      <c r="C19" s="13" t="s">
        <v>119</v>
      </c>
      <c r="D19" s="22">
        <v>204.1</v>
      </c>
      <c r="E19" s="13" t="s">
        <v>119</v>
      </c>
      <c r="F19" s="20">
        <v>85.6</v>
      </c>
      <c r="G19" s="13" t="s">
        <v>118</v>
      </c>
      <c r="H19" s="22">
        <v>169</v>
      </c>
      <c r="I19" s="13" t="s">
        <v>118</v>
      </c>
      <c r="J19" s="21">
        <v>27.1</v>
      </c>
      <c r="K19" s="14" t="s">
        <v>119</v>
      </c>
      <c r="L19" s="40">
        <v>1</v>
      </c>
      <c r="M19" s="31">
        <v>7</v>
      </c>
      <c r="N19" s="35">
        <f t="shared" si="0"/>
        <v>2</v>
      </c>
      <c r="O19" s="134">
        <v>1</v>
      </c>
      <c r="P19" s="32" t="s">
        <v>142</v>
      </c>
      <c r="Q19" s="148">
        <v>1</v>
      </c>
    </row>
    <row r="20" spans="1:23" x14ac:dyDescent="0.2">
      <c r="A20" s="8" t="s">
        <v>125</v>
      </c>
      <c r="B20" s="8">
        <v>39.9</v>
      </c>
      <c r="C20" s="13" t="s">
        <v>118</v>
      </c>
      <c r="D20" s="22">
        <v>204.2</v>
      </c>
      <c r="E20" s="13" t="s">
        <v>118</v>
      </c>
      <c r="F20" s="8">
        <v>19.399999999999999</v>
      </c>
      <c r="G20" s="13"/>
      <c r="H20" s="8">
        <v>74.400000000000006</v>
      </c>
      <c r="I20" s="13" t="s">
        <v>118</v>
      </c>
      <c r="J20" s="8">
        <v>11.3</v>
      </c>
      <c r="K20" s="14" t="s">
        <v>119</v>
      </c>
      <c r="L20" s="39">
        <v>0</v>
      </c>
      <c r="M20" s="31">
        <v>1</v>
      </c>
      <c r="N20" s="35">
        <f t="shared" si="0"/>
        <v>1</v>
      </c>
      <c r="O20" s="134">
        <v>-2</v>
      </c>
      <c r="P20" s="32" t="s">
        <v>142</v>
      </c>
      <c r="Q20" s="148">
        <v>-1</v>
      </c>
    </row>
    <row r="21" spans="1:23" s="4" customFormat="1" x14ac:dyDescent="0.2">
      <c r="A21" s="17" t="s">
        <v>13</v>
      </c>
      <c r="B21" s="8">
        <v>9.4</v>
      </c>
      <c r="C21" s="13" t="s">
        <v>118</v>
      </c>
      <c r="D21" s="8">
        <v>22</v>
      </c>
      <c r="E21" s="13" t="s">
        <v>118</v>
      </c>
      <c r="F21" s="8">
        <v>28.6</v>
      </c>
      <c r="G21" s="13" t="s">
        <v>119</v>
      </c>
      <c r="H21" s="8">
        <v>53.6</v>
      </c>
      <c r="I21" s="13" t="s">
        <v>119</v>
      </c>
      <c r="J21" s="8">
        <v>3.9</v>
      </c>
      <c r="K21" s="14" t="s">
        <v>118</v>
      </c>
      <c r="L21" s="40">
        <v>1</v>
      </c>
      <c r="M21" s="31">
        <v>0</v>
      </c>
      <c r="N21" s="35">
        <f t="shared" si="0"/>
        <v>1</v>
      </c>
      <c r="O21" s="134">
        <v>-1</v>
      </c>
      <c r="P21" s="32" t="s">
        <v>142</v>
      </c>
      <c r="Q21" s="149">
        <v>-1</v>
      </c>
    </row>
    <row r="22" spans="1:23" x14ac:dyDescent="0.2">
      <c r="A22" s="8" t="s">
        <v>14</v>
      </c>
      <c r="B22" s="8">
        <v>49.1</v>
      </c>
      <c r="C22" s="13"/>
      <c r="D22" s="8">
        <v>143.19999999999999</v>
      </c>
      <c r="E22" s="13"/>
      <c r="F22" s="22">
        <v>53.5</v>
      </c>
      <c r="G22" s="13"/>
      <c r="H22" s="22">
        <v>154.5</v>
      </c>
      <c r="I22" s="13" t="s">
        <v>118</v>
      </c>
      <c r="J22" s="8">
        <v>8.9</v>
      </c>
      <c r="K22" s="14" t="s">
        <v>119</v>
      </c>
      <c r="L22" s="41">
        <v>2</v>
      </c>
      <c r="M22" s="31">
        <v>2</v>
      </c>
      <c r="N22" s="35">
        <f t="shared" si="0"/>
        <v>1</v>
      </c>
      <c r="O22" s="134">
        <v>0</v>
      </c>
      <c r="P22" s="32" t="s">
        <v>143</v>
      </c>
      <c r="Q22" s="148">
        <v>0</v>
      </c>
    </row>
    <row r="23" spans="1:23" x14ac:dyDescent="0.2">
      <c r="A23" s="8" t="s">
        <v>15</v>
      </c>
      <c r="B23" s="21">
        <v>79.099999999999994</v>
      </c>
      <c r="C23" s="13" t="s">
        <v>119</v>
      </c>
      <c r="D23" s="20">
        <v>572.6</v>
      </c>
      <c r="E23" s="13"/>
      <c r="F23" s="22">
        <v>59.1</v>
      </c>
      <c r="G23" s="13"/>
      <c r="H23" s="21">
        <v>260.10000000000002</v>
      </c>
      <c r="I23" s="13"/>
      <c r="J23" s="22">
        <v>21.2</v>
      </c>
      <c r="K23" s="14" t="s">
        <v>119</v>
      </c>
      <c r="L23" s="39">
        <v>0</v>
      </c>
      <c r="M23" s="31">
        <v>9</v>
      </c>
      <c r="N23" s="35">
        <f t="shared" si="0"/>
        <v>2</v>
      </c>
      <c r="O23" s="134">
        <v>2</v>
      </c>
      <c r="P23" s="32" t="s">
        <v>142</v>
      </c>
      <c r="Q23" s="148">
        <v>1</v>
      </c>
    </row>
    <row r="24" spans="1:23" x14ac:dyDescent="0.2">
      <c r="A24" s="8" t="s">
        <v>96</v>
      </c>
      <c r="B24" s="8"/>
      <c r="C24" s="13"/>
      <c r="D24" s="8"/>
      <c r="E24" s="13"/>
      <c r="F24" s="8">
        <v>39.1</v>
      </c>
      <c r="G24" s="13"/>
      <c r="H24" s="8">
        <v>121.3</v>
      </c>
      <c r="I24" s="13" t="s">
        <v>118</v>
      </c>
      <c r="J24" s="8">
        <v>9.9</v>
      </c>
      <c r="K24" s="14" t="s">
        <v>119</v>
      </c>
      <c r="L24" s="41">
        <v>2</v>
      </c>
      <c r="M24" s="31">
        <v>0</v>
      </c>
      <c r="N24" s="35">
        <f t="shared" si="0"/>
        <v>1</v>
      </c>
      <c r="O24" s="134">
        <v>0</v>
      </c>
      <c r="P24" s="32" t="s">
        <v>143</v>
      </c>
      <c r="Q24" s="148">
        <v>0</v>
      </c>
    </row>
    <row r="25" spans="1:23" x14ac:dyDescent="0.2">
      <c r="A25" s="8" t="s">
        <v>16</v>
      </c>
      <c r="B25" s="8">
        <v>37</v>
      </c>
      <c r="C25" s="13" t="s">
        <v>119</v>
      </c>
      <c r="D25" s="8">
        <v>29.7</v>
      </c>
      <c r="E25" s="13" t="s">
        <v>119</v>
      </c>
      <c r="F25" s="15" t="s">
        <v>130</v>
      </c>
      <c r="G25" s="13"/>
      <c r="H25" s="15" t="s">
        <v>130</v>
      </c>
      <c r="I25" s="13"/>
      <c r="J25" s="15" t="s">
        <v>130</v>
      </c>
      <c r="K25" s="14"/>
      <c r="L25" s="41">
        <v>2</v>
      </c>
      <c r="M25" s="31">
        <v>0</v>
      </c>
      <c r="N25" s="35">
        <f t="shared" si="0"/>
        <v>1</v>
      </c>
      <c r="O25" s="134">
        <v>2</v>
      </c>
      <c r="P25" s="32" t="s">
        <v>143</v>
      </c>
      <c r="Q25" s="148">
        <v>1</v>
      </c>
      <c r="R25" s="28"/>
    </row>
    <row r="26" spans="1:23" x14ac:dyDescent="0.2">
      <c r="A26" s="8" t="s">
        <v>113</v>
      </c>
      <c r="B26" s="8">
        <v>48.4</v>
      </c>
      <c r="C26" s="13" t="s">
        <v>119</v>
      </c>
      <c r="D26" s="8">
        <v>153.80000000000001</v>
      </c>
      <c r="E26" s="13" t="s">
        <v>119</v>
      </c>
      <c r="F26" s="22">
        <v>46</v>
      </c>
      <c r="G26" s="13" t="s">
        <v>119</v>
      </c>
      <c r="H26" s="8" t="s">
        <v>130</v>
      </c>
      <c r="I26" s="13"/>
      <c r="J26" s="8" t="s">
        <v>130</v>
      </c>
      <c r="K26" s="14"/>
      <c r="L26" s="40">
        <v>1</v>
      </c>
      <c r="M26" s="31">
        <v>1</v>
      </c>
      <c r="N26" s="35">
        <f t="shared" si="0"/>
        <v>1</v>
      </c>
      <c r="O26" s="134">
        <v>3</v>
      </c>
      <c r="P26" s="32" t="s">
        <v>142</v>
      </c>
      <c r="Q26" s="148">
        <v>1</v>
      </c>
    </row>
    <row r="27" spans="1:23" ht="17" thickBot="1" x14ac:dyDescent="0.25">
      <c r="A27" s="8" t="s">
        <v>17</v>
      </c>
      <c r="B27" s="22">
        <v>58.5</v>
      </c>
      <c r="C27" s="13" t="s">
        <v>119</v>
      </c>
      <c r="D27" s="22">
        <v>248.2</v>
      </c>
      <c r="E27" s="13" t="s">
        <v>119</v>
      </c>
      <c r="F27" s="22">
        <v>48.8</v>
      </c>
      <c r="G27" s="13" t="s">
        <v>119</v>
      </c>
      <c r="H27" s="8">
        <v>45.7</v>
      </c>
      <c r="I27" s="13"/>
      <c r="J27" s="8">
        <v>5.9</v>
      </c>
      <c r="K27" s="14" t="s">
        <v>119</v>
      </c>
      <c r="L27" s="39">
        <v>0</v>
      </c>
      <c r="M27" s="31">
        <v>3</v>
      </c>
      <c r="N27" s="35">
        <f t="shared" si="0"/>
        <v>1</v>
      </c>
      <c r="O27" s="134">
        <v>4</v>
      </c>
      <c r="P27" s="32" t="s">
        <v>142</v>
      </c>
      <c r="Q27" s="148">
        <v>1</v>
      </c>
    </row>
    <row r="28" spans="1:23" s="1" customFormat="1" ht="17" thickBot="1" x14ac:dyDescent="0.25">
      <c r="A28" s="12" t="s">
        <v>18</v>
      </c>
      <c r="B28" s="12"/>
      <c r="C28" s="13"/>
      <c r="D28" s="12"/>
      <c r="E28" s="13"/>
      <c r="F28" s="12"/>
      <c r="G28" s="13"/>
      <c r="H28" s="12"/>
      <c r="I28" s="13"/>
      <c r="J28" s="12"/>
      <c r="K28" s="14"/>
      <c r="L28" s="42"/>
      <c r="M28" s="24">
        <f>SUM(M29:M73)</f>
        <v>174</v>
      </c>
      <c r="N28" s="35"/>
      <c r="O28" s="135">
        <f>SUM(O29:O73)</f>
        <v>129</v>
      </c>
      <c r="P28" s="29"/>
      <c r="Q28" s="148"/>
      <c r="R28" s="61" t="s">
        <v>18</v>
      </c>
      <c r="S28" s="62"/>
      <c r="T28" s="63"/>
    </row>
    <row r="29" spans="1:23" s="3" customFormat="1" x14ac:dyDescent="0.2">
      <c r="A29" s="34" t="s">
        <v>90</v>
      </c>
      <c r="B29" s="22">
        <v>65</v>
      </c>
      <c r="C29" s="13" t="s">
        <v>119</v>
      </c>
      <c r="D29" s="21">
        <v>385</v>
      </c>
      <c r="E29" s="13" t="s">
        <v>119</v>
      </c>
      <c r="F29" s="8">
        <v>31.6</v>
      </c>
      <c r="G29" s="13" t="s">
        <v>119</v>
      </c>
      <c r="H29" s="8">
        <v>103.8</v>
      </c>
      <c r="I29" s="13" t="s">
        <v>119</v>
      </c>
      <c r="J29" s="8">
        <v>13.4</v>
      </c>
      <c r="K29" s="14" t="s">
        <v>119</v>
      </c>
      <c r="L29" s="39">
        <v>0</v>
      </c>
      <c r="M29" s="31">
        <v>3</v>
      </c>
      <c r="N29" s="35">
        <f t="shared" si="0"/>
        <v>1</v>
      </c>
      <c r="O29" s="134">
        <v>5</v>
      </c>
      <c r="P29" s="32" t="s">
        <v>142</v>
      </c>
      <c r="Q29" s="148">
        <v>1</v>
      </c>
      <c r="R29" s="58" t="s">
        <v>152</v>
      </c>
      <c r="S29" s="59">
        <f>COUNTIF(N29:N73,"3")</f>
        <v>2</v>
      </c>
      <c r="T29" s="60">
        <f>S29/$S$34*100</f>
        <v>4.0816326530612246</v>
      </c>
      <c r="V29" s="66" t="s">
        <v>317</v>
      </c>
      <c r="W29" s="138">
        <f>COUNTIF($Q$29:$Q$73,"1")</f>
        <v>35</v>
      </c>
    </row>
    <row r="30" spans="1:23" s="3" customFormat="1" x14ac:dyDescent="0.2">
      <c r="A30" s="34" t="s">
        <v>326</v>
      </c>
      <c r="B30" s="8">
        <v>37.4</v>
      </c>
      <c r="C30" s="13" t="s">
        <v>119</v>
      </c>
      <c r="D30" s="22">
        <v>219.6</v>
      </c>
      <c r="E30" s="13" t="s">
        <v>119</v>
      </c>
      <c r="F30" s="34">
        <v>9.6</v>
      </c>
      <c r="G30" s="13"/>
      <c r="H30" s="8">
        <v>19.7</v>
      </c>
      <c r="I30" s="13"/>
      <c r="J30" s="8" t="s">
        <v>130</v>
      </c>
      <c r="K30" s="14"/>
      <c r="L30" s="39">
        <v>0</v>
      </c>
      <c r="M30" s="31">
        <v>1</v>
      </c>
      <c r="N30" s="35">
        <f t="shared" si="0"/>
        <v>1</v>
      </c>
      <c r="O30" s="134">
        <v>2</v>
      </c>
      <c r="P30" s="32" t="s">
        <v>143</v>
      </c>
      <c r="Q30" s="148">
        <v>1</v>
      </c>
      <c r="R30" s="46" t="s">
        <v>153</v>
      </c>
      <c r="S30" s="45">
        <f>COUNTIF(N29:N73,"2")</f>
        <v>13</v>
      </c>
      <c r="T30" s="60">
        <f t="shared" ref="T30:T33" si="2">S30/$S$34*100</f>
        <v>26.530612244897959</v>
      </c>
      <c r="V30" s="46" t="s">
        <v>318</v>
      </c>
      <c r="W30" s="117">
        <f>COUNTIF($Q$29:$Q$73,"0")</f>
        <v>6</v>
      </c>
    </row>
    <row r="31" spans="1:23" s="3" customFormat="1" x14ac:dyDescent="0.2">
      <c r="A31" s="34" t="s">
        <v>106</v>
      </c>
      <c r="B31" s="22">
        <v>54.2</v>
      </c>
      <c r="C31" s="13" t="s">
        <v>119</v>
      </c>
      <c r="D31" s="21">
        <v>363.8</v>
      </c>
      <c r="E31" s="13" t="s">
        <v>119</v>
      </c>
      <c r="F31" s="34">
        <v>33.200000000000003</v>
      </c>
      <c r="G31" s="18" t="s">
        <v>119</v>
      </c>
      <c r="H31" s="20">
        <v>397.6</v>
      </c>
      <c r="I31" s="18" t="s">
        <v>119</v>
      </c>
      <c r="J31" s="22">
        <v>20.8</v>
      </c>
      <c r="K31" s="18" t="s">
        <v>119</v>
      </c>
      <c r="L31" s="41">
        <v>2</v>
      </c>
      <c r="M31" s="31">
        <v>7</v>
      </c>
      <c r="N31" s="35">
        <f t="shared" si="0"/>
        <v>2</v>
      </c>
      <c r="O31" s="134">
        <v>5</v>
      </c>
      <c r="P31" s="32" t="s">
        <v>141</v>
      </c>
      <c r="Q31" s="148">
        <v>1</v>
      </c>
      <c r="R31" s="46" t="s">
        <v>154</v>
      </c>
      <c r="S31" s="45">
        <f>COUNTIF(N29:N73,"1")</f>
        <v>30</v>
      </c>
      <c r="T31" s="60">
        <f t="shared" si="2"/>
        <v>61.224489795918366</v>
      </c>
      <c r="V31" s="46" t="s">
        <v>316</v>
      </c>
      <c r="W31" s="139">
        <f>COUNTIF($Q$29:$Q$73,"-1")</f>
        <v>4</v>
      </c>
    </row>
    <row r="32" spans="1:23" s="3" customFormat="1" x14ac:dyDescent="0.2">
      <c r="A32" s="34" t="s">
        <v>105</v>
      </c>
      <c r="B32" s="22">
        <v>54.6</v>
      </c>
      <c r="C32" s="13" t="s">
        <v>119</v>
      </c>
      <c r="D32" s="22">
        <v>292.5</v>
      </c>
      <c r="E32" s="13" t="s">
        <v>119</v>
      </c>
      <c r="F32" s="34">
        <v>31.3</v>
      </c>
      <c r="G32" s="13" t="s">
        <v>119</v>
      </c>
      <c r="H32" s="8">
        <v>114.4</v>
      </c>
      <c r="I32" s="13" t="s">
        <v>119</v>
      </c>
      <c r="J32" s="8">
        <v>4.2</v>
      </c>
      <c r="K32" s="14" t="s">
        <v>119</v>
      </c>
      <c r="L32" s="40">
        <v>1</v>
      </c>
      <c r="M32" s="31">
        <v>2</v>
      </c>
      <c r="N32" s="35">
        <f t="shared" si="0"/>
        <v>1</v>
      </c>
      <c r="O32" s="134">
        <v>5</v>
      </c>
      <c r="P32" s="32" t="s">
        <v>141</v>
      </c>
      <c r="Q32" s="148">
        <v>1</v>
      </c>
      <c r="R32" s="46" t="s">
        <v>155</v>
      </c>
      <c r="S32" s="45">
        <f>Grundgesamtheit!I14</f>
        <v>3</v>
      </c>
      <c r="T32" s="60">
        <f t="shared" si="2"/>
        <v>6.1224489795918364</v>
      </c>
      <c r="V32" s="46" t="s">
        <v>319</v>
      </c>
      <c r="W32" s="117">
        <f>COUNTIF($O$29:$O$73,"&gt;3")</f>
        <v>23</v>
      </c>
    </row>
    <row r="33" spans="1:23" ht="17" thickBot="1" x14ac:dyDescent="0.25">
      <c r="A33" s="34" t="s">
        <v>19</v>
      </c>
      <c r="B33" s="8">
        <v>38.1</v>
      </c>
      <c r="C33" s="13" t="s">
        <v>119</v>
      </c>
      <c r="D33" s="8">
        <v>175.7</v>
      </c>
      <c r="E33" s="13" t="s">
        <v>119</v>
      </c>
      <c r="F33" s="8">
        <v>25</v>
      </c>
      <c r="G33" s="13" t="s">
        <v>119</v>
      </c>
      <c r="H33" s="8">
        <v>86</v>
      </c>
      <c r="I33" s="13" t="s">
        <v>119</v>
      </c>
      <c r="J33" s="8">
        <v>3.7</v>
      </c>
      <c r="K33" s="14" t="s">
        <v>119</v>
      </c>
      <c r="L33" s="40">
        <v>1</v>
      </c>
      <c r="M33" s="31">
        <v>0</v>
      </c>
      <c r="N33" s="35">
        <f t="shared" si="0"/>
        <v>1</v>
      </c>
      <c r="O33" s="134">
        <v>5</v>
      </c>
      <c r="P33" s="32" t="s">
        <v>141</v>
      </c>
      <c r="Q33" s="148">
        <v>1</v>
      </c>
      <c r="R33" s="47" t="s">
        <v>156</v>
      </c>
      <c r="S33" s="45">
        <f>Grundgesamtheit!I15</f>
        <v>1</v>
      </c>
      <c r="T33" s="60">
        <f t="shared" si="2"/>
        <v>2.0408163265306123</v>
      </c>
      <c r="V33" s="47" t="s">
        <v>320</v>
      </c>
      <c r="W33" s="118">
        <f>COUNTIF($O$29:$O$73,"&gt;4")</f>
        <v>18</v>
      </c>
    </row>
    <row r="34" spans="1:23" ht="17" thickBot="1" x14ac:dyDescent="0.25">
      <c r="A34" s="8" t="s">
        <v>97</v>
      </c>
      <c r="B34" s="8">
        <v>48.4</v>
      </c>
      <c r="C34" s="13" t="s">
        <v>119</v>
      </c>
      <c r="D34" s="21">
        <v>368.7</v>
      </c>
      <c r="E34" s="13" t="s">
        <v>119</v>
      </c>
      <c r="F34" s="8">
        <v>17.7</v>
      </c>
      <c r="G34" s="13" t="s">
        <v>118</v>
      </c>
      <c r="H34" s="21">
        <v>245.5</v>
      </c>
      <c r="I34" s="13" t="s">
        <v>118</v>
      </c>
      <c r="J34" s="8">
        <v>14.4</v>
      </c>
      <c r="K34" s="14"/>
      <c r="L34" s="41">
        <v>2</v>
      </c>
      <c r="M34" s="31">
        <v>4</v>
      </c>
      <c r="N34" s="35">
        <f t="shared" si="0"/>
        <v>1</v>
      </c>
      <c r="O34" s="134">
        <v>0</v>
      </c>
      <c r="P34" s="32" t="s">
        <v>141</v>
      </c>
      <c r="Q34" s="148">
        <v>0</v>
      </c>
      <c r="R34" s="57"/>
      <c r="S34" s="55">
        <f>SUM(S29:S33)</f>
        <v>49</v>
      </c>
      <c r="T34" s="55">
        <f>SUM(T29:T33)</f>
        <v>100</v>
      </c>
    </row>
    <row r="35" spans="1:23" x14ac:dyDescent="0.2">
      <c r="A35" s="8" t="s">
        <v>20</v>
      </c>
      <c r="B35" s="8">
        <v>47</v>
      </c>
      <c r="C35" s="13"/>
      <c r="D35" s="22">
        <v>244.7</v>
      </c>
      <c r="E35" s="13" t="s">
        <v>119</v>
      </c>
      <c r="F35" s="8">
        <v>34.4</v>
      </c>
      <c r="G35" s="13"/>
      <c r="H35" s="8">
        <v>105.6</v>
      </c>
      <c r="I35" s="13" t="s">
        <v>119</v>
      </c>
      <c r="J35" s="22">
        <v>17.600000000000001</v>
      </c>
      <c r="K35" s="14" t="s">
        <v>119</v>
      </c>
      <c r="L35" s="40">
        <v>1</v>
      </c>
      <c r="M35" s="31">
        <v>2</v>
      </c>
      <c r="N35" s="35">
        <f t="shared" si="0"/>
        <v>1</v>
      </c>
      <c r="O35" s="134">
        <v>3</v>
      </c>
      <c r="P35" s="32" t="s">
        <v>142</v>
      </c>
      <c r="Q35" s="148">
        <v>1</v>
      </c>
    </row>
    <row r="36" spans="1:23" x14ac:dyDescent="0.2">
      <c r="A36" s="8" t="s">
        <v>21</v>
      </c>
      <c r="B36" s="8">
        <v>31.8</v>
      </c>
      <c r="C36" s="13" t="s">
        <v>118</v>
      </c>
      <c r="D36" s="8">
        <v>98.8</v>
      </c>
      <c r="E36" s="13" t="s">
        <v>118</v>
      </c>
      <c r="F36" s="20">
        <v>112.5</v>
      </c>
      <c r="G36" s="13" t="s">
        <v>119</v>
      </c>
      <c r="H36" s="20">
        <v>338.5</v>
      </c>
      <c r="I36" s="13" t="s">
        <v>119</v>
      </c>
      <c r="J36" s="8">
        <v>11.1</v>
      </c>
      <c r="K36" s="14" t="s">
        <v>119</v>
      </c>
      <c r="L36" s="41">
        <v>2</v>
      </c>
      <c r="M36" s="31">
        <v>6</v>
      </c>
      <c r="N36" s="35">
        <f t="shared" si="0"/>
        <v>2</v>
      </c>
      <c r="O36" s="134">
        <v>1</v>
      </c>
      <c r="P36" s="32" t="s">
        <v>142</v>
      </c>
      <c r="Q36" s="148">
        <v>1</v>
      </c>
    </row>
    <row r="37" spans="1:23" s="4" customFormat="1" x14ac:dyDescent="0.2">
      <c r="A37" s="17" t="s">
        <v>22</v>
      </c>
      <c r="B37" s="20">
        <v>131.19999999999999</v>
      </c>
      <c r="C37" s="13"/>
      <c r="D37" s="20">
        <v>890.5</v>
      </c>
      <c r="E37" s="13"/>
      <c r="F37" s="8" t="s">
        <v>130</v>
      </c>
      <c r="G37" s="13"/>
      <c r="H37" s="8" t="s">
        <v>130</v>
      </c>
      <c r="I37" s="13"/>
      <c r="J37" s="8" t="s">
        <v>131</v>
      </c>
      <c r="K37" s="14"/>
      <c r="L37" s="39">
        <v>0</v>
      </c>
      <c r="M37" s="31">
        <v>6</v>
      </c>
      <c r="N37" s="35">
        <f t="shared" si="0"/>
        <v>2</v>
      </c>
      <c r="O37" s="134">
        <v>0</v>
      </c>
      <c r="P37" s="32" t="s">
        <v>141</v>
      </c>
      <c r="Q37" s="150">
        <v>0</v>
      </c>
    </row>
    <row r="38" spans="1:23" x14ac:dyDescent="0.2">
      <c r="A38" s="8" t="s">
        <v>91</v>
      </c>
      <c r="B38" s="22">
        <v>62.7</v>
      </c>
      <c r="C38" s="13" t="s">
        <v>119</v>
      </c>
      <c r="D38" s="21">
        <v>382.1</v>
      </c>
      <c r="E38" s="13" t="s">
        <v>119</v>
      </c>
      <c r="F38" s="22">
        <v>45.1</v>
      </c>
      <c r="G38" s="13" t="s">
        <v>119</v>
      </c>
      <c r="H38" s="8">
        <v>116.6</v>
      </c>
      <c r="I38" s="13"/>
      <c r="J38" s="8"/>
      <c r="K38" s="14"/>
      <c r="L38" s="39">
        <v>0</v>
      </c>
      <c r="M38" s="31">
        <v>4</v>
      </c>
      <c r="N38" s="35">
        <f t="shared" si="0"/>
        <v>1</v>
      </c>
      <c r="O38" s="134">
        <v>3</v>
      </c>
      <c r="P38" s="32" t="s">
        <v>143</v>
      </c>
      <c r="Q38" s="148">
        <v>1</v>
      </c>
    </row>
    <row r="39" spans="1:23" x14ac:dyDescent="0.2">
      <c r="A39" s="8" t="s">
        <v>107</v>
      </c>
      <c r="B39" s="21">
        <v>88</v>
      </c>
      <c r="C39" s="13" t="s">
        <v>119</v>
      </c>
      <c r="D39" s="20">
        <v>459.5</v>
      </c>
      <c r="E39" s="13"/>
      <c r="F39" s="21">
        <v>65.900000000000006</v>
      </c>
      <c r="G39" s="13" t="s">
        <v>119</v>
      </c>
      <c r="H39" s="21">
        <v>247.5</v>
      </c>
      <c r="I39" s="13" t="s">
        <v>119</v>
      </c>
      <c r="J39" s="22">
        <v>16.899999999999999</v>
      </c>
      <c r="K39" s="14" t="s">
        <v>119</v>
      </c>
      <c r="L39" s="43">
        <v>3</v>
      </c>
      <c r="M39" s="31">
        <v>10</v>
      </c>
      <c r="N39" s="35">
        <f t="shared" si="0"/>
        <v>3</v>
      </c>
      <c r="O39" s="134">
        <v>4</v>
      </c>
      <c r="P39" s="32" t="s">
        <v>141</v>
      </c>
      <c r="Q39" s="148">
        <v>1</v>
      </c>
    </row>
    <row r="40" spans="1:23" x14ac:dyDescent="0.2">
      <c r="A40" s="8" t="s">
        <v>23</v>
      </c>
      <c r="B40" s="22">
        <v>71.8</v>
      </c>
      <c r="C40" s="13" t="s">
        <v>119</v>
      </c>
      <c r="D40" s="20">
        <v>410.8</v>
      </c>
      <c r="E40" s="13" t="s">
        <v>119</v>
      </c>
      <c r="F40" s="22">
        <v>48.1</v>
      </c>
      <c r="G40" s="13" t="s">
        <v>119</v>
      </c>
      <c r="H40" s="8">
        <v>106.2</v>
      </c>
      <c r="I40" s="13"/>
      <c r="J40" s="8">
        <v>10.4</v>
      </c>
      <c r="K40" s="14" t="s">
        <v>119</v>
      </c>
      <c r="L40" s="41">
        <v>2</v>
      </c>
      <c r="M40" s="31">
        <v>5</v>
      </c>
      <c r="N40" s="35">
        <f t="shared" si="0"/>
        <v>2</v>
      </c>
      <c r="O40" s="134">
        <v>4</v>
      </c>
      <c r="P40" s="32" t="s">
        <v>142</v>
      </c>
      <c r="Q40" s="148">
        <v>1</v>
      </c>
    </row>
    <row r="41" spans="1:23" x14ac:dyDescent="0.2">
      <c r="A41" s="8" t="s">
        <v>83</v>
      </c>
      <c r="B41" s="8">
        <v>37.9</v>
      </c>
      <c r="C41" s="13" t="s">
        <v>119</v>
      </c>
      <c r="D41" s="22">
        <v>246.5</v>
      </c>
      <c r="E41" s="13"/>
      <c r="F41" s="8">
        <v>14.3</v>
      </c>
      <c r="G41" s="13" t="s">
        <v>118</v>
      </c>
      <c r="H41" s="8">
        <v>31.7</v>
      </c>
      <c r="I41" s="13" t="s">
        <v>118</v>
      </c>
      <c r="J41" s="8">
        <v>1.4</v>
      </c>
      <c r="K41" s="14" t="s">
        <v>118</v>
      </c>
      <c r="L41" s="40">
        <v>1</v>
      </c>
      <c r="M41" s="31">
        <v>1</v>
      </c>
      <c r="N41" s="35">
        <f t="shared" si="0"/>
        <v>1</v>
      </c>
      <c r="O41" s="134">
        <v>-2</v>
      </c>
      <c r="P41" s="32" t="s">
        <v>141</v>
      </c>
      <c r="Q41" s="148">
        <v>-1</v>
      </c>
    </row>
    <row r="42" spans="1:23" x14ac:dyDescent="0.2">
      <c r="A42" s="8" t="s">
        <v>84</v>
      </c>
      <c r="B42" s="22">
        <v>53.9</v>
      </c>
      <c r="C42" s="13" t="s">
        <v>119</v>
      </c>
      <c r="D42" s="22">
        <v>294.8</v>
      </c>
      <c r="E42" s="13" t="s">
        <v>118</v>
      </c>
      <c r="F42" s="8">
        <v>24.3</v>
      </c>
      <c r="G42" s="13" t="s">
        <v>118</v>
      </c>
      <c r="H42" s="8">
        <v>87.8</v>
      </c>
      <c r="I42" s="13" t="s">
        <v>118</v>
      </c>
      <c r="J42" s="8">
        <v>2.4</v>
      </c>
      <c r="K42" s="14" t="s">
        <v>118</v>
      </c>
      <c r="L42" s="40">
        <v>1</v>
      </c>
      <c r="M42" s="31">
        <v>2</v>
      </c>
      <c r="N42" s="35">
        <f t="shared" si="0"/>
        <v>1</v>
      </c>
      <c r="O42" s="134">
        <v>-3</v>
      </c>
      <c r="P42" s="32" t="s">
        <v>141</v>
      </c>
      <c r="Q42" s="148">
        <v>-1</v>
      </c>
    </row>
    <row r="43" spans="1:23" x14ac:dyDescent="0.2">
      <c r="A43" s="8" t="s">
        <v>114</v>
      </c>
      <c r="B43" s="8">
        <v>36.9</v>
      </c>
      <c r="C43" s="13" t="s">
        <v>119</v>
      </c>
      <c r="D43" s="22">
        <v>247</v>
      </c>
      <c r="E43" s="13" t="s">
        <v>119</v>
      </c>
      <c r="F43" s="8">
        <v>30.3</v>
      </c>
      <c r="G43" s="13" t="s">
        <v>119</v>
      </c>
      <c r="H43" s="22">
        <v>154.30000000000001</v>
      </c>
      <c r="I43" s="13" t="s">
        <v>119</v>
      </c>
      <c r="J43" s="8">
        <v>10.7</v>
      </c>
      <c r="K43" s="14" t="s">
        <v>119</v>
      </c>
      <c r="L43" s="41">
        <v>2</v>
      </c>
      <c r="M43" s="31">
        <v>2</v>
      </c>
      <c r="N43" s="35">
        <f t="shared" si="0"/>
        <v>1</v>
      </c>
      <c r="O43" s="134">
        <v>5</v>
      </c>
      <c r="P43" s="32" t="s">
        <v>142</v>
      </c>
      <c r="Q43" s="148">
        <v>1</v>
      </c>
    </row>
    <row r="44" spans="1:23" x14ac:dyDescent="0.2">
      <c r="A44" s="8" t="s">
        <v>24</v>
      </c>
      <c r="B44" s="20">
        <v>125.8</v>
      </c>
      <c r="C44" s="13" t="s">
        <v>119</v>
      </c>
      <c r="D44" s="20">
        <v>441.8</v>
      </c>
      <c r="E44" s="13"/>
      <c r="F44" s="20">
        <v>104.4</v>
      </c>
      <c r="G44" s="13" t="s">
        <v>119</v>
      </c>
      <c r="H44" s="22">
        <v>204.5</v>
      </c>
      <c r="I44" s="13" t="s">
        <v>119</v>
      </c>
      <c r="J44" s="8">
        <v>5.9</v>
      </c>
      <c r="K44" s="14"/>
      <c r="L44" s="41">
        <v>2</v>
      </c>
      <c r="M44" s="31">
        <v>10</v>
      </c>
      <c r="N44" s="35">
        <f t="shared" si="0"/>
        <v>3</v>
      </c>
      <c r="O44" s="134">
        <v>3</v>
      </c>
      <c r="P44" s="32" t="s">
        <v>142</v>
      </c>
      <c r="Q44" s="148">
        <v>1</v>
      </c>
    </row>
    <row r="45" spans="1:23" x14ac:dyDescent="0.2">
      <c r="A45" s="8" t="s">
        <v>32</v>
      </c>
      <c r="B45" s="22">
        <v>54.2</v>
      </c>
      <c r="C45" s="13" t="s">
        <v>119</v>
      </c>
      <c r="D45" s="22">
        <v>296.8</v>
      </c>
      <c r="E45" s="13" t="s">
        <v>119</v>
      </c>
      <c r="F45" s="8">
        <v>35.700000000000003</v>
      </c>
      <c r="G45" s="13" t="s">
        <v>119</v>
      </c>
      <c r="H45" s="21">
        <v>243.8</v>
      </c>
      <c r="I45" s="13" t="s">
        <v>119</v>
      </c>
      <c r="J45" s="8">
        <v>14.8</v>
      </c>
      <c r="K45" s="14" t="s">
        <v>119</v>
      </c>
      <c r="L45" s="40">
        <v>1</v>
      </c>
      <c r="M45" s="31">
        <v>4</v>
      </c>
      <c r="N45" s="35">
        <f t="shared" si="0"/>
        <v>1</v>
      </c>
      <c r="O45" s="134">
        <v>5</v>
      </c>
      <c r="P45" s="32" t="s">
        <v>142</v>
      </c>
      <c r="Q45" s="148">
        <v>1</v>
      </c>
    </row>
    <row r="46" spans="1:23" x14ac:dyDescent="0.2">
      <c r="A46" s="8" t="s">
        <v>98</v>
      </c>
      <c r="B46" s="8">
        <v>32.4</v>
      </c>
      <c r="C46" s="13" t="s">
        <v>119</v>
      </c>
      <c r="D46" s="8">
        <v>113.6</v>
      </c>
      <c r="E46" s="13" t="s">
        <v>119</v>
      </c>
      <c r="F46" s="8">
        <v>25.3</v>
      </c>
      <c r="G46" s="13"/>
      <c r="H46" s="8">
        <v>124.6</v>
      </c>
      <c r="I46" s="13"/>
      <c r="J46" s="8">
        <v>1.9</v>
      </c>
      <c r="K46" s="14" t="s">
        <v>119</v>
      </c>
      <c r="L46" s="40">
        <v>1</v>
      </c>
      <c r="M46" s="31">
        <v>0</v>
      </c>
      <c r="N46" s="35">
        <f t="shared" si="0"/>
        <v>1</v>
      </c>
      <c r="O46" s="134">
        <v>3</v>
      </c>
      <c r="P46" s="32" t="s">
        <v>141</v>
      </c>
      <c r="Q46" s="148">
        <v>1</v>
      </c>
    </row>
    <row r="47" spans="1:23" x14ac:dyDescent="0.2">
      <c r="A47" s="8" t="s">
        <v>327</v>
      </c>
      <c r="B47" s="8">
        <v>18.100000000000001</v>
      </c>
      <c r="C47" s="13"/>
      <c r="D47" s="8">
        <v>174.1</v>
      </c>
      <c r="E47" s="13" t="s">
        <v>119</v>
      </c>
      <c r="F47" s="8">
        <v>14</v>
      </c>
      <c r="G47" s="13" t="s">
        <v>118</v>
      </c>
      <c r="H47" s="8">
        <v>38.299999999999997</v>
      </c>
      <c r="I47" s="13" t="s">
        <v>118</v>
      </c>
      <c r="J47" s="8">
        <v>3</v>
      </c>
      <c r="K47" s="14" t="s">
        <v>118</v>
      </c>
      <c r="L47" s="40">
        <v>1</v>
      </c>
      <c r="M47" s="31">
        <v>0</v>
      </c>
      <c r="N47" s="35">
        <f>IF(M47&gt;9,3,IF(M47&gt;4,2,IF(OR(M47&gt;0,L47&gt;0),1,0)))</f>
        <v>1</v>
      </c>
      <c r="O47" s="134">
        <v>-2</v>
      </c>
      <c r="P47" s="32" t="s">
        <v>141</v>
      </c>
      <c r="Q47" s="148">
        <v>-1</v>
      </c>
    </row>
    <row r="48" spans="1:23" x14ac:dyDescent="0.2">
      <c r="A48" s="8" t="s">
        <v>328</v>
      </c>
      <c r="B48" s="20">
        <v>130.80000000000001</v>
      </c>
      <c r="C48" s="13" t="s">
        <v>119</v>
      </c>
      <c r="D48" s="20">
        <v>458.4</v>
      </c>
      <c r="E48" s="13" t="s">
        <v>119</v>
      </c>
      <c r="F48" s="22">
        <v>56.1</v>
      </c>
      <c r="G48" s="13" t="s">
        <v>119</v>
      </c>
      <c r="H48" s="8">
        <v>109.8</v>
      </c>
      <c r="I48" s="13" t="s">
        <v>119</v>
      </c>
      <c r="J48" s="8" t="s">
        <v>130</v>
      </c>
      <c r="K48" s="14"/>
      <c r="L48" s="40">
        <v>1</v>
      </c>
      <c r="M48" s="31">
        <v>7</v>
      </c>
      <c r="N48" s="35">
        <f>IF(M48&gt;9,3,IF(M48&gt;4,2,IF(OR(M48&gt;0,L48&gt;0),1,0)))</f>
        <v>2</v>
      </c>
      <c r="O48" s="134">
        <v>4</v>
      </c>
      <c r="P48" s="32" t="s">
        <v>142</v>
      </c>
      <c r="Q48" s="148">
        <v>1</v>
      </c>
    </row>
    <row r="49" spans="1:17" x14ac:dyDescent="0.2">
      <c r="A49" s="8" t="s">
        <v>124</v>
      </c>
      <c r="B49" s="8">
        <v>34.4</v>
      </c>
      <c r="C49" s="13" t="s">
        <v>119</v>
      </c>
      <c r="D49" s="8">
        <v>116.7</v>
      </c>
      <c r="E49" s="13" t="s">
        <v>119</v>
      </c>
      <c r="F49" s="21">
        <v>61.3</v>
      </c>
      <c r="G49" s="13" t="s">
        <v>119</v>
      </c>
      <c r="H49" s="21">
        <v>252.9</v>
      </c>
      <c r="I49" s="13" t="s">
        <v>119</v>
      </c>
      <c r="J49" s="8">
        <v>3.5</v>
      </c>
      <c r="K49" s="14" t="s">
        <v>119</v>
      </c>
      <c r="L49" s="40">
        <v>1</v>
      </c>
      <c r="M49" s="31">
        <v>4</v>
      </c>
      <c r="N49" s="35">
        <f t="shared" si="0"/>
        <v>1</v>
      </c>
      <c r="O49" s="134">
        <v>5</v>
      </c>
      <c r="P49" s="32" t="s">
        <v>141</v>
      </c>
      <c r="Q49" s="148">
        <v>1</v>
      </c>
    </row>
    <row r="50" spans="1:17" x14ac:dyDescent="0.2">
      <c r="A50" s="8" t="s">
        <v>99</v>
      </c>
      <c r="B50" s="8">
        <v>36</v>
      </c>
      <c r="C50" s="13"/>
      <c r="D50" s="22">
        <v>244.1</v>
      </c>
      <c r="E50" s="13" t="s">
        <v>118</v>
      </c>
      <c r="F50" s="8">
        <v>30.3</v>
      </c>
      <c r="G50" s="13"/>
      <c r="H50" s="8">
        <v>82.2</v>
      </c>
      <c r="I50" s="13" t="s">
        <v>119</v>
      </c>
      <c r="J50" s="8">
        <v>3.2</v>
      </c>
      <c r="K50" s="14" t="s">
        <v>118</v>
      </c>
      <c r="L50" s="40">
        <v>1</v>
      </c>
      <c r="M50" s="31">
        <v>1</v>
      </c>
      <c r="N50" s="35">
        <f t="shared" si="0"/>
        <v>1</v>
      </c>
      <c r="O50" s="134">
        <v>-1</v>
      </c>
      <c r="P50" s="32" t="s">
        <v>141</v>
      </c>
      <c r="Q50" s="148">
        <v>-1</v>
      </c>
    </row>
    <row r="51" spans="1:17" x14ac:dyDescent="0.2">
      <c r="A51" s="145" t="s">
        <v>33</v>
      </c>
      <c r="B51" s="22">
        <v>59.2</v>
      </c>
      <c r="C51" s="13"/>
      <c r="D51" s="22">
        <v>233.4</v>
      </c>
      <c r="E51" s="13" t="s">
        <v>119</v>
      </c>
      <c r="F51" s="8">
        <v>35.1</v>
      </c>
      <c r="G51" s="13" t="s">
        <v>119</v>
      </c>
      <c r="H51" s="22">
        <v>172.9</v>
      </c>
      <c r="I51" s="13" t="s">
        <v>119</v>
      </c>
      <c r="J51" s="8">
        <v>5.7</v>
      </c>
      <c r="K51" s="14" t="s">
        <v>119</v>
      </c>
      <c r="L51" s="40">
        <v>1</v>
      </c>
      <c r="M51" s="31">
        <v>3</v>
      </c>
      <c r="N51" s="35">
        <f t="shared" si="0"/>
        <v>1</v>
      </c>
      <c r="O51" s="134">
        <v>4</v>
      </c>
      <c r="P51" s="32" t="s">
        <v>141</v>
      </c>
      <c r="Q51" s="148">
        <v>1</v>
      </c>
    </row>
    <row r="52" spans="1:17" x14ac:dyDescent="0.2">
      <c r="A52" s="8" t="s">
        <v>85</v>
      </c>
      <c r="B52" s="8">
        <v>35.4</v>
      </c>
      <c r="C52" s="13" t="s">
        <v>119</v>
      </c>
      <c r="D52" s="8">
        <v>176.8</v>
      </c>
      <c r="E52" s="13" t="s">
        <v>119</v>
      </c>
      <c r="F52" s="8">
        <v>29.3</v>
      </c>
      <c r="G52" s="13"/>
      <c r="H52" s="8">
        <v>127.6</v>
      </c>
      <c r="I52" s="13" t="s">
        <v>119</v>
      </c>
      <c r="J52" s="8">
        <v>4.5</v>
      </c>
      <c r="K52" s="14" t="s">
        <v>119</v>
      </c>
      <c r="L52" s="40">
        <v>1</v>
      </c>
      <c r="M52" s="31">
        <v>0</v>
      </c>
      <c r="N52" s="35">
        <f t="shared" si="0"/>
        <v>1</v>
      </c>
      <c r="O52" s="134">
        <v>4</v>
      </c>
      <c r="P52" s="32" t="s">
        <v>141</v>
      </c>
      <c r="Q52" s="148">
        <v>1</v>
      </c>
    </row>
    <row r="53" spans="1:17" x14ac:dyDescent="0.2">
      <c r="A53" s="145" t="s">
        <v>100</v>
      </c>
      <c r="B53" s="22">
        <v>56.6</v>
      </c>
      <c r="C53" s="13" t="s">
        <v>119</v>
      </c>
      <c r="D53" s="21">
        <v>344.5</v>
      </c>
      <c r="E53" s="13" t="s">
        <v>119</v>
      </c>
      <c r="F53" s="20">
        <v>85.2</v>
      </c>
      <c r="G53" s="13" t="s">
        <v>119</v>
      </c>
      <c r="H53" s="22">
        <v>207.3</v>
      </c>
      <c r="I53" s="13" t="s">
        <v>119</v>
      </c>
      <c r="J53" s="8">
        <v>13.2</v>
      </c>
      <c r="K53" s="14" t="s">
        <v>119</v>
      </c>
      <c r="L53" s="41">
        <v>2</v>
      </c>
      <c r="M53" s="31">
        <v>7</v>
      </c>
      <c r="N53" s="35">
        <f t="shared" si="0"/>
        <v>2</v>
      </c>
      <c r="O53" s="134">
        <v>5</v>
      </c>
      <c r="P53" s="32" t="s">
        <v>142</v>
      </c>
      <c r="Q53" s="148">
        <v>1</v>
      </c>
    </row>
    <row r="54" spans="1:17" x14ac:dyDescent="0.2">
      <c r="A54" s="8" t="s">
        <v>34</v>
      </c>
      <c r="B54" s="22">
        <v>64</v>
      </c>
      <c r="C54" s="13"/>
      <c r="D54" s="22">
        <v>281.10000000000002</v>
      </c>
      <c r="E54" s="13"/>
      <c r="F54" s="20">
        <v>155.9</v>
      </c>
      <c r="G54" s="13" t="s">
        <v>119</v>
      </c>
      <c r="H54" s="8">
        <v>141.9</v>
      </c>
      <c r="I54" s="13" t="s">
        <v>119</v>
      </c>
      <c r="J54" s="22">
        <v>21</v>
      </c>
      <c r="K54" s="14" t="s">
        <v>118</v>
      </c>
      <c r="L54" s="39">
        <v>0</v>
      </c>
      <c r="M54" s="31">
        <v>6</v>
      </c>
      <c r="N54" s="35">
        <f t="shared" si="0"/>
        <v>2</v>
      </c>
      <c r="O54" s="134">
        <v>1</v>
      </c>
      <c r="P54" s="32" t="s">
        <v>143</v>
      </c>
      <c r="Q54" s="148">
        <v>1</v>
      </c>
    </row>
    <row r="55" spans="1:17" x14ac:dyDescent="0.2">
      <c r="A55" s="8" t="s">
        <v>35</v>
      </c>
      <c r="B55" s="20">
        <v>102.1</v>
      </c>
      <c r="C55" s="13" t="s">
        <v>119</v>
      </c>
      <c r="D55" s="21">
        <v>357.8</v>
      </c>
      <c r="E55" s="13" t="s">
        <v>119</v>
      </c>
      <c r="F55" s="20">
        <v>100.8</v>
      </c>
      <c r="G55" s="13" t="s">
        <v>119</v>
      </c>
      <c r="H55" s="22">
        <v>216.5</v>
      </c>
      <c r="I55" s="13" t="s">
        <v>119</v>
      </c>
      <c r="J55" s="8">
        <v>5</v>
      </c>
      <c r="K55" s="14" t="s">
        <v>119</v>
      </c>
      <c r="L55" s="43">
        <v>3</v>
      </c>
      <c r="M55" s="31">
        <v>9</v>
      </c>
      <c r="N55" s="35">
        <f t="shared" si="0"/>
        <v>2</v>
      </c>
      <c r="O55" s="134">
        <v>5</v>
      </c>
      <c r="P55" s="32" t="s">
        <v>141</v>
      </c>
      <c r="Q55" s="148">
        <v>1</v>
      </c>
    </row>
    <row r="56" spans="1:17" x14ac:dyDescent="0.2">
      <c r="A56" s="145" t="s">
        <v>132</v>
      </c>
      <c r="B56" s="8">
        <v>41.3</v>
      </c>
      <c r="C56" s="13" t="s">
        <v>119</v>
      </c>
      <c r="D56" s="8">
        <v>132</v>
      </c>
      <c r="E56" s="13" t="s">
        <v>119</v>
      </c>
      <c r="F56" s="21">
        <v>60.2</v>
      </c>
      <c r="G56" s="13"/>
      <c r="H56" s="22">
        <v>172.5</v>
      </c>
      <c r="I56" s="13"/>
      <c r="J56" s="8" t="s">
        <v>130</v>
      </c>
      <c r="K56" s="14"/>
      <c r="L56" s="39">
        <v>0</v>
      </c>
      <c r="M56" s="31">
        <v>3</v>
      </c>
      <c r="N56" s="35">
        <f t="shared" si="0"/>
        <v>1</v>
      </c>
      <c r="O56" s="134">
        <v>2</v>
      </c>
      <c r="P56" s="32" t="s">
        <v>143</v>
      </c>
      <c r="Q56" s="148">
        <v>1</v>
      </c>
    </row>
    <row r="57" spans="1:17" x14ac:dyDescent="0.2">
      <c r="A57" s="8" t="s">
        <v>86</v>
      </c>
      <c r="B57" s="8">
        <v>45.3</v>
      </c>
      <c r="C57" s="13" t="s">
        <v>119</v>
      </c>
      <c r="D57" s="22">
        <v>211.4</v>
      </c>
      <c r="E57" s="13" t="s">
        <v>119</v>
      </c>
      <c r="F57" s="22">
        <v>47.2</v>
      </c>
      <c r="G57" s="13" t="s">
        <v>119</v>
      </c>
      <c r="H57" s="21">
        <v>288.5</v>
      </c>
      <c r="I57" s="13" t="s">
        <v>119</v>
      </c>
      <c r="J57" s="8">
        <v>9.9</v>
      </c>
      <c r="K57" s="14" t="s">
        <v>119</v>
      </c>
      <c r="L57" s="40">
        <v>1</v>
      </c>
      <c r="M57" s="31">
        <v>4</v>
      </c>
      <c r="N57" s="35">
        <f t="shared" si="0"/>
        <v>1</v>
      </c>
      <c r="O57" s="134">
        <v>5</v>
      </c>
      <c r="P57" s="32" t="s">
        <v>141</v>
      </c>
      <c r="Q57" s="148">
        <v>1</v>
      </c>
    </row>
    <row r="58" spans="1:17" x14ac:dyDescent="0.2">
      <c r="A58" s="8" t="s">
        <v>108</v>
      </c>
      <c r="B58" s="8">
        <v>21.8</v>
      </c>
      <c r="C58" s="13" t="s">
        <v>119</v>
      </c>
      <c r="D58" s="21">
        <v>351.4</v>
      </c>
      <c r="E58" s="13" t="s">
        <v>119</v>
      </c>
      <c r="F58" s="8">
        <v>11</v>
      </c>
      <c r="G58" s="13" t="s">
        <v>119</v>
      </c>
      <c r="H58" s="8">
        <v>76.900000000000006</v>
      </c>
      <c r="I58" s="13" t="s">
        <v>119</v>
      </c>
      <c r="J58" s="8">
        <v>6.8</v>
      </c>
      <c r="K58" s="14" t="s">
        <v>119</v>
      </c>
      <c r="L58" s="39">
        <v>0</v>
      </c>
      <c r="M58" s="31">
        <v>2</v>
      </c>
      <c r="N58" s="35">
        <f t="shared" si="0"/>
        <v>1</v>
      </c>
      <c r="O58" s="134">
        <v>5</v>
      </c>
      <c r="P58" s="32" t="s">
        <v>142</v>
      </c>
      <c r="Q58" s="148">
        <v>1</v>
      </c>
    </row>
    <row r="59" spans="1:17" x14ac:dyDescent="0.2">
      <c r="A59" s="125" t="s">
        <v>95</v>
      </c>
      <c r="B59" s="8">
        <v>40.5</v>
      </c>
      <c r="C59" s="13" t="s">
        <v>119</v>
      </c>
      <c r="D59" s="8">
        <v>176.9</v>
      </c>
      <c r="E59" s="13" t="s">
        <v>119</v>
      </c>
      <c r="F59" s="8">
        <v>37.4</v>
      </c>
      <c r="G59" s="13" t="s">
        <v>119</v>
      </c>
      <c r="H59" s="22">
        <v>161.4</v>
      </c>
      <c r="I59" s="13" t="s">
        <v>119</v>
      </c>
      <c r="J59" s="8">
        <v>3.9</v>
      </c>
      <c r="K59" s="14" t="s">
        <v>119</v>
      </c>
      <c r="L59" s="144">
        <v>0</v>
      </c>
      <c r="M59" s="31">
        <v>1</v>
      </c>
      <c r="N59" s="35">
        <f t="shared" si="0"/>
        <v>1</v>
      </c>
      <c r="O59" s="134">
        <v>5</v>
      </c>
      <c r="P59" s="32" t="s">
        <v>141</v>
      </c>
      <c r="Q59" s="148">
        <v>1</v>
      </c>
    </row>
    <row r="60" spans="1:17" x14ac:dyDescent="0.2">
      <c r="A60" s="145" t="s">
        <v>36</v>
      </c>
      <c r="B60" s="22">
        <v>63.1</v>
      </c>
      <c r="C60" s="13" t="s">
        <v>119</v>
      </c>
      <c r="D60" s="21">
        <v>358.8</v>
      </c>
      <c r="E60" s="13" t="s">
        <v>119</v>
      </c>
      <c r="F60" s="21">
        <v>65.2</v>
      </c>
      <c r="G60" s="13" t="s">
        <v>119</v>
      </c>
      <c r="H60" s="22">
        <v>179.4</v>
      </c>
      <c r="I60" s="13" t="s">
        <v>119</v>
      </c>
      <c r="J60" s="22">
        <v>18.100000000000001</v>
      </c>
      <c r="K60" s="14" t="s">
        <v>119</v>
      </c>
      <c r="L60" s="40">
        <v>1</v>
      </c>
      <c r="M60" s="31">
        <v>7</v>
      </c>
      <c r="N60" s="35">
        <f t="shared" si="0"/>
        <v>2</v>
      </c>
      <c r="O60" s="134">
        <v>5</v>
      </c>
      <c r="P60" s="32" t="s">
        <v>142</v>
      </c>
      <c r="Q60" s="148">
        <v>1</v>
      </c>
    </row>
    <row r="61" spans="1:17" x14ac:dyDescent="0.2">
      <c r="A61" s="8" t="s">
        <v>110</v>
      </c>
      <c r="B61" s="21">
        <v>88.4</v>
      </c>
      <c r="C61" s="13" t="s">
        <v>119</v>
      </c>
      <c r="D61" s="21">
        <v>370.8</v>
      </c>
      <c r="E61" s="13" t="s">
        <v>119</v>
      </c>
      <c r="F61" s="21">
        <v>66.599999999999994</v>
      </c>
      <c r="G61" s="13"/>
      <c r="H61" s="21">
        <v>276.3</v>
      </c>
      <c r="I61" s="13" t="s">
        <v>118</v>
      </c>
      <c r="J61" s="8">
        <v>3.4</v>
      </c>
      <c r="K61" s="14" t="s">
        <v>118</v>
      </c>
      <c r="L61" s="43">
        <v>3</v>
      </c>
      <c r="M61" s="31">
        <v>8</v>
      </c>
      <c r="N61" s="35">
        <f t="shared" si="0"/>
        <v>2</v>
      </c>
      <c r="O61" s="134">
        <v>0</v>
      </c>
      <c r="P61" s="32" t="s">
        <v>142</v>
      </c>
      <c r="Q61" s="148">
        <v>0</v>
      </c>
    </row>
    <row r="62" spans="1:17" x14ac:dyDescent="0.2">
      <c r="A62" s="8" t="s">
        <v>87</v>
      </c>
      <c r="B62" s="8">
        <v>48.3</v>
      </c>
      <c r="C62" s="13" t="s">
        <v>119</v>
      </c>
      <c r="D62" s="22">
        <v>249.4</v>
      </c>
      <c r="E62" s="13" t="s">
        <v>119</v>
      </c>
      <c r="F62" s="22">
        <v>56.2</v>
      </c>
      <c r="G62" s="13" t="s">
        <v>119</v>
      </c>
      <c r="H62" s="22">
        <v>212.6</v>
      </c>
      <c r="I62" s="13" t="s">
        <v>119</v>
      </c>
      <c r="J62" s="8">
        <v>14.2</v>
      </c>
      <c r="K62" s="14" t="s">
        <v>119</v>
      </c>
      <c r="L62" s="39">
        <v>0</v>
      </c>
      <c r="M62" s="31">
        <v>3</v>
      </c>
      <c r="N62" s="35">
        <f t="shared" si="0"/>
        <v>1</v>
      </c>
      <c r="O62" s="134">
        <v>5</v>
      </c>
      <c r="P62" s="32" t="s">
        <v>141</v>
      </c>
      <c r="Q62" s="148">
        <v>1</v>
      </c>
    </row>
    <row r="63" spans="1:17" x14ac:dyDescent="0.2">
      <c r="A63" s="8" t="s">
        <v>117</v>
      </c>
      <c r="B63" s="22">
        <v>63.6</v>
      </c>
      <c r="C63" s="13"/>
      <c r="D63" s="8">
        <v>174.7</v>
      </c>
      <c r="E63" s="13"/>
      <c r="F63" s="8"/>
      <c r="G63" s="13"/>
      <c r="H63" s="8"/>
      <c r="I63" s="13"/>
      <c r="J63" s="8"/>
      <c r="K63" s="14"/>
      <c r="L63" s="39">
        <v>0</v>
      </c>
      <c r="M63" s="31">
        <v>1</v>
      </c>
      <c r="N63" s="35">
        <f t="shared" si="0"/>
        <v>1</v>
      </c>
      <c r="O63" s="134">
        <v>0</v>
      </c>
      <c r="P63" s="32" t="s">
        <v>144</v>
      </c>
      <c r="Q63" s="148">
        <v>0</v>
      </c>
    </row>
    <row r="64" spans="1:17" x14ac:dyDescent="0.2">
      <c r="A64" s="8" t="s">
        <v>111</v>
      </c>
      <c r="B64" s="22">
        <v>63.9</v>
      </c>
      <c r="C64" s="13" t="s">
        <v>119</v>
      </c>
      <c r="D64" s="20">
        <v>424.3</v>
      </c>
      <c r="E64" s="13" t="s">
        <v>119</v>
      </c>
      <c r="F64" s="22">
        <v>47.3</v>
      </c>
      <c r="G64" s="13" t="s">
        <v>119</v>
      </c>
      <c r="H64" s="8"/>
      <c r="I64" s="13"/>
      <c r="J64" s="8"/>
      <c r="K64" s="14"/>
      <c r="L64" s="41">
        <v>2</v>
      </c>
      <c r="M64" s="31">
        <v>5</v>
      </c>
      <c r="N64" s="35">
        <f t="shared" si="0"/>
        <v>2</v>
      </c>
      <c r="O64" s="134">
        <v>3</v>
      </c>
      <c r="P64" s="32" t="s">
        <v>141</v>
      </c>
      <c r="Q64" s="148">
        <v>1</v>
      </c>
    </row>
    <row r="65" spans="1:23" x14ac:dyDescent="0.2">
      <c r="A65" s="8" t="s">
        <v>37</v>
      </c>
      <c r="B65" s="21">
        <v>82.3</v>
      </c>
      <c r="C65" s="13" t="s">
        <v>119</v>
      </c>
      <c r="D65" s="21">
        <v>374.8</v>
      </c>
      <c r="E65" s="13" t="s">
        <v>119</v>
      </c>
      <c r="F65" s="22">
        <v>59.1</v>
      </c>
      <c r="G65" s="13"/>
      <c r="H65" s="22">
        <v>188.6</v>
      </c>
      <c r="I65" s="13"/>
      <c r="J65" s="8">
        <v>8.4</v>
      </c>
      <c r="K65" s="14" t="s">
        <v>118</v>
      </c>
      <c r="L65" s="124">
        <v>3</v>
      </c>
      <c r="M65" s="31">
        <v>6</v>
      </c>
      <c r="N65" s="35">
        <f t="shared" si="0"/>
        <v>2</v>
      </c>
      <c r="O65" s="134">
        <v>1</v>
      </c>
      <c r="P65" s="32" t="s">
        <v>141</v>
      </c>
      <c r="Q65" s="148">
        <v>1</v>
      </c>
    </row>
    <row r="66" spans="1:23" x14ac:dyDescent="0.2">
      <c r="A66" s="8" t="s">
        <v>38</v>
      </c>
      <c r="B66" s="22">
        <v>53</v>
      </c>
      <c r="C66" s="13" t="s">
        <v>119</v>
      </c>
      <c r="D66" s="8">
        <v>187.5</v>
      </c>
      <c r="E66" s="13" t="s">
        <v>119</v>
      </c>
      <c r="F66" s="22">
        <v>52</v>
      </c>
      <c r="G66" s="13" t="s">
        <v>119</v>
      </c>
      <c r="H66" s="22">
        <v>160.4</v>
      </c>
      <c r="I66" s="13" t="s">
        <v>119</v>
      </c>
      <c r="J66" s="8">
        <v>12.2</v>
      </c>
      <c r="K66" s="14" t="s">
        <v>119</v>
      </c>
      <c r="L66" s="39">
        <v>0</v>
      </c>
      <c r="M66" s="31">
        <v>3</v>
      </c>
      <c r="N66" s="35">
        <f t="shared" si="0"/>
        <v>1</v>
      </c>
      <c r="O66" s="134">
        <v>5</v>
      </c>
      <c r="P66" s="32" t="s">
        <v>143</v>
      </c>
      <c r="Q66" s="148">
        <v>1</v>
      </c>
    </row>
    <row r="67" spans="1:23" x14ac:dyDescent="0.2">
      <c r="A67" s="145" t="s">
        <v>39</v>
      </c>
      <c r="B67" s="20">
        <v>121.6</v>
      </c>
      <c r="C67" s="13" t="s">
        <v>119</v>
      </c>
      <c r="D67" s="20">
        <v>1689.5</v>
      </c>
      <c r="E67" s="13" t="s">
        <v>119</v>
      </c>
      <c r="F67" s="8">
        <v>20.3</v>
      </c>
      <c r="G67" s="13" t="s">
        <v>118</v>
      </c>
      <c r="H67" s="20">
        <v>387.3</v>
      </c>
      <c r="I67" s="13"/>
      <c r="J67" s="8">
        <v>4.2</v>
      </c>
      <c r="K67" s="14" t="s">
        <v>118</v>
      </c>
      <c r="L67" s="43">
        <v>3</v>
      </c>
      <c r="M67" s="31">
        <v>9</v>
      </c>
      <c r="N67" s="35">
        <f t="shared" ref="N67:N128" si="3">IF(M67&gt;9,3,IF(M67&gt;4,2,IF(OR(M67&gt;0,L67&gt;0),1,0)))</f>
        <v>2</v>
      </c>
      <c r="O67" s="134">
        <v>0</v>
      </c>
      <c r="P67" s="32" t="s">
        <v>142</v>
      </c>
      <c r="Q67" s="148">
        <v>0</v>
      </c>
    </row>
    <row r="68" spans="1:23" x14ac:dyDescent="0.2">
      <c r="A68" s="17" t="s">
        <v>40</v>
      </c>
      <c r="B68" s="22">
        <v>62.7</v>
      </c>
      <c r="C68" s="13" t="s">
        <v>119</v>
      </c>
      <c r="D68" s="8">
        <v>150.6</v>
      </c>
      <c r="E68" s="13" t="s">
        <v>119</v>
      </c>
      <c r="F68" s="8" t="s">
        <v>130</v>
      </c>
      <c r="G68" s="13"/>
      <c r="H68" s="8" t="s">
        <v>130</v>
      </c>
      <c r="I68" s="13"/>
      <c r="J68" s="8" t="s">
        <v>130</v>
      </c>
      <c r="K68" s="14"/>
      <c r="L68" s="43">
        <v>3</v>
      </c>
      <c r="M68" s="31">
        <v>1</v>
      </c>
      <c r="N68" s="35">
        <f t="shared" si="3"/>
        <v>1</v>
      </c>
      <c r="O68" s="134">
        <v>2</v>
      </c>
      <c r="P68" s="33" t="s">
        <v>141</v>
      </c>
      <c r="Q68" s="149">
        <v>1</v>
      </c>
    </row>
    <row r="69" spans="1:23" s="5" customFormat="1" x14ac:dyDescent="0.2">
      <c r="A69" s="8" t="s">
        <v>101</v>
      </c>
      <c r="B69" s="8">
        <v>37</v>
      </c>
      <c r="C69" s="13" t="s">
        <v>119</v>
      </c>
      <c r="D69" s="22">
        <v>232.1</v>
      </c>
      <c r="E69" s="13" t="s">
        <v>119</v>
      </c>
      <c r="F69" s="8">
        <v>35.4</v>
      </c>
      <c r="G69" s="13" t="s">
        <v>119</v>
      </c>
      <c r="H69" s="22">
        <v>205.6</v>
      </c>
      <c r="I69" s="13" t="s">
        <v>119</v>
      </c>
      <c r="J69" s="8">
        <v>8.4</v>
      </c>
      <c r="K69" s="14" t="s">
        <v>119</v>
      </c>
      <c r="L69" s="39">
        <v>0</v>
      </c>
      <c r="M69" s="31">
        <v>2</v>
      </c>
      <c r="N69" s="35">
        <f t="shared" si="3"/>
        <v>1</v>
      </c>
      <c r="O69" s="134">
        <v>5</v>
      </c>
      <c r="P69" s="32" t="s">
        <v>141</v>
      </c>
      <c r="Q69" s="148">
        <v>1</v>
      </c>
    </row>
    <row r="70" spans="1:23" x14ac:dyDescent="0.2">
      <c r="A70" s="8" t="s">
        <v>41</v>
      </c>
      <c r="B70" s="21">
        <v>75.7</v>
      </c>
      <c r="C70" s="13" t="s">
        <v>119</v>
      </c>
      <c r="D70" s="21">
        <v>352</v>
      </c>
      <c r="E70" s="13" t="s">
        <v>119</v>
      </c>
      <c r="F70" s="8">
        <v>32.799999999999997</v>
      </c>
      <c r="G70" s="13" t="s">
        <v>119</v>
      </c>
      <c r="H70" s="8">
        <v>105.9</v>
      </c>
      <c r="I70" s="13" t="s">
        <v>119</v>
      </c>
      <c r="J70" s="8">
        <v>5.8</v>
      </c>
      <c r="K70" s="14" t="s">
        <v>119</v>
      </c>
      <c r="L70" s="40">
        <v>1</v>
      </c>
      <c r="M70" s="31">
        <v>4</v>
      </c>
      <c r="N70" s="35">
        <f t="shared" si="3"/>
        <v>1</v>
      </c>
      <c r="O70" s="134">
        <v>5</v>
      </c>
      <c r="P70" s="32" t="s">
        <v>141</v>
      </c>
      <c r="Q70" s="148">
        <v>1</v>
      </c>
    </row>
    <row r="71" spans="1:23" x14ac:dyDescent="0.2">
      <c r="A71" s="8" t="s">
        <v>42</v>
      </c>
      <c r="B71" s="22">
        <v>52.5</v>
      </c>
      <c r="C71" s="13" t="s">
        <v>119</v>
      </c>
      <c r="D71" s="21">
        <v>352</v>
      </c>
      <c r="E71" s="13" t="s">
        <v>119</v>
      </c>
      <c r="F71" s="8">
        <v>31.9</v>
      </c>
      <c r="G71" s="13" t="s">
        <v>119</v>
      </c>
      <c r="H71" s="8" t="s">
        <v>120</v>
      </c>
      <c r="I71" s="13"/>
      <c r="J71" s="8" t="s">
        <v>120</v>
      </c>
      <c r="K71" s="14"/>
      <c r="L71" s="41">
        <v>2</v>
      </c>
      <c r="M71" s="31">
        <v>3</v>
      </c>
      <c r="N71" s="35">
        <f t="shared" si="3"/>
        <v>1</v>
      </c>
      <c r="O71" s="134">
        <v>3</v>
      </c>
      <c r="P71" s="32" t="s">
        <v>141</v>
      </c>
      <c r="Q71" s="148">
        <v>1</v>
      </c>
    </row>
    <row r="72" spans="1:23" x14ac:dyDescent="0.2">
      <c r="A72" s="8" t="s">
        <v>112</v>
      </c>
      <c r="B72" s="8">
        <v>40</v>
      </c>
      <c r="C72" s="13" t="s">
        <v>119</v>
      </c>
      <c r="D72" s="22">
        <v>266.5</v>
      </c>
      <c r="E72" s="13" t="s">
        <v>119</v>
      </c>
      <c r="F72" s="22">
        <v>44.3</v>
      </c>
      <c r="G72" s="13" t="s">
        <v>119</v>
      </c>
      <c r="H72" s="22">
        <v>222.5</v>
      </c>
      <c r="I72" s="13" t="s">
        <v>119</v>
      </c>
      <c r="J72" s="8">
        <v>3.8</v>
      </c>
      <c r="K72" s="14" t="s">
        <v>119</v>
      </c>
      <c r="L72" s="39">
        <v>0</v>
      </c>
      <c r="M72" s="31">
        <v>3</v>
      </c>
      <c r="N72" s="35">
        <f t="shared" si="3"/>
        <v>1</v>
      </c>
      <c r="O72" s="134">
        <v>5</v>
      </c>
      <c r="P72" s="32" t="s">
        <v>141</v>
      </c>
      <c r="Q72" s="148">
        <v>1</v>
      </c>
    </row>
    <row r="73" spans="1:23" x14ac:dyDescent="0.2">
      <c r="A73" s="8" t="s">
        <v>43</v>
      </c>
      <c r="B73" s="22">
        <v>52.9</v>
      </c>
      <c r="C73" s="13" t="s">
        <v>119</v>
      </c>
      <c r="D73" s="21">
        <v>386.1</v>
      </c>
      <c r="E73" s="13" t="s">
        <v>118</v>
      </c>
      <c r="F73" s="8">
        <v>37.4</v>
      </c>
      <c r="G73" s="13"/>
      <c r="H73" s="8" t="s">
        <v>120</v>
      </c>
      <c r="I73" s="13"/>
      <c r="J73" s="8" t="s">
        <v>120</v>
      </c>
      <c r="K73" s="14"/>
      <c r="L73" s="41">
        <v>2</v>
      </c>
      <c r="M73" s="31">
        <v>3</v>
      </c>
      <c r="N73" s="35">
        <f t="shared" si="3"/>
        <v>1</v>
      </c>
      <c r="O73" s="134">
        <v>0</v>
      </c>
      <c r="P73" s="32" t="s">
        <v>141</v>
      </c>
      <c r="Q73" s="148">
        <v>0</v>
      </c>
    </row>
    <row r="74" spans="1:23" ht="17" thickBot="1" x14ac:dyDescent="0.25">
      <c r="A74" s="19" t="s">
        <v>44</v>
      </c>
      <c r="B74" s="19"/>
      <c r="C74" s="13"/>
      <c r="D74" s="19"/>
      <c r="E74" s="13"/>
      <c r="F74" s="19"/>
      <c r="G74" s="13"/>
      <c r="H74" s="19"/>
      <c r="I74" s="13"/>
      <c r="J74" s="19"/>
      <c r="K74" s="14"/>
      <c r="L74" s="44"/>
      <c r="M74" s="26">
        <f>SUM(M75:M103)</f>
        <v>123</v>
      </c>
      <c r="N74" s="35"/>
      <c r="O74" s="136">
        <f>SUM(O75:O103)</f>
        <v>32</v>
      </c>
      <c r="P74" s="30"/>
      <c r="Q74" s="148"/>
    </row>
    <row r="75" spans="1:23" s="2" customFormat="1" ht="17" thickBot="1" x14ac:dyDescent="0.25">
      <c r="A75" s="17" t="s">
        <v>115</v>
      </c>
      <c r="B75" s="21">
        <v>86.8</v>
      </c>
      <c r="C75" s="13"/>
      <c r="D75" s="20">
        <v>416.8</v>
      </c>
      <c r="E75" s="13" t="s">
        <v>118</v>
      </c>
      <c r="F75" s="8" t="s">
        <v>130</v>
      </c>
      <c r="G75" s="13"/>
      <c r="H75" s="8" t="s">
        <v>130</v>
      </c>
      <c r="I75" s="13"/>
      <c r="J75" s="8" t="s">
        <v>130</v>
      </c>
      <c r="K75" s="14"/>
      <c r="L75" s="39">
        <v>0</v>
      </c>
      <c r="M75" s="31">
        <v>5</v>
      </c>
      <c r="N75" s="35">
        <f t="shared" si="3"/>
        <v>2</v>
      </c>
      <c r="O75" s="134">
        <v>0</v>
      </c>
      <c r="P75" s="33" t="s">
        <v>144</v>
      </c>
      <c r="Q75" s="149">
        <v>0</v>
      </c>
      <c r="R75" s="61" t="s">
        <v>44</v>
      </c>
      <c r="S75" s="62"/>
      <c r="T75" s="63"/>
    </row>
    <row r="76" spans="1:23" s="5" customFormat="1" x14ac:dyDescent="0.2">
      <c r="A76" s="8" t="s">
        <v>104</v>
      </c>
      <c r="B76" s="22">
        <v>57.6</v>
      </c>
      <c r="C76" s="13" t="s">
        <v>119</v>
      </c>
      <c r="D76" s="8">
        <v>165.2</v>
      </c>
      <c r="E76" s="13" t="s">
        <v>119</v>
      </c>
      <c r="F76" s="8">
        <v>33.700000000000003</v>
      </c>
      <c r="G76" s="13"/>
      <c r="H76" s="20">
        <v>367.6</v>
      </c>
      <c r="I76" s="13"/>
      <c r="J76" s="8" t="s">
        <v>130</v>
      </c>
      <c r="K76" s="14"/>
      <c r="L76" s="39">
        <v>0</v>
      </c>
      <c r="M76" s="31">
        <v>4</v>
      </c>
      <c r="N76" s="35">
        <f t="shared" si="3"/>
        <v>1</v>
      </c>
      <c r="O76" s="134">
        <v>2</v>
      </c>
      <c r="P76" s="32" t="s">
        <v>144</v>
      </c>
      <c r="Q76" s="148">
        <v>1</v>
      </c>
      <c r="R76" s="58" t="s">
        <v>152</v>
      </c>
      <c r="S76" s="59">
        <f>COUNTIF(N75:N103,"3")</f>
        <v>1</v>
      </c>
      <c r="T76" s="60">
        <f>S76/$S$81*100</f>
        <v>3.0303030303030303</v>
      </c>
      <c r="V76" s="66" t="s">
        <v>317</v>
      </c>
      <c r="W76" s="138">
        <f>COUNTIF($Q$75:$Q$103,"1")</f>
        <v>19</v>
      </c>
    </row>
    <row r="77" spans="1:23" x14ac:dyDescent="0.2">
      <c r="A77" s="8" t="s">
        <v>139</v>
      </c>
      <c r="B77" s="22">
        <v>54.6</v>
      </c>
      <c r="C77" s="13" t="s">
        <v>119</v>
      </c>
      <c r="D77" s="21">
        <v>317.8</v>
      </c>
      <c r="E77" s="13"/>
      <c r="F77" s="8" t="s">
        <v>130</v>
      </c>
      <c r="G77" s="13"/>
      <c r="H77" s="8" t="s">
        <v>130</v>
      </c>
      <c r="I77" s="13"/>
      <c r="J77" s="8" t="s">
        <v>130</v>
      </c>
      <c r="K77" s="14"/>
      <c r="L77" s="39">
        <v>0</v>
      </c>
      <c r="M77" s="31">
        <v>3</v>
      </c>
      <c r="N77" s="35">
        <f t="shared" si="3"/>
        <v>1</v>
      </c>
      <c r="O77" s="134">
        <v>1</v>
      </c>
      <c r="P77" s="32" t="s">
        <v>144</v>
      </c>
      <c r="Q77" s="148">
        <v>1</v>
      </c>
      <c r="R77" s="46" t="s">
        <v>153</v>
      </c>
      <c r="S77" s="45">
        <f>COUNTIF(N75:N103,"2")</f>
        <v>10</v>
      </c>
      <c r="T77" s="60">
        <f t="shared" ref="T77:T80" si="4">S77/$S$81*100</f>
        <v>30.303030303030305</v>
      </c>
      <c r="V77" s="46" t="s">
        <v>318</v>
      </c>
      <c r="W77" s="117">
        <f>COUNTIF($Q$75:$Q$103,"0")</f>
        <v>1</v>
      </c>
    </row>
    <row r="78" spans="1:23" x14ac:dyDescent="0.2">
      <c r="A78" s="8" t="s">
        <v>140</v>
      </c>
      <c r="B78" s="20">
        <v>157.30000000000001</v>
      </c>
      <c r="C78" s="13" t="s">
        <v>119</v>
      </c>
      <c r="D78" s="20">
        <v>553.20000000000005</v>
      </c>
      <c r="E78" s="13"/>
      <c r="F78" s="8" t="s">
        <v>130</v>
      </c>
      <c r="G78" s="8"/>
      <c r="H78" s="8" t="s">
        <v>130</v>
      </c>
      <c r="I78" s="8"/>
      <c r="J78" s="8" t="s">
        <v>130</v>
      </c>
      <c r="K78" s="8"/>
      <c r="L78" s="39">
        <v>0</v>
      </c>
      <c r="M78" s="31">
        <v>6</v>
      </c>
      <c r="N78" s="35">
        <f t="shared" si="3"/>
        <v>2</v>
      </c>
      <c r="O78" s="134">
        <v>1</v>
      </c>
      <c r="P78" s="32" t="s">
        <v>144</v>
      </c>
      <c r="Q78" s="148">
        <v>1</v>
      </c>
      <c r="R78" s="46" t="s">
        <v>154</v>
      </c>
      <c r="S78" s="45">
        <f>COUNTIF(N75:N103,"1")</f>
        <v>18</v>
      </c>
      <c r="T78" s="60">
        <f t="shared" si="4"/>
        <v>54.54545454545454</v>
      </c>
      <c r="V78" s="46" t="s">
        <v>316</v>
      </c>
      <c r="W78" s="140">
        <f>COUNTIF($Q$75:$Q$103,"-1")</f>
        <v>9</v>
      </c>
    </row>
    <row r="79" spans="1:23" x14ac:dyDescent="0.2">
      <c r="A79" s="8" t="s">
        <v>88</v>
      </c>
      <c r="B79" s="21">
        <v>99</v>
      </c>
      <c r="C79" s="13" t="s">
        <v>119</v>
      </c>
      <c r="D79" s="21">
        <v>338.6</v>
      </c>
      <c r="E79" s="13" t="s">
        <v>119</v>
      </c>
      <c r="F79" s="20">
        <v>82.9</v>
      </c>
      <c r="G79" s="13"/>
      <c r="H79" s="8">
        <v>133.80000000000001</v>
      </c>
      <c r="I79" s="13" t="s">
        <v>119</v>
      </c>
      <c r="J79" s="8">
        <v>9.6999999999999993</v>
      </c>
      <c r="K79" s="14" t="s">
        <v>118</v>
      </c>
      <c r="L79" s="39">
        <v>0</v>
      </c>
      <c r="M79" s="31">
        <v>7</v>
      </c>
      <c r="N79" s="35">
        <f t="shared" si="3"/>
        <v>2</v>
      </c>
      <c r="O79" s="134">
        <v>2</v>
      </c>
      <c r="P79" s="32" t="s">
        <v>143</v>
      </c>
      <c r="Q79" s="148">
        <v>1</v>
      </c>
      <c r="R79" s="46" t="s">
        <v>155</v>
      </c>
      <c r="S79" s="45">
        <f>Grundgesamtheit!I18</f>
        <v>3</v>
      </c>
      <c r="T79" s="60">
        <f t="shared" si="4"/>
        <v>9.0909090909090917</v>
      </c>
      <c r="V79" s="46" t="s">
        <v>319</v>
      </c>
      <c r="W79" s="117">
        <f>COUNTIF($O$75:$O$103,"&gt;3")</f>
        <v>5</v>
      </c>
    </row>
    <row r="80" spans="1:23" ht="17" thickBot="1" x14ac:dyDescent="0.25">
      <c r="A80" s="8" t="s">
        <v>45</v>
      </c>
      <c r="B80" s="21">
        <v>84</v>
      </c>
      <c r="C80" s="13" t="s">
        <v>119</v>
      </c>
      <c r="D80" s="22">
        <v>278.89999999999998</v>
      </c>
      <c r="E80" s="13" t="s">
        <v>119</v>
      </c>
      <c r="F80" s="8">
        <v>27</v>
      </c>
      <c r="G80" s="13" t="s">
        <v>119</v>
      </c>
      <c r="H80" s="22">
        <v>205.9</v>
      </c>
      <c r="I80" s="13" t="s">
        <v>119</v>
      </c>
      <c r="J80" s="20">
        <v>36.200000000000003</v>
      </c>
      <c r="K80" s="14" t="s">
        <v>119</v>
      </c>
      <c r="L80" s="39">
        <v>0</v>
      </c>
      <c r="M80" s="31">
        <v>7</v>
      </c>
      <c r="N80" s="35">
        <f t="shared" si="3"/>
        <v>2</v>
      </c>
      <c r="O80" s="134">
        <v>5</v>
      </c>
      <c r="P80" s="32" t="s">
        <v>143</v>
      </c>
      <c r="Q80" s="148">
        <v>1</v>
      </c>
      <c r="R80" s="47" t="s">
        <v>156</v>
      </c>
      <c r="S80" s="45">
        <f>Grundgesamtheit!I19</f>
        <v>1</v>
      </c>
      <c r="T80" s="60">
        <f t="shared" si="4"/>
        <v>3.0303030303030303</v>
      </c>
      <c r="V80" s="47" t="s">
        <v>320</v>
      </c>
      <c r="W80" s="118">
        <f>COUNTIF($O$75:$O$103,"&gt;4")</f>
        <v>4</v>
      </c>
    </row>
    <row r="81" spans="1:20" ht="17" thickBot="1" x14ac:dyDescent="0.25">
      <c r="A81" s="8" t="s">
        <v>46</v>
      </c>
      <c r="B81" s="8">
        <v>48.9</v>
      </c>
      <c r="C81" s="13" t="s">
        <v>119</v>
      </c>
      <c r="D81" s="21">
        <v>351.8</v>
      </c>
      <c r="E81" s="13" t="s">
        <v>119</v>
      </c>
      <c r="F81" s="22">
        <v>47.5</v>
      </c>
      <c r="G81" s="13" t="s">
        <v>119</v>
      </c>
      <c r="H81" s="8">
        <v>128.5</v>
      </c>
      <c r="I81" s="13" t="s">
        <v>121</v>
      </c>
      <c r="J81" s="8">
        <v>14.8</v>
      </c>
      <c r="K81" s="14" t="s">
        <v>118</v>
      </c>
      <c r="L81" s="39">
        <v>0</v>
      </c>
      <c r="M81" s="31">
        <v>3</v>
      </c>
      <c r="N81" s="35">
        <f t="shared" si="3"/>
        <v>1</v>
      </c>
      <c r="O81" s="134">
        <v>3</v>
      </c>
      <c r="P81" s="32" t="s">
        <v>143</v>
      </c>
      <c r="Q81" s="148">
        <v>1</v>
      </c>
      <c r="R81" s="57"/>
      <c r="S81" s="64">
        <f>SUM(S76:S80)</f>
        <v>33</v>
      </c>
      <c r="T81" s="56">
        <f>SUM(T76:T80)</f>
        <v>100</v>
      </c>
    </row>
    <row r="82" spans="1:20" x14ac:dyDescent="0.2">
      <c r="A82" s="8" t="s">
        <v>47</v>
      </c>
      <c r="B82" s="21">
        <v>82.7</v>
      </c>
      <c r="C82" s="13"/>
      <c r="D82" s="8">
        <v>176.9</v>
      </c>
      <c r="E82" s="13" t="s">
        <v>118</v>
      </c>
      <c r="F82" s="22">
        <v>54.8</v>
      </c>
      <c r="G82" s="13" t="s">
        <v>118</v>
      </c>
      <c r="H82" s="8">
        <v>121.2</v>
      </c>
      <c r="I82" s="13" t="s">
        <v>118</v>
      </c>
      <c r="J82" s="8">
        <v>11.7</v>
      </c>
      <c r="K82" s="14"/>
      <c r="L82" s="41">
        <v>2</v>
      </c>
      <c r="M82" s="31">
        <v>3</v>
      </c>
      <c r="N82" s="35">
        <f t="shared" si="3"/>
        <v>1</v>
      </c>
      <c r="O82" s="134">
        <v>-3</v>
      </c>
      <c r="P82" s="32" t="s">
        <v>143</v>
      </c>
      <c r="Q82" s="148">
        <v>-1</v>
      </c>
    </row>
    <row r="83" spans="1:20" x14ac:dyDescent="0.2">
      <c r="A83" s="145" t="s">
        <v>48</v>
      </c>
      <c r="B83" s="8">
        <v>37.200000000000003</v>
      </c>
      <c r="C83" s="13"/>
      <c r="D83" s="22">
        <v>249.4</v>
      </c>
      <c r="E83" s="13"/>
      <c r="F83" s="22">
        <v>41.1</v>
      </c>
      <c r="G83" s="13"/>
      <c r="H83" s="22">
        <v>153.1</v>
      </c>
      <c r="I83" s="13"/>
      <c r="J83" s="8">
        <v>10.199999999999999</v>
      </c>
      <c r="K83" s="14" t="s">
        <v>118</v>
      </c>
      <c r="L83" s="39">
        <v>0</v>
      </c>
      <c r="M83" s="31">
        <v>3</v>
      </c>
      <c r="N83" s="35">
        <f t="shared" si="3"/>
        <v>1</v>
      </c>
      <c r="O83" s="134">
        <v>-1</v>
      </c>
      <c r="P83" s="32" t="s">
        <v>143</v>
      </c>
      <c r="Q83" s="148">
        <v>-1</v>
      </c>
    </row>
    <row r="84" spans="1:20" x14ac:dyDescent="0.2">
      <c r="A84" s="145" t="s">
        <v>49</v>
      </c>
      <c r="B84" s="8">
        <v>45.4</v>
      </c>
      <c r="C84" s="13" t="s">
        <v>119</v>
      </c>
      <c r="D84" s="8">
        <v>141.5</v>
      </c>
      <c r="E84" s="13" t="s">
        <v>119</v>
      </c>
      <c r="F84" s="8">
        <v>39.299999999999997</v>
      </c>
      <c r="G84" s="13" t="s">
        <v>119</v>
      </c>
      <c r="H84" s="22">
        <v>178.5</v>
      </c>
      <c r="I84" s="13" t="s">
        <v>119</v>
      </c>
      <c r="J84" s="21">
        <v>29.3</v>
      </c>
      <c r="K84" s="14" t="s">
        <v>119</v>
      </c>
      <c r="L84" s="39">
        <v>0</v>
      </c>
      <c r="M84" s="31">
        <v>3</v>
      </c>
      <c r="N84" s="35">
        <f t="shared" si="3"/>
        <v>1</v>
      </c>
      <c r="O84" s="134">
        <v>5</v>
      </c>
      <c r="P84" s="32" t="s">
        <v>143</v>
      </c>
      <c r="Q84" s="148">
        <v>1</v>
      </c>
    </row>
    <row r="85" spans="1:20" x14ac:dyDescent="0.2">
      <c r="A85" s="8" t="s">
        <v>50</v>
      </c>
      <c r="B85" s="22">
        <v>67.900000000000006</v>
      </c>
      <c r="C85" s="13" t="s">
        <v>119</v>
      </c>
      <c r="D85" s="21">
        <v>313.5</v>
      </c>
      <c r="E85" s="13"/>
      <c r="F85" s="21">
        <v>71.5</v>
      </c>
      <c r="G85" s="13"/>
      <c r="H85" s="21">
        <v>226.2</v>
      </c>
      <c r="I85" s="13" t="s">
        <v>119</v>
      </c>
      <c r="J85" s="22">
        <v>20.2</v>
      </c>
      <c r="K85" s="14"/>
      <c r="L85" s="39">
        <v>0</v>
      </c>
      <c r="M85" s="31">
        <v>8</v>
      </c>
      <c r="N85" s="35">
        <f t="shared" si="3"/>
        <v>2</v>
      </c>
      <c r="O85" s="134">
        <v>2</v>
      </c>
      <c r="P85" s="32" t="s">
        <v>142</v>
      </c>
      <c r="Q85" s="148">
        <v>1</v>
      </c>
    </row>
    <row r="86" spans="1:20" x14ac:dyDescent="0.2">
      <c r="A86" s="8" t="s">
        <v>51</v>
      </c>
      <c r="B86" s="22">
        <v>70.400000000000006</v>
      </c>
      <c r="C86" s="13" t="s">
        <v>118</v>
      </c>
      <c r="D86" s="22">
        <v>273.39999999999998</v>
      </c>
      <c r="E86" s="13" t="s">
        <v>118</v>
      </c>
      <c r="F86" s="22">
        <v>49.2</v>
      </c>
      <c r="G86" s="13" t="s">
        <v>118</v>
      </c>
      <c r="H86" s="8">
        <v>89</v>
      </c>
      <c r="I86" s="13" t="s">
        <v>118</v>
      </c>
      <c r="J86" s="8">
        <v>9.4</v>
      </c>
      <c r="K86" s="14"/>
      <c r="L86" s="43">
        <v>3</v>
      </c>
      <c r="M86" s="31">
        <v>3</v>
      </c>
      <c r="N86" s="35">
        <f t="shared" si="3"/>
        <v>1</v>
      </c>
      <c r="O86" s="134">
        <v>-4</v>
      </c>
      <c r="P86" s="32" t="s">
        <v>143</v>
      </c>
      <c r="Q86" s="148">
        <v>-1</v>
      </c>
    </row>
    <row r="87" spans="1:20" x14ac:dyDescent="0.2">
      <c r="A87" s="8" t="s">
        <v>52</v>
      </c>
      <c r="B87" s="8">
        <v>24.7</v>
      </c>
      <c r="C87" s="13"/>
      <c r="D87" s="22">
        <v>228.9</v>
      </c>
      <c r="E87" s="13"/>
      <c r="F87" s="8">
        <v>31</v>
      </c>
      <c r="G87" s="13"/>
      <c r="H87" s="22">
        <v>156.6</v>
      </c>
      <c r="I87" s="13" t="s">
        <v>119</v>
      </c>
      <c r="J87" s="21">
        <v>28.6</v>
      </c>
      <c r="K87" s="14" t="s">
        <v>119</v>
      </c>
      <c r="L87" s="39">
        <v>0</v>
      </c>
      <c r="M87" s="31">
        <v>4</v>
      </c>
      <c r="N87" s="35">
        <f t="shared" si="3"/>
        <v>1</v>
      </c>
      <c r="O87" s="134">
        <v>2</v>
      </c>
      <c r="P87" s="32" t="s">
        <v>143</v>
      </c>
      <c r="Q87" s="148">
        <v>1</v>
      </c>
    </row>
    <row r="88" spans="1:20" x14ac:dyDescent="0.2">
      <c r="A88" s="8" t="s">
        <v>102</v>
      </c>
      <c r="B88" s="22">
        <v>52.2</v>
      </c>
      <c r="C88" s="13" t="s">
        <v>118</v>
      </c>
      <c r="D88" s="8">
        <v>172.3</v>
      </c>
      <c r="E88" s="13" t="s">
        <v>118</v>
      </c>
      <c r="F88" s="22">
        <v>43.5</v>
      </c>
      <c r="G88" s="13" t="s">
        <v>118</v>
      </c>
      <c r="H88" s="8">
        <v>50.8</v>
      </c>
      <c r="I88" s="13"/>
      <c r="J88" s="8">
        <v>3.6</v>
      </c>
      <c r="K88" s="14" t="s">
        <v>118</v>
      </c>
      <c r="L88" s="40">
        <v>1</v>
      </c>
      <c r="M88" s="31">
        <v>2</v>
      </c>
      <c r="N88" s="35">
        <f t="shared" si="3"/>
        <v>1</v>
      </c>
      <c r="O88" s="134">
        <v>-4</v>
      </c>
      <c r="P88" s="32" t="s">
        <v>143</v>
      </c>
      <c r="Q88" s="148">
        <v>-1</v>
      </c>
    </row>
    <row r="89" spans="1:20" x14ac:dyDescent="0.2">
      <c r="A89" s="8" t="s">
        <v>103</v>
      </c>
      <c r="B89" s="8">
        <v>31</v>
      </c>
      <c r="C89" s="13" t="s">
        <v>119</v>
      </c>
      <c r="D89" s="8">
        <v>175.7</v>
      </c>
      <c r="E89" s="13" t="s">
        <v>119</v>
      </c>
      <c r="F89" s="8">
        <v>26.2</v>
      </c>
      <c r="G89" s="13" t="s">
        <v>119</v>
      </c>
      <c r="H89" s="8">
        <v>138.4</v>
      </c>
      <c r="I89" s="13" t="s">
        <v>119</v>
      </c>
      <c r="J89" s="8">
        <v>1.5</v>
      </c>
      <c r="K89" s="14" t="s">
        <v>119</v>
      </c>
      <c r="L89" s="41">
        <v>2</v>
      </c>
      <c r="M89" s="31">
        <v>0</v>
      </c>
      <c r="N89" s="35">
        <f t="shared" si="3"/>
        <v>1</v>
      </c>
      <c r="O89" s="134">
        <v>5</v>
      </c>
      <c r="P89" s="32" t="s">
        <v>141</v>
      </c>
      <c r="Q89" s="148">
        <v>1</v>
      </c>
    </row>
    <row r="90" spans="1:20" x14ac:dyDescent="0.2">
      <c r="A90" s="8" t="s">
        <v>53</v>
      </c>
      <c r="B90" s="8">
        <v>39.5</v>
      </c>
      <c r="C90" s="13"/>
      <c r="D90" s="8">
        <v>148.19999999999999</v>
      </c>
      <c r="E90" s="13"/>
      <c r="F90" s="22">
        <v>40.6</v>
      </c>
      <c r="G90" s="13"/>
      <c r="H90" s="8">
        <v>114.3</v>
      </c>
      <c r="I90" s="13"/>
      <c r="J90" s="21">
        <v>23.9</v>
      </c>
      <c r="K90" s="14" t="s">
        <v>119</v>
      </c>
      <c r="L90" s="40">
        <v>1</v>
      </c>
      <c r="M90" s="31">
        <v>3</v>
      </c>
      <c r="N90" s="35">
        <f t="shared" si="3"/>
        <v>1</v>
      </c>
      <c r="O90" s="134">
        <v>1</v>
      </c>
      <c r="P90" s="32" t="s">
        <v>142</v>
      </c>
      <c r="Q90" s="148">
        <v>1</v>
      </c>
    </row>
    <row r="91" spans="1:20" x14ac:dyDescent="0.2">
      <c r="A91" s="8" t="s">
        <v>54</v>
      </c>
      <c r="B91" s="20">
        <v>101</v>
      </c>
      <c r="C91" s="13" t="s">
        <v>118</v>
      </c>
      <c r="D91" s="21">
        <v>348.2</v>
      </c>
      <c r="E91" s="13" t="s">
        <v>118</v>
      </c>
      <c r="F91" s="20">
        <v>103.2</v>
      </c>
      <c r="G91" s="13" t="s">
        <v>119</v>
      </c>
      <c r="H91" s="21">
        <v>286</v>
      </c>
      <c r="I91" s="13"/>
      <c r="J91" s="21">
        <v>27.3</v>
      </c>
      <c r="K91" s="14"/>
      <c r="L91" s="39">
        <v>0</v>
      </c>
      <c r="M91" s="31">
        <v>12</v>
      </c>
      <c r="N91" s="35">
        <f t="shared" si="3"/>
        <v>3</v>
      </c>
      <c r="O91" s="134">
        <v>-1</v>
      </c>
      <c r="P91" s="32" t="s">
        <v>143</v>
      </c>
      <c r="Q91" s="148">
        <v>-1</v>
      </c>
    </row>
    <row r="92" spans="1:20" x14ac:dyDescent="0.2">
      <c r="A92" s="8" t="s">
        <v>55</v>
      </c>
      <c r="B92" s="8">
        <v>49.3</v>
      </c>
      <c r="C92" s="13" t="s">
        <v>119</v>
      </c>
      <c r="D92" s="8">
        <v>193.6</v>
      </c>
      <c r="E92" s="13" t="s">
        <v>119</v>
      </c>
      <c r="F92" s="22">
        <v>41.3</v>
      </c>
      <c r="G92" s="13" t="s">
        <v>119</v>
      </c>
      <c r="H92" s="21">
        <v>232.7</v>
      </c>
      <c r="I92" s="13" t="s">
        <v>119</v>
      </c>
      <c r="J92" s="20">
        <v>41.6</v>
      </c>
      <c r="K92" s="14" t="s">
        <v>119</v>
      </c>
      <c r="L92" s="39">
        <v>0</v>
      </c>
      <c r="M92" s="31">
        <v>6</v>
      </c>
      <c r="N92" s="35">
        <f t="shared" si="3"/>
        <v>2</v>
      </c>
      <c r="O92" s="134">
        <v>5</v>
      </c>
      <c r="P92" s="32" t="s">
        <v>143</v>
      </c>
      <c r="Q92" s="148">
        <v>1</v>
      </c>
    </row>
    <row r="93" spans="1:20" x14ac:dyDescent="0.2">
      <c r="A93" s="8" t="s">
        <v>137</v>
      </c>
      <c r="B93" s="22">
        <v>54.3</v>
      </c>
      <c r="C93" s="13" t="s">
        <v>119</v>
      </c>
      <c r="D93" s="22">
        <v>219.3</v>
      </c>
      <c r="E93" s="13" t="s">
        <v>119</v>
      </c>
      <c r="F93" s="22">
        <v>40.5</v>
      </c>
      <c r="G93" s="13" t="s">
        <v>119</v>
      </c>
      <c r="H93" s="8">
        <v>101.6</v>
      </c>
      <c r="I93" s="13"/>
      <c r="J93" s="8">
        <v>14</v>
      </c>
      <c r="K93" s="14" t="s">
        <v>119</v>
      </c>
      <c r="L93" s="39">
        <v>0</v>
      </c>
      <c r="M93" s="31">
        <v>3</v>
      </c>
      <c r="N93" s="35">
        <f t="shared" si="3"/>
        <v>1</v>
      </c>
      <c r="O93" s="134">
        <v>4</v>
      </c>
      <c r="P93" s="32" t="s">
        <v>143</v>
      </c>
      <c r="Q93" s="148">
        <v>1</v>
      </c>
    </row>
    <row r="94" spans="1:20" x14ac:dyDescent="0.2">
      <c r="A94" s="8" t="s">
        <v>56</v>
      </c>
      <c r="B94" s="8">
        <v>33.299999999999997</v>
      </c>
      <c r="C94" s="13" t="s">
        <v>119</v>
      </c>
      <c r="D94" s="8">
        <v>131.6</v>
      </c>
      <c r="E94" s="13"/>
      <c r="F94" s="20">
        <v>85.3</v>
      </c>
      <c r="G94" s="13"/>
      <c r="H94" s="22">
        <v>199.1</v>
      </c>
      <c r="I94" s="13"/>
      <c r="J94" s="22">
        <v>19.8</v>
      </c>
      <c r="K94" s="14" t="s">
        <v>119</v>
      </c>
      <c r="L94" s="40">
        <v>1</v>
      </c>
      <c r="M94" s="31">
        <v>5</v>
      </c>
      <c r="N94" s="35">
        <f t="shared" si="3"/>
        <v>2</v>
      </c>
      <c r="O94" s="134">
        <v>2</v>
      </c>
      <c r="P94" s="32" t="s">
        <v>142</v>
      </c>
      <c r="Q94" s="148">
        <v>1</v>
      </c>
    </row>
    <row r="95" spans="1:20" x14ac:dyDescent="0.2">
      <c r="A95" s="8" t="s">
        <v>57</v>
      </c>
      <c r="B95" s="8">
        <v>37.799999999999997</v>
      </c>
      <c r="C95" s="13" t="s">
        <v>119</v>
      </c>
      <c r="D95" s="8">
        <v>187.6</v>
      </c>
      <c r="E95" s="13" t="s">
        <v>119</v>
      </c>
      <c r="F95" s="20">
        <v>91.53</v>
      </c>
      <c r="G95" s="13" t="s">
        <v>118</v>
      </c>
      <c r="H95" s="20">
        <v>590.5</v>
      </c>
      <c r="I95" s="13" t="s">
        <v>119</v>
      </c>
      <c r="J95" s="8" t="s">
        <v>130</v>
      </c>
      <c r="K95" s="14"/>
      <c r="L95" s="39">
        <v>0</v>
      </c>
      <c r="M95" s="31">
        <v>6</v>
      </c>
      <c r="N95" s="35">
        <f t="shared" si="3"/>
        <v>2</v>
      </c>
      <c r="O95" s="134">
        <v>2</v>
      </c>
      <c r="P95" s="32" t="s">
        <v>144</v>
      </c>
      <c r="Q95" s="148">
        <v>1</v>
      </c>
    </row>
    <row r="96" spans="1:20" x14ac:dyDescent="0.2">
      <c r="A96" s="8" t="s">
        <v>89</v>
      </c>
      <c r="B96" s="8">
        <v>19.5</v>
      </c>
      <c r="C96" s="13" t="s">
        <v>119</v>
      </c>
      <c r="D96" s="8">
        <v>102.4</v>
      </c>
      <c r="E96" s="13" t="s">
        <v>119</v>
      </c>
      <c r="F96" s="22">
        <v>57</v>
      </c>
      <c r="G96" s="13"/>
      <c r="H96" s="8">
        <v>111.8</v>
      </c>
      <c r="I96" s="13"/>
      <c r="J96" s="8">
        <v>12.4</v>
      </c>
      <c r="K96" s="14"/>
      <c r="L96" s="39">
        <v>0</v>
      </c>
      <c r="M96" s="31">
        <v>1</v>
      </c>
      <c r="N96" s="35">
        <f t="shared" si="3"/>
        <v>1</v>
      </c>
      <c r="O96" s="134">
        <v>2</v>
      </c>
      <c r="P96" s="32" t="s">
        <v>143</v>
      </c>
      <c r="Q96" s="148">
        <v>1</v>
      </c>
    </row>
    <row r="97" spans="1:23" x14ac:dyDescent="0.2">
      <c r="A97" s="8" t="s">
        <v>94</v>
      </c>
      <c r="B97" s="8">
        <v>25.4</v>
      </c>
      <c r="C97" s="13" t="s">
        <v>119</v>
      </c>
      <c r="D97" s="8">
        <v>139</v>
      </c>
      <c r="E97" s="13" t="s">
        <v>119</v>
      </c>
      <c r="F97" s="8">
        <v>33.6</v>
      </c>
      <c r="G97" s="13"/>
      <c r="H97" s="8">
        <v>127.3</v>
      </c>
      <c r="I97" s="13"/>
      <c r="J97" s="22">
        <v>21.7</v>
      </c>
      <c r="K97" s="14" t="s">
        <v>119</v>
      </c>
      <c r="L97" s="39">
        <v>0</v>
      </c>
      <c r="M97" s="31">
        <v>1</v>
      </c>
      <c r="N97" s="35">
        <f t="shared" si="3"/>
        <v>1</v>
      </c>
      <c r="O97" s="134">
        <v>3</v>
      </c>
      <c r="P97" s="32" t="s">
        <v>143</v>
      </c>
      <c r="Q97" s="148">
        <v>1</v>
      </c>
    </row>
    <row r="98" spans="1:23" x14ac:dyDescent="0.2">
      <c r="A98" s="8" t="s">
        <v>116</v>
      </c>
      <c r="B98" s="22">
        <v>62.9</v>
      </c>
      <c r="C98" s="13" t="s">
        <v>118</v>
      </c>
      <c r="D98" s="22">
        <v>208.3</v>
      </c>
      <c r="E98" s="13"/>
      <c r="F98" s="8">
        <v>20.9</v>
      </c>
      <c r="G98" s="13" t="s">
        <v>118</v>
      </c>
      <c r="H98" s="20">
        <v>351.5</v>
      </c>
      <c r="I98" s="13" t="s">
        <v>119</v>
      </c>
      <c r="J98" s="8" t="s">
        <v>130</v>
      </c>
      <c r="K98" s="14"/>
      <c r="L98" s="39">
        <v>0</v>
      </c>
      <c r="M98" s="31">
        <v>5</v>
      </c>
      <c r="N98" s="35">
        <f t="shared" si="3"/>
        <v>2</v>
      </c>
      <c r="O98" s="134">
        <v>-1</v>
      </c>
      <c r="P98" s="32" t="s">
        <v>144</v>
      </c>
      <c r="Q98" s="148">
        <v>-1</v>
      </c>
    </row>
    <row r="99" spans="1:23" x14ac:dyDescent="0.2">
      <c r="A99" s="8" t="s">
        <v>58</v>
      </c>
      <c r="B99" s="22">
        <v>70.599999999999994</v>
      </c>
      <c r="C99" s="13"/>
      <c r="D99" s="22">
        <v>291.39999999999998</v>
      </c>
      <c r="E99" s="13"/>
      <c r="F99" s="8">
        <v>39</v>
      </c>
      <c r="G99" s="13" t="s">
        <v>119</v>
      </c>
      <c r="H99" s="8">
        <v>61.5</v>
      </c>
      <c r="I99" s="13" t="s">
        <v>118</v>
      </c>
      <c r="J99" s="8">
        <v>4.5999999999999996</v>
      </c>
      <c r="K99" s="14" t="s">
        <v>118</v>
      </c>
      <c r="L99" s="40">
        <v>1</v>
      </c>
      <c r="M99" s="31">
        <v>2</v>
      </c>
      <c r="N99" s="35">
        <f t="shared" si="3"/>
        <v>1</v>
      </c>
      <c r="O99" s="134">
        <v>-1</v>
      </c>
      <c r="P99" s="32" t="s">
        <v>143</v>
      </c>
      <c r="Q99" s="148">
        <v>-1</v>
      </c>
    </row>
    <row r="100" spans="1:23" x14ac:dyDescent="0.2">
      <c r="A100" s="8" t="s">
        <v>59</v>
      </c>
      <c r="B100" s="22">
        <v>73.8</v>
      </c>
      <c r="C100" s="13"/>
      <c r="D100" s="22">
        <v>245.7</v>
      </c>
      <c r="E100" s="13" t="s">
        <v>118</v>
      </c>
      <c r="F100" s="22">
        <v>42.7</v>
      </c>
      <c r="G100" s="13"/>
      <c r="H100" s="8">
        <v>117</v>
      </c>
      <c r="I100" s="13" t="s">
        <v>118</v>
      </c>
      <c r="J100" s="8">
        <v>11.6</v>
      </c>
      <c r="K100" s="14" t="s">
        <v>118</v>
      </c>
      <c r="L100" s="41">
        <v>2</v>
      </c>
      <c r="M100" s="25">
        <v>3</v>
      </c>
      <c r="N100" s="35">
        <f t="shared" si="3"/>
        <v>1</v>
      </c>
      <c r="O100" s="137">
        <v>-3</v>
      </c>
      <c r="P100" s="28" t="s">
        <v>143</v>
      </c>
      <c r="Q100" s="148">
        <v>-1</v>
      </c>
    </row>
    <row r="101" spans="1:23" x14ac:dyDescent="0.2">
      <c r="A101" s="8" t="s">
        <v>92</v>
      </c>
      <c r="B101" s="22">
        <v>69.3</v>
      </c>
      <c r="C101" s="13" t="s">
        <v>119</v>
      </c>
      <c r="D101" s="21">
        <v>354.1</v>
      </c>
      <c r="E101" s="13" t="s">
        <v>119</v>
      </c>
      <c r="F101" s="22">
        <v>49.7</v>
      </c>
      <c r="G101" s="13"/>
      <c r="H101" s="8">
        <v>83.8</v>
      </c>
      <c r="I101" s="13"/>
      <c r="J101" s="8" t="s">
        <v>130</v>
      </c>
      <c r="K101" s="14"/>
      <c r="L101" s="39">
        <v>0</v>
      </c>
      <c r="M101" s="25">
        <v>4</v>
      </c>
      <c r="N101" s="35">
        <f t="shared" si="3"/>
        <v>1</v>
      </c>
      <c r="O101" s="137">
        <v>2</v>
      </c>
      <c r="P101" s="28" t="s">
        <v>143</v>
      </c>
      <c r="Q101" s="148">
        <v>1</v>
      </c>
    </row>
    <row r="102" spans="1:23" x14ac:dyDescent="0.2">
      <c r="A102" s="8" t="s">
        <v>126</v>
      </c>
      <c r="B102" s="22">
        <v>65.7</v>
      </c>
      <c r="C102" s="13"/>
      <c r="D102" s="22">
        <v>220.6</v>
      </c>
      <c r="E102" s="13"/>
      <c r="F102" s="21">
        <v>68.5</v>
      </c>
      <c r="G102" s="13" t="s">
        <v>119</v>
      </c>
      <c r="H102" s="8">
        <v>40.299999999999997</v>
      </c>
      <c r="I102" s="13" t="s">
        <v>118</v>
      </c>
      <c r="J102" s="8">
        <v>7.1</v>
      </c>
      <c r="K102" s="14" t="s">
        <v>118</v>
      </c>
      <c r="L102" s="39">
        <v>0</v>
      </c>
      <c r="M102" s="25">
        <v>4</v>
      </c>
      <c r="N102" s="35">
        <f t="shared" si="3"/>
        <v>1</v>
      </c>
      <c r="O102" s="137">
        <v>-1</v>
      </c>
      <c r="P102" s="28" t="s">
        <v>143</v>
      </c>
      <c r="Q102" s="148">
        <v>-1</v>
      </c>
    </row>
    <row r="103" spans="1:23" x14ac:dyDescent="0.2">
      <c r="A103" s="8" t="s">
        <v>60</v>
      </c>
      <c r="B103" s="8">
        <v>38.9</v>
      </c>
      <c r="C103" s="13" t="s">
        <v>118</v>
      </c>
      <c r="D103" s="20">
        <v>430.2</v>
      </c>
      <c r="E103" s="13" t="s">
        <v>119</v>
      </c>
      <c r="F103" s="22">
        <v>43.7</v>
      </c>
      <c r="G103" s="13" t="s">
        <v>119</v>
      </c>
      <c r="H103" s="20">
        <v>312.8</v>
      </c>
      <c r="I103" s="13" t="s">
        <v>119</v>
      </c>
      <c r="J103" s="8" t="s">
        <v>130</v>
      </c>
      <c r="K103" s="14"/>
      <c r="L103" s="39">
        <v>0</v>
      </c>
      <c r="M103" s="25">
        <v>7</v>
      </c>
      <c r="N103" s="35">
        <f t="shared" si="3"/>
        <v>2</v>
      </c>
      <c r="O103" s="137">
        <v>2</v>
      </c>
      <c r="P103" s="28" t="s">
        <v>143</v>
      </c>
      <c r="Q103" s="148">
        <v>1</v>
      </c>
    </row>
    <row r="104" spans="1:23" ht="17" thickBot="1" x14ac:dyDescent="0.25">
      <c r="A104" s="19" t="s">
        <v>61</v>
      </c>
      <c r="B104" s="19"/>
      <c r="C104" s="13"/>
      <c r="D104" s="19"/>
      <c r="E104" s="13"/>
      <c r="F104" s="19"/>
      <c r="G104" s="13"/>
      <c r="H104" s="19"/>
      <c r="I104" s="13"/>
      <c r="J104" s="19"/>
      <c r="K104" s="14"/>
      <c r="L104" s="44"/>
      <c r="M104" s="26">
        <f>SUM(M105:M112)</f>
        <v>62</v>
      </c>
      <c r="N104" s="35"/>
      <c r="O104" s="136">
        <f>SUM(O105:O112)</f>
        <v>27</v>
      </c>
      <c r="P104" s="30"/>
      <c r="Q104" s="148"/>
    </row>
    <row r="105" spans="1:23" s="2" customFormat="1" ht="17" thickBot="1" x14ac:dyDescent="0.25">
      <c r="A105" s="8" t="s">
        <v>62</v>
      </c>
      <c r="B105" s="20">
        <v>103</v>
      </c>
      <c r="C105" s="13" t="s">
        <v>119</v>
      </c>
      <c r="D105" s="20">
        <v>473.5</v>
      </c>
      <c r="E105" s="13" t="s">
        <v>119</v>
      </c>
      <c r="F105" s="8">
        <v>35.9</v>
      </c>
      <c r="G105" s="13" t="s">
        <v>119</v>
      </c>
      <c r="H105" s="22">
        <v>190.3</v>
      </c>
      <c r="I105" s="13" t="s">
        <v>119</v>
      </c>
      <c r="J105" s="22">
        <v>15.1</v>
      </c>
      <c r="K105" s="14" t="s">
        <v>119</v>
      </c>
      <c r="L105" s="39">
        <v>0</v>
      </c>
      <c r="M105" s="31">
        <v>8</v>
      </c>
      <c r="N105" s="35">
        <f t="shared" si="3"/>
        <v>2</v>
      </c>
      <c r="O105" s="134">
        <v>5</v>
      </c>
      <c r="P105" s="32" t="s">
        <v>142</v>
      </c>
      <c r="Q105" s="148">
        <v>1</v>
      </c>
      <c r="R105" s="65" t="s">
        <v>61</v>
      </c>
      <c r="S105" s="62"/>
      <c r="T105" s="63"/>
    </row>
    <row r="106" spans="1:23" x14ac:dyDescent="0.2">
      <c r="A106" s="8" t="s">
        <v>123</v>
      </c>
      <c r="B106" s="21">
        <v>88.5</v>
      </c>
      <c r="C106" s="13" t="s">
        <v>119</v>
      </c>
      <c r="D106" s="20">
        <v>485.4</v>
      </c>
      <c r="E106" s="13" t="s">
        <v>119</v>
      </c>
      <c r="F106" s="20">
        <v>147.6</v>
      </c>
      <c r="G106" s="13"/>
      <c r="H106" s="20">
        <v>339</v>
      </c>
      <c r="I106" s="13"/>
      <c r="J106" s="8" t="s">
        <v>130</v>
      </c>
      <c r="K106" s="14"/>
      <c r="L106" s="39">
        <v>0</v>
      </c>
      <c r="M106" s="31">
        <v>11</v>
      </c>
      <c r="N106" s="35">
        <f t="shared" si="3"/>
        <v>3</v>
      </c>
      <c r="O106" s="134">
        <v>2</v>
      </c>
      <c r="P106" s="32" t="s">
        <v>144</v>
      </c>
      <c r="Q106" s="148">
        <v>1</v>
      </c>
      <c r="R106" s="58" t="s">
        <v>152</v>
      </c>
      <c r="S106" s="59">
        <f>COUNTIF(N105:N112,"3")</f>
        <v>2</v>
      </c>
      <c r="T106" s="60">
        <f>S106/$S$111*100</f>
        <v>11.76470588235294</v>
      </c>
      <c r="V106" s="66" t="s">
        <v>317</v>
      </c>
      <c r="W106" s="138">
        <f>COUNTIF(Q105:Q112,"1")</f>
        <v>8</v>
      </c>
    </row>
    <row r="107" spans="1:23" x14ac:dyDescent="0.2">
      <c r="A107" s="145" t="s">
        <v>127</v>
      </c>
      <c r="B107" s="22">
        <v>59.7</v>
      </c>
      <c r="C107" s="13" t="s">
        <v>119</v>
      </c>
      <c r="D107" s="8">
        <v>177.9</v>
      </c>
      <c r="E107" s="13" t="s">
        <v>119</v>
      </c>
      <c r="F107" s="8">
        <v>38.1</v>
      </c>
      <c r="G107" s="13" t="s">
        <v>119</v>
      </c>
      <c r="H107" s="8">
        <v>106.6</v>
      </c>
      <c r="I107" s="13" t="s">
        <v>119</v>
      </c>
      <c r="J107" s="20">
        <v>47.1</v>
      </c>
      <c r="K107" s="14" t="s">
        <v>119</v>
      </c>
      <c r="L107" s="39">
        <v>0</v>
      </c>
      <c r="M107" s="31">
        <v>4</v>
      </c>
      <c r="N107" s="35">
        <f t="shared" si="3"/>
        <v>1</v>
      </c>
      <c r="O107" s="134">
        <v>5</v>
      </c>
      <c r="P107" s="32" t="s">
        <v>143</v>
      </c>
      <c r="Q107" s="148">
        <v>1</v>
      </c>
      <c r="R107" s="46" t="s">
        <v>153</v>
      </c>
      <c r="S107" s="45">
        <f>COUNTIF(N105:N112,"2")</f>
        <v>4</v>
      </c>
      <c r="T107" s="60">
        <f t="shared" ref="T107:T110" si="5">S107/$S$111*100</f>
        <v>23.52941176470588</v>
      </c>
      <c r="V107" s="46" t="s">
        <v>318</v>
      </c>
      <c r="W107" s="117">
        <f>COUNTIF(Q105:Q112,"0")</f>
        <v>0</v>
      </c>
    </row>
    <row r="108" spans="1:23" x14ac:dyDescent="0.2">
      <c r="A108" s="34" t="s">
        <v>322</v>
      </c>
      <c r="B108" s="22">
        <v>74.5</v>
      </c>
      <c r="C108" s="13" t="s">
        <v>119</v>
      </c>
      <c r="D108" s="20">
        <v>2135</v>
      </c>
      <c r="E108" s="13" t="s">
        <v>119</v>
      </c>
      <c r="F108" s="8">
        <v>22.6</v>
      </c>
      <c r="G108" s="13" t="s">
        <v>119</v>
      </c>
      <c r="H108" s="20">
        <v>18382.3</v>
      </c>
      <c r="I108" s="13" t="s">
        <v>119</v>
      </c>
      <c r="J108" s="8" t="s">
        <v>130</v>
      </c>
      <c r="K108" s="14"/>
      <c r="L108" s="40">
        <v>1</v>
      </c>
      <c r="M108" s="31">
        <v>7</v>
      </c>
      <c r="N108" s="35">
        <f t="shared" si="3"/>
        <v>2</v>
      </c>
      <c r="O108" s="134">
        <v>4</v>
      </c>
      <c r="P108" s="32" t="s">
        <v>141</v>
      </c>
      <c r="Q108" s="148">
        <v>1</v>
      </c>
      <c r="R108" s="46" t="s">
        <v>154</v>
      </c>
      <c r="S108" s="45">
        <f>COUNTIF(N105:N112,"1")</f>
        <v>2</v>
      </c>
      <c r="T108" s="60">
        <f t="shared" si="5"/>
        <v>11.76470588235294</v>
      </c>
      <c r="V108" s="46" t="s">
        <v>316</v>
      </c>
      <c r="W108" s="139">
        <f>COUNTIF(Q105:Q112,"-1")</f>
        <v>0</v>
      </c>
    </row>
    <row r="109" spans="1:23" x14ac:dyDescent="0.2">
      <c r="A109" s="8" t="s">
        <v>63</v>
      </c>
      <c r="B109" s="21">
        <v>95.9</v>
      </c>
      <c r="C109" s="13" t="s">
        <v>119</v>
      </c>
      <c r="D109" s="21">
        <v>367.3</v>
      </c>
      <c r="E109" s="13"/>
      <c r="F109" s="21">
        <v>75.3</v>
      </c>
      <c r="G109" s="13"/>
      <c r="H109" s="22">
        <v>198.1</v>
      </c>
      <c r="I109" s="13" t="s">
        <v>119</v>
      </c>
      <c r="J109" s="8">
        <v>12.4</v>
      </c>
      <c r="K109" s="14" t="s">
        <v>119</v>
      </c>
      <c r="L109" s="39">
        <v>0</v>
      </c>
      <c r="M109" s="31">
        <v>7</v>
      </c>
      <c r="N109" s="35">
        <f t="shared" si="3"/>
        <v>2</v>
      </c>
      <c r="O109" s="134">
        <v>3</v>
      </c>
      <c r="P109" s="32" t="s">
        <v>143</v>
      </c>
      <c r="Q109" s="148">
        <v>1</v>
      </c>
      <c r="R109" s="46" t="s">
        <v>155</v>
      </c>
      <c r="S109" s="45">
        <f>Grundgesamtheit!I22</f>
        <v>7</v>
      </c>
      <c r="T109" s="60">
        <f t="shared" si="5"/>
        <v>41.17647058823529</v>
      </c>
      <c r="V109" s="46" t="s">
        <v>319</v>
      </c>
      <c r="W109" s="117">
        <f>COUNTIF(O105:O112,"&gt;3")</f>
        <v>4</v>
      </c>
    </row>
    <row r="110" spans="1:23" ht="17" thickBot="1" x14ac:dyDescent="0.25">
      <c r="A110" s="145" t="s">
        <v>64</v>
      </c>
      <c r="B110" s="20">
        <v>146.80000000000001</v>
      </c>
      <c r="C110" s="13"/>
      <c r="D110" s="20">
        <v>684.4</v>
      </c>
      <c r="E110" s="13"/>
      <c r="F110" s="20">
        <v>141.69999999999999</v>
      </c>
      <c r="G110" s="13"/>
      <c r="H110" s="20">
        <v>341.3</v>
      </c>
      <c r="I110" s="13" t="s">
        <v>119</v>
      </c>
      <c r="J110" s="20">
        <v>70.599999999999994</v>
      </c>
      <c r="K110" s="14" t="s">
        <v>119</v>
      </c>
      <c r="L110" s="39">
        <v>0</v>
      </c>
      <c r="M110" s="31">
        <v>15</v>
      </c>
      <c r="N110" s="35">
        <f t="shared" si="3"/>
        <v>3</v>
      </c>
      <c r="O110" s="134">
        <v>2</v>
      </c>
      <c r="P110" s="32" t="s">
        <v>143</v>
      </c>
      <c r="Q110" s="148">
        <v>1</v>
      </c>
      <c r="R110" s="47" t="s">
        <v>156</v>
      </c>
      <c r="S110" s="45">
        <f>Grundgesamtheit!I23</f>
        <v>2</v>
      </c>
      <c r="T110" s="60">
        <f t="shared" si="5"/>
        <v>11.76470588235294</v>
      </c>
      <c r="V110" s="47" t="s">
        <v>320</v>
      </c>
      <c r="W110" s="118">
        <f>COUNTIF(O105:O112,"&gt;4")</f>
        <v>3</v>
      </c>
    </row>
    <row r="111" spans="1:23" ht="17" thickBot="1" x14ac:dyDescent="0.25">
      <c r="A111" s="8" t="s">
        <v>65</v>
      </c>
      <c r="B111" s="22">
        <v>65.099999999999994</v>
      </c>
      <c r="C111" s="13"/>
      <c r="D111" s="22">
        <v>248.3</v>
      </c>
      <c r="E111" s="13" t="s">
        <v>119</v>
      </c>
      <c r="F111" s="22">
        <v>46.5</v>
      </c>
      <c r="G111" s="13" t="s">
        <v>119</v>
      </c>
      <c r="H111" s="8">
        <v>125.3</v>
      </c>
      <c r="I111" s="13"/>
      <c r="J111" s="8">
        <v>9.8000000000000007</v>
      </c>
      <c r="K111" s="14" t="s">
        <v>118</v>
      </c>
      <c r="L111" s="39">
        <v>0</v>
      </c>
      <c r="M111" s="31">
        <v>3</v>
      </c>
      <c r="N111" s="35">
        <f t="shared" si="3"/>
        <v>1</v>
      </c>
      <c r="O111" s="134">
        <v>1</v>
      </c>
      <c r="P111" s="32" t="s">
        <v>142</v>
      </c>
      <c r="Q111" s="148">
        <v>1</v>
      </c>
      <c r="R111" s="57"/>
      <c r="S111" s="64">
        <f>SUM(S106:S110)</f>
        <v>17</v>
      </c>
      <c r="T111" s="55">
        <f>SUM(T106:T110)</f>
        <v>99.999999999999986</v>
      </c>
    </row>
    <row r="112" spans="1:23" x14ac:dyDescent="0.2">
      <c r="A112" s="8" t="s">
        <v>66</v>
      </c>
      <c r="B112" s="22">
        <v>70.3</v>
      </c>
      <c r="C112" s="13" t="s">
        <v>119</v>
      </c>
      <c r="D112" s="22">
        <v>288.3</v>
      </c>
      <c r="E112" s="13" t="s">
        <v>119</v>
      </c>
      <c r="F112" s="20">
        <v>82.8</v>
      </c>
      <c r="G112" s="13" t="s">
        <v>119</v>
      </c>
      <c r="H112" s="22">
        <v>178.1</v>
      </c>
      <c r="I112" s="13" t="s">
        <v>119</v>
      </c>
      <c r="J112" s="22">
        <v>17.2</v>
      </c>
      <c r="K112" s="14" t="s">
        <v>119</v>
      </c>
      <c r="L112" s="39">
        <v>0</v>
      </c>
      <c r="M112" s="31">
        <v>7</v>
      </c>
      <c r="N112" s="35">
        <f t="shared" si="3"/>
        <v>2</v>
      </c>
      <c r="O112" s="134">
        <v>5</v>
      </c>
      <c r="P112" s="32" t="s">
        <v>142</v>
      </c>
      <c r="Q112" s="148">
        <v>1</v>
      </c>
    </row>
    <row r="113" spans="1:23" ht="17" thickBot="1" x14ac:dyDescent="0.25">
      <c r="A113" s="19" t="s">
        <v>67</v>
      </c>
      <c r="B113" s="19"/>
      <c r="C113" s="13"/>
      <c r="D113" s="19"/>
      <c r="E113" s="13"/>
      <c r="F113" s="19"/>
      <c r="G113" s="13"/>
      <c r="H113" s="19"/>
      <c r="I113" s="13"/>
      <c r="J113" s="19"/>
      <c r="K113" s="14"/>
      <c r="L113" s="44"/>
      <c r="M113" s="26">
        <f>SUM(M114:M128)</f>
        <v>76</v>
      </c>
      <c r="N113" s="35"/>
      <c r="O113" s="136">
        <f>SUM(O114:O128)</f>
        <v>35</v>
      </c>
      <c r="P113" s="30"/>
      <c r="Q113" s="148"/>
    </row>
    <row r="114" spans="1:23" s="2" customFormat="1" ht="17" thickBot="1" x14ac:dyDescent="0.25">
      <c r="A114" s="8" t="s">
        <v>68</v>
      </c>
      <c r="B114" s="22">
        <v>71.8</v>
      </c>
      <c r="C114" s="13"/>
      <c r="D114" s="22">
        <v>259</v>
      </c>
      <c r="E114" s="13" t="s">
        <v>118</v>
      </c>
      <c r="F114" s="21">
        <v>69.400000000000006</v>
      </c>
      <c r="G114" s="13"/>
      <c r="H114" s="22">
        <v>198.1</v>
      </c>
      <c r="I114" s="13"/>
      <c r="J114" s="8">
        <v>10.4</v>
      </c>
      <c r="K114" s="14" t="s">
        <v>118</v>
      </c>
      <c r="L114" s="39">
        <v>0</v>
      </c>
      <c r="M114" s="31">
        <v>5</v>
      </c>
      <c r="N114" s="35">
        <f t="shared" si="3"/>
        <v>2</v>
      </c>
      <c r="O114" s="134">
        <v>-2</v>
      </c>
      <c r="P114" s="32" t="s">
        <v>143</v>
      </c>
      <c r="Q114" s="148">
        <v>-1</v>
      </c>
      <c r="R114" s="61" t="s">
        <v>67</v>
      </c>
      <c r="S114" s="62"/>
      <c r="T114" s="63"/>
    </row>
    <row r="115" spans="1:23" x14ac:dyDescent="0.2">
      <c r="A115" s="8" t="s">
        <v>69</v>
      </c>
      <c r="B115" s="22">
        <v>53.5</v>
      </c>
      <c r="C115" s="13" t="s">
        <v>119</v>
      </c>
      <c r="D115" s="22">
        <v>252.2</v>
      </c>
      <c r="E115" s="13" t="s">
        <v>119</v>
      </c>
      <c r="F115" s="20">
        <v>85.9</v>
      </c>
      <c r="G115" s="13" t="s">
        <v>119</v>
      </c>
      <c r="H115" s="22">
        <v>182.4</v>
      </c>
      <c r="I115" s="13"/>
      <c r="J115" s="21">
        <v>27</v>
      </c>
      <c r="K115" s="14" t="s">
        <v>118</v>
      </c>
      <c r="L115" s="39">
        <v>0</v>
      </c>
      <c r="M115" s="31">
        <v>8</v>
      </c>
      <c r="N115" s="35">
        <f t="shared" si="3"/>
        <v>2</v>
      </c>
      <c r="O115" s="134">
        <v>2</v>
      </c>
      <c r="P115" s="32" t="s">
        <v>143</v>
      </c>
      <c r="Q115" s="148">
        <v>1</v>
      </c>
      <c r="R115" s="58" t="s">
        <v>152</v>
      </c>
      <c r="S115" s="59">
        <f>COUNTIF(N114:N128,"3")</f>
        <v>0</v>
      </c>
      <c r="T115" s="60">
        <f>S115/$S$120*100</f>
        <v>0</v>
      </c>
      <c r="V115" s="66" t="s">
        <v>317</v>
      </c>
      <c r="W115" s="138">
        <f>COUNTIF(Q114:Q128,"1")</f>
        <v>12</v>
      </c>
    </row>
    <row r="116" spans="1:23" x14ac:dyDescent="0.2">
      <c r="A116" s="8" t="s">
        <v>138</v>
      </c>
      <c r="B116" s="22">
        <v>54</v>
      </c>
      <c r="C116" s="13" t="s">
        <v>119</v>
      </c>
      <c r="D116" s="8">
        <v>154.9</v>
      </c>
      <c r="E116" s="13" t="s">
        <v>119</v>
      </c>
      <c r="F116" s="8">
        <v>39.1</v>
      </c>
      <c r="G116" s="13" t="s">
        <v>119</v>
      </c>
      <c r="H116" s="8">
        <v>72.099999999999994</v>
      </c>
      <c r="I116" s="13" t="s">
        <v>119</v>
      </c>
      <c r="J116" s="8">
        <v>10.7</v>
      </c>
      <c r="K116" s="14"/>
      <c r="L116" s="39">
        <v>0</v>
      </c>
      <c r="M116" s="31">
        <v>1</v>
      </c>
      <c r="N116" s="35">
        <f t="shared" si="3"/>
        <v>1</v>
      </c>
      <c r="O116" s="134">
        <v>4</v>
      </c>
      <c r="P116" s="32" t="s">
        <v>143</v>
      </c>
      <c r="Q116" s="148">
        <v>1</v>
      </c>
      <c r="R116" s="46" t="s">
        <v>153</v>
      </c>
      <c r="S116" s="45">
        <f>COUNTIF(N114:N128,"2")</f>
        <v>9</v>
      </c>
      <c r="T116" s="52">
        <f>S116/$S$120*100</f>
        <v>47.368421052631575</v>
      </c>
      <c r="V116" s="46" t="s">
        <v>318</v>
      </c>
      <c r="W116" s="117">
        <f>COUNTIF(Q114:Q128,"0")</f>
        <v>0</v>
      </c>
    </row>
    <row r="117" spans="1:23" x14ac:dyDescent="0.2">
      <c r="A117" s="8" t="s">
        <v>70</v>
      </c>
      <c r="B117" s="8">
        <v>39.5</v>
      </c>
      <c r="C117" s="13" t="s">
        <v>118</v>
      </c>
      <c r="D117" s="8">
        <v>93</v>
      </c>
      <c r="E117" s="13"/>
      <c r="F117" s="21">
        <v>79.8</v>
      </c>
      <c r="G117" s="13"/>
      <c r="H117" s="22">
        <v>184.8</v>
      </c>
      <c r="I117" s="13" t="s">
        <v>118</v>
      </c>
      <c r="J117" s="22">
        <v>15.6</v>
      </c>
      <c r="K117" s="14"/>
      <c r="L117" s="39">
        <v>0</v>
      </c>
      <c r="M117" s="31">
        <v>4</v>
      </c>
      <c r="N117" s="35">
        <f t="shared" si="3"/>
        <v>1</v>
      </c>
      <c r="O117" s="134">
        <v>-2</v>
      </c>
      <c r="P117" s="32" t="s">
        <v>143</v>
      </c>
      <c r="Q117" s="148">
        <v>-1</v>
      </c>
      <c r="R117" s="46" t="s">
        <v>154</v>
      </c>
      <c r="S117" s="45">
        <f>COUNTIF(N114:N128,"1")</f>
        <v>6</v>
      </c>
      <c r="T117" s="52">
        <f>S117/$S$120*100</f>
        <v>31.578947368421051</v>
      </c>
      <c r="V117" s="46" t="s">
        <v>316</v>
      </c>
      <c r="W117" s="139">
        <f>COUNTIF(Q114:Q128,"-1")</f>
        <v>3</v>
      </c>
    </row>
    <row r="118" spans="1:23" x14ac:dyDescent="0.2">
      <c r="A118" s="8" t="s">
        <v>71</v>
      </c>
      <c r="B118" s="8">
        <v>44.9</v>
      </c>
      <c r="C118" s="13" t="s">
        <v>119</v>
      </c>
      <c r="D118" s="8">
        <v>154.4</v>
      </c>
      <c r="E118" s="13" t="s">
        <v>119</v>
      </c>
      <c r="F118" s="20">
        <v>109.8</v>
      </c>
      <c r="G118" s="13" t="s">
        <v>119</v>
      </c>
      <c r="H118" s="22">
        <v>181.3</v>
      </c>
      <c r="I118" s="13" t="s">
        <v>119</v>
      </c>
      <c r="J118" s="21">
        <v>29.4</v>
      </c>
      <c r="K118" s="14" t="s">
        <v>119</v>
      </c>
      <c r="L118" s="39">
        <v>0</v>
      </c>
      <c r="M118" s="31">
        <v>6</v>
      </c>
      <c r="N118" s="35">
        <f t="shared" si="3"/>
        <v>2</v>
      </c>
      <c r="O118" s="134">
        <v>5</v>
      </c>
      <c r="P118" s="32" t="s">
        <v>142</v>
      </c>
      <c r="Q118" s="148">
        <v>1</v>
      </c>
      <c r="R118" s="46" t="s">
        <v>155</v>
      </c>
      <c r="S118" s="45">
        <f>Grundgesamtheit!I26</f>
        <v>4</v>
      </c>
      <c r="T118" s="52">
        <f>S118/$S$120*100</f>
        <v>21.052631578947366</v>
      </c>
      <c r="V118" s="46" t="s">
        <v>319</v>
      </c>
      <c r="W118" s="117">
        <f>COUNTIF(O114:O128,"&gt;3")</f>
        <v>6</v>
      </c>
    </row>
    <row r="119" spans="1:23" ht="17" thickBot="1" x14ac:dyDescent="0.25">
      <c r="A119" s="145" t="s">
        <v>72</v>
      </c>
      <c r="B119" s="8">
        <v>20.8</v>
      </c>
      <c r="C119" s="13" t="s">
        <v>119</v>
      </c>
      <c r="D119" s="8">
        <v>110.6</v>
      </c>
      <c r="E119" s="13" t="s">
        <v>119</v>
      </c>
      <c r="F119" s="20">
        <v>118.4</v>
      </c>
      <c r="G119" s="13" t="s">
        <v>119</v>
      </c>
      <c r="H119" s="21">
        <v>287.10000000000002</v>
      </c>
      <c r="I119" s="13" t="s">
        <v>119</v>
      </c>
      <c r="J119" s="20">
        <v>47.9</v>
      </c>
      <c r="K119" s="14" t="s">
        <v>119</v>
      </c>
      <c r="L119" s="39">
        <v>0</v>
      </c>
      <c r="M119" s="31">
        <v>8</v>
      </c>
      <c r="N119" s="35">
        <f t="shared" si="3"/>
        <v>2</v>
      </c>
      <c r="O119" s="134">
        <v>5</v>
      </c>
      <c r="P119" s="32" t="s">
        <v>143</v>
      </c>
      <c r="Q119" s="148">
        <v>1</v>
      </c>
      <c r="R119" s="47" t="s">
        <v>156</v>
      </c>
      <c r="S119" s="45">
        <f>Grundgesamtheit!I27</f>
        <v>0</v>
      </c>
      <c r="T119" s="54">
        <f>S119/$S$120*100</f>
        <v>0</v>
      </c>
      <c r="V119" s="47" t="s">
        <v>320</v>
      </c>
      <c r="W119" s="118">
        <f>COUNTIF(O114:O128,"&gt;4")</f>
        <v>5</v>
      </c>
    </row>
    <row r="120" spans="1:23" ht="17" thickBot="1" x14ac:dyDescent="0.25">
      <c r="A120" s="8" t="s">
        <v>73</v>
      </c>
      <c r="B120" s="22">
        <v>56</v>
      </c>
      <c r="C120" s="13" t="s">
        <v>119</v>
      </c>
      <c r="D120" s="8">
        <v>163.4</v>
      </c>
      <c r="E120" s="13" t="s">
        <v>119</v>
      </c>
      <c r="F120" s="20">
        <v>111.2</v>
      </c>
      <c r="G120" s="13" t="s">
        <v>119</v>
      </c>
      <c r="H120" s="20">
        <v>313.3</v>
      </c>
      <c r="I120" s="13" t="s">
        <v>119</v>
      </c>
      <c r="J120" s="21">
        <v>29.9</v>
      </c>
      <c r="K120" s="14" t="s">
        <v>119</v>
      </c>
      <c r="L120" s="40">
        <v>1</v>
      </c>
      <c r="M120" s="31">
        <v>9</v>
      </c>
      <c r="N120" s="35">
        <f t="shared" si="3"/>
        <v>2</v>
      </c>
      <c r="O120" s="134">
        <v>5</v>
      </c>
      <c r="P120" s="32" t="s">
        <v>142</v>
      </c>
      <c r="Q120" s="148">
        <v>1</v>
      </c>
      <c r="R120" s="57"/>
      <c r="S120" s="64">
        <f>SUM(S115:S119)</f>
        <v>19</v>
      </c>
      <c r="T120" s="56">
        <f>SUM(T115:T119)</f>
        <v>100</v>
      </c>
    </row>
    <row r="121" spans="1:23" x14ac:dyDescent="0.2">
      <c r="A121" s="8" t="s">
        <v>74</v>
      </c>
      <c r="B121" s="8">
        <v>39.200000000000003</v>
      </c>
      <c r="C121" s="13" t="s">
        <v>119</v>
      </c>
      <c r="D121" s="8">
        <v>135.6</v>
      </c>
      <c r="E121" s="13" t="s">
        <v>119</v>
      </c>
      <c r="F121" s="21">
        <v>78.900000000000006</v>
      </c>
      <c r="G121" s="13" t="s">
        <v>119</v>
      </c>
      <c r="H121" s="8">
        <v>133.6</v>
      </c>
      <c r="I121" s="13"/>
      <c r="J121" s="8">
        <v>13.7</v>
      </c>
      <c r="K121" s="14" t="s">
        <v>118</v>
      </c>
      <c r="L121" s="39">
        <v>0</v>
      </c>
      <c r="M121" s="31">
        <v>2</v>
      </c>
      <c r="N121" s="35">
        <f t="shared" si="3"/>
        <v>1</v>
      </c>
      <c r="O121" s="134">
        <v>2</v>
      </c>
      <c r="P121" s="32" t="s">
        <v>143</v>
      </c>
      <c r="Q121" s="148">
        <v>1</v>
      </c>
    </row>
    <row r="122" spans="1:23" x14ac:dyDescent="0.2">
      <c r="A122" s="8" t="s">
        <v>75</v>
      </c>
      <c r="B122" s="8">
        <v>31.5</v>
      </c>
      <c r="C122" s="13" t="s">
        <v>119</v>
      </c>
      <c r="D122" s="8">
        <v>104.4</v>
      </c>
      <c r="E122" s="13" t="s">
        <v>119</v>
      </c>
      <c r="F122" s="20">
        <v>80.7</v>
      </c>
      <c r="G122" s="13" t="s">
        <v>119</v>
      </c>
      <c r="H122" s="22">
        <v>175.1</v>
      </c>
      <c r="I122" s="13" t="s">
        <v>119</v>
      </c>
      <c r="J122" s="8">
        <v>10.7</v>
      </c>
      <c r="K122" s="14" t="s">
        <v>118</v>
      </c>
      <c r="L122" s="39">
        <v>0</v>
      </c>
      <c r="M122" s="31">
        <v>4</v>
      </c>
      <c r="N122" s="35">
        <f t="shared" si="3"/>
        <v>1</v>
      </c>
      <c r="O122" s="134">
        <v>3</v>
      </c>
      <c r="P122" s="32" t="s">
        <v>142</v>
      </c>
      <c r="Q122" s="148">
        <v>1</v>
      </c>
    </row>
    <row r="123" spans="1:23" x14ac:dyDescent="0.2">
      <c r="A123" s="8" t="s">
        <v>76</v>
      </c>
      <c r="B123" s="22">
        <v>67.2</v>
      </c>
      <c r="C123" s="13" t="s">
        <v>119</v>
      </c>
      <c r="D123" s="8">
        <v>164.4</v>
      </c>
      <c r="E123" s="13" t="s">
        <v>119</v>
      </c>
      <c r="F123" s="21">
        <v>64.400000000000006</v>
      </c>
      <c r="G123" s="13"/>
      <c r="H123" s="8">
        <v>134.5</v>
      </c>
      <c r="I123" s="13"/>
      <c r="J123" s="8">
        <v>13.4</v>
      </c>
      <c r="K123" s="14" t="s">
        <v>118</v>
      </c>
      <c r="L123" s="39">
        <v>0</v>
      </c>
      <c r="M123" s="31">
        <v>3</v>
      </c>
      <c r="N123" s="35">
        <f t="shared" si="3"/>
        <v>1</v>
      </c>
      <c r="O123" s="134">
        <v>1</v>
      </c>
      <c r="P123" s="32" t="s">
        <v>143</v>
      </c>
      <c r="Q123" s="148">
        <v>1</v>
      </c>
    </row>
    <row r="124" spans="1:23" x14ac:dyDescent="0.2">
      <c r="A124" s="8" t="s">
        <v>77</v>
      </c>
      <c r="B124" s="22">
        <v>62.5</v>
      </c>
      <c r="C124" s="13"/>
      <c r="D124" s="8">
        <v>141.5</v>
      </c>
      <c r="E124" s="13" t="s">
        <v>118</v>
      </c>
      <c r="F124" s="20">
        <v>89.6</v>
      </c>
      <c r="G124" s="13"/>
      <c r="H124" s="22">
        <v>153.5</v>
      </c>
      <c r="I124" s="13" t="s">
        <v>118</v>
      </c>
      <c r="J124" s="22">
        <v>22</v>
      </c>
      <c r="K124" s="14" t="s">
        <v>118</v>
      </c>
      <c r="L124" s="39">
        <v>0</v>
      </c>
      <c r="M124" s="31">
        <v>6</v>
      </c>
      <c r="N124" s="35">
        <f t="shared" si="3"/>
        <v>2</v>
      </c>
      <c r="O124" s="134">
        <v>-3</v>
      </c>
      <c r="P124" s="32" t="s">
        <v>143</v>
      </c>
      <c r="Q124" s="148">
        <v>-1</v>
      </c>
    </row>
    <row r="125" spans="1:23" x14ac:dyDescent="0.2">
      <c r="A125" s="8" t="s">
        <v>78</v>
      </c>
      <c r="B125" s="22">
        <v>50.4</v>
      </c>
      <c r="C125" s="13" t="s">
        <v>119</v>
      </c>
      <c r="D125" s="8">
        <v>170</v>
      </c>
      <c r="E125" s="13" t="s">
        <v>119</v>
      </c>
      <c r="F125" s="21">
        <v>71.3</v>
      </c>
      <c r="G125" s="13" t="s">
        <v>119</v>
      </c>
      <c r="H125" s="22">
        <v>216.2</v>
      </c>
      <c r="I125" s="13" t="s">
        <v>119</v>
      </c>
      <c r="J125" s="21">
        <v>26.1</v>
      </c>
      <c r="K125" s="14" t="s">
        <v>119</v>
      </c>
      <c r="L125" s="41">
        <v>2</v>
      </c>
      <c r="M125" s="31">
        <v>6</v>
      </c>
      <c r="N125" s="35">
        <f t="shared" si="3"/>
        <v>2</v>
      </c>
      <c r="O125" s="134">
        <v>5</v>
      </c>
      <c r="P125" s="32" t="s">
        <v>141</v>
      </c>
      <c r="Q125" s="148">
        <v>1</v>
      </c>
    </row>
    <row r="126" spans="1:23" x14ac:dyDescent="0.2">
      <c r="A126" s="8" t="s">
        <v>79</v>
      </c>
      <c r="B126" s="8">
        <v>28.3</v>
      </c>
      <c r="C126" s="13"/>
      <c r="D126" s="8">
        <v>90.7</v>
      </c>
      <c r="E126" s="13"/>
      <c r="F126" s="22">
        <v>54.1</v>
      </c>
      <c r="G126" s="13" t="s">
        <v>119</v>
      </c>
      <c r="H126" s="22">
        <v>211.4</v>
      </c>
      <c r="I126" s="13" t="s">
        <v>119</v>
      </c>
      <c r="J126" s="20">
        <v>40.200000000000003</v>
      </c>
      <c r="K126" s="14" t="s">
        <v>119</v>
      </c>
      <c r="L126" s="39">
        <v>0</v>
      </c>
      <c r="M126" s="31">
        <v>5</v>
      </c>
      <c r="N126" s="35">
        <f t="shared" si="3"/>
        <v>2</v>
      </c>
      <c r="O126" s="134">
        <v>3</v>
      </c>
      <c r="P126" s="32" t="s">
        <v>143</v>
      </c>
      <c r="Q126" s="148">
        <v>1</v>
      </c>
    </row>
    <row r="127" spans="1:23" x14ac:dyDescent="0.2">
      <c r="A127" s="145" t="s">
        <v>80</v>
      </c>
      <c r="B127" s="22">
        <v>71</v>
      </c>
      <c r="C127" s="13" t="s">
        <v>119</v>
      </c>
      <c r="D127" s="8">
        <v>180.7</v>
      </c>
      <c r="E127" s="13" t="s">
        <v>119</v>
      </c>
      <c r="F127" s="20">
        <v>98.4</v>
      </c>
      <c r="G127" s="13" t="s">
        <v>119</v>
      </c>
      <c r="H127" s="22">
        <v>179.3</v>
      </c>
      <c r="I127" s="13"/>
      <c r="J127" s="22">
        <v>20.7</v>
      </c>
      <c r="K127" s="14" t="s">
        <v>118</v>
      </c>
      <c r="L127" s="39">
        <v>0</v>
      </c>
      <c r="M127" s="31">
        <v>6</v>
      </c>
      <c r="N127" s="35">
        <f t="shared" si="3"/>
        <v>2</v>
      </c>
      <c r="O127" s="134">
        <v>2</v>
      </c>
      <c r="P127" s="32" t="s">
        <v>142</v>
      </c>
      <c r="Q127" s="148">
        <v>1</v>
      </c>
    </row>
    <row r="128" spans="1:23" x14ac:dyDescent="0.2">
      <c r="A128" s="145" t="s">
        <v>81</v>
      </c>
      <c r="B128" s="22">
        <v>53.4</v>
      </c>
      <c r="C128" s="13" t="s">
        <v>119</v>
      </c>
      <c r="D128" s="8">
        <v>137.30000000000001</v>
      </c>
      <c r="E128" s="13" t="s">
        <v>119</v>
      </c>
      <c r="F128" s="21">
        <v>75.599999999999994</v>
      </c>
      <c r="G128" s="13" t="s">
        <v>119</v>
      </c>
      <c r="H128" s="8">
        <v>105.7</v>
      </c>
      <c r="I128" s="13" t="s">
        <v>119</v>
      </c>
      <c r="J128" s="8">
        <v>11.8</v>
      </c>
      <c r="K128" s="14" t="s">
        <v>119</v>
      </c>
      <c r="L128" s="39">
        <v>0</v>
      </c>
      <c r="M128" s="31">
        <v>3</v>
      </c>
      <c r="N128" s="35">
        <f t="shared" si="3"/>
        <v>1</v>
      </c>
      <c r="O128" s="134">
        <v>5</v>
      </c>
      <c r="P128" s="32" t="s">
        <v>143</v>
      </c>
      <c r="Q128" s="148">
        <v>1</v>
      </c>
    </row>
    <row r="130" spans="1:15" x14ac:dyDescent="0.2">
      <c r="O130" s="25">
        <f>SUM(O2:O129)</f>
        <v>474</v>
      </c>
    </row>
    <row r="131" spans="1:15" x14ac:dyDescent="0.2">
      <c r="O131" s="27"/>
    </row>
    <row r="132" spans="1:15" x14ac:dyDescent="0.2">
      <c r="A132" t="s">
        <v>133</v>
      </c>
    </row>
    <row r="133" spans="1:15" x14ac:dyDescent="0.2">
      <c r="A133" t="s">
        <v>129</v>
      </c>
    </row>
  </sheetData>
  <phoneticPr fontId="3" type="noConversion"/>
  <pageMargins left="0.75000000000000011" right="0.75000000000000011" top="1" bottom="1" header="0.5" footer="0.5"/>
  <pageSetup paperSize="9" scale="41" fitToHeight="2" orientation="portrait" horizontalDpi="4294967294" verticalDpi="4294967294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29" sqref="H29"/>
    </sheetView>
  </sheetViews>
  <sheetFormatPr baseColWidth="10" defaultRowHeight="16" x14ac:dyDescent="0.2"/>
  <cols>
    <col min="2" max="6" width="14.33203125" customWidth="1"/>
  </cols>
  <sheetData>
    <row r="1" spans="1:8" ht="52" thickBot="1" x14ac:dyDescent="0.25">
      <c r="A1" s="75"/>
      <c r="B1" s="82" t="s">
        <v>31</v>
      </c>
      <c r="C1" s="83" t="s">
        <v>18</v>
      </c>
      <c r="D1" s="83" t="s">
        <v>44</v>
      </c>
      <c r="E1" s="83" t="s">
        <v>61</v>
      </c>
      <c r="F1" s="84" t="s">
        <v>67</v>
      </c>
      <c r="G1" s="77" t="s">
        <v>311</v>
      </c>
    </row>
    <row r="2" spans="1:8" x14ac:dyDescent="0.2">
      <c r="A2" s="69" t="s">
        <v>152</v>
      </c>
      <c r="B2" s="66">
        <f>Tabelle1!S3</f>
        <v>2</v>
      </c>
      <c r="C2" s="67">
        <f>Tabelle1!S29</f>
        <v>2</v>
      </c>
      <c r="D2" s="67">
        <f>Tabelle1!S76</f>
        <v>1</v>
      </c>
      <c r="E2" s="67">
        <f>Tabelle1!S106</f>
        <v>2</v>
      </c>
      <c r="F2" s="68">
        <f>Tabelle1!S115</f>
        <v>0</v>
      </c>
      <c r="G2" s="70">
        <f>SUM(B2:F2)</f>
        <v>7</v>
      </c>
    </row>
    <row r="3" spans="1:8" x14ac:dyDescent="0.2">
      <c r="A3" s="71" t="s">
        <v>153</v>
      </c>
      <c r="B3" s="46">
        <f>Tabelle1!S4</f>
        <v>5</v>
      </c>
      <c r="C3" s="45">
        <f>Tabelle1!S30</f>
        <v>13</v>
      </c>
      <c r="D3" s="45">
        <f>Tabelle1!S77</f>
        <v>10</v>
      </c>
      <c r="E3" s="45">
        <f>Tabelle1!S107</f>
        <v>4</v>
      </c>
      <c r="F3" s="117">
        <f>Tabelle1!S116</f>
        <v>9</v>
      </c>
      <c r="G3" s="72">
        <f t="shared" ref="G3:G6" si="0">SUM(B3:F3)</f>
        <v>41</v>
      </c>
    </row>
    <row r="4" spans="1:8" x14ac:dyDescent="0.2">
      <c r="A4" s="71" t="s">
        <v>154</v>
      </c>
      <c r="B4" s="46">
        <f>Tabelle1!S5</f>
        <v>18</v>
      </c>
      <c r="C4" s="45">
        <f>Tabelle1!S31</f>
        <v>30</v>
      </c>
      <c r="D4" s="45">
        <f>Tabelle1!S78</f>
        <v>18</v>
      </c>
      <c r="E4" s="45">
        <f>Tabelle1!S108</f>
        <v>2</v>
      </c>
      <c r="F4" s="117">
        <f>Tabelle1!S117</f>
        <v>6</v>
      </c>
      <c r="G4" s="72">
        <f t="shared" si="0"/>
        <v>74</v>
      </c>
    </row>
    <row r="5" spans="1:8" x14ac:dyDescent="0.2">
      <c r="A5" s="71" t="s">
        <v>155</v>
      </c>
      <c r="B5" s="46">
        <f>Grundgesamtheit!I10</f>
        <v>7</v>
      </c>
      <c r="C5" s="45">
        <f>Grundgesamtheit!I14</f>
        <v>3</v>
      </c>
      <c r="D5" s="45">
        <f>Grundgesamtheit!I18</f>
        <v>3</v>
      </c>
      <c r="E5" s="45">
        <f>Grundgesamtheit!I22</f>
        <v>7</v>
      </c>
      <c r="F5" s="117">
        <f>Grundgesamtheit!I26</f>
        <v>4</v>
      </c>
      <c r="G5" s="72">
        <f t="shared" si="0"/>
        <v>24</v>
      </c>
    </row>
    <row r="6" spans="1:8" ht="17" thickBot="1" x14ac:dyDescent="0.25">
      <c r="A6" s="73" t="s">
        <v>156</v>
      </c>
      <c r="B6" s="46">
        <f>Grundgesamtheit!I11</f>
        <v>4</v>
      </c>
      <c r="C6" s="45">
        <f>Grundgesamtheit!I15</f>
        <v>1</v>
      </c>
      <c r="D6" s="45">
        <f>Grundgesamtheit!I19</f>
        <v>1</v>
      </c>
      <c r="E6" s="45">
        <f>Grundgesamtheit!I23</f>
        <v>2</v>
      </c>
      <c r="F6" s="117">
        <f>Grundgesamtheit!I27</f>
        <v>0</v>
      </c>
      <c r="G6" s="74">
        <f t="shared" si="0"/>
        <v>8</v>
      </c>
    </row>
    <row r="7" spans="1:8" ht="17" thickBot="1" x14ac:dyDescent="0.25">
      <c r="A7" s="76"/>
      <c r="B7" s="79">
        <f>SUM(B2:B6)</f>
        <v>36</v>
      </c>
      <c r="C7" s="80">
        <f t="shared" ref="C7:F7" si="1">SUM(C2:C6)</f>
        <v>49</v>
      </c>
      <c r="D7" s="80">
        <f t="shared" si="1"/>
        <v>33</v>
      </c>
      <c r="E7" s="80">
        <f t="shared" si="1"/>
        <v>17</v>
      </c>
      <c r="F7" s="81">
        <f t="shared" si="1"/>
        <v>19</v>
      </c>
      <c r="G7" s="78">
        <f>SUM(G2:G6)</f>
        <v>154</v>
      </c>
      <c r="H7" s="96"/>
    </row>
    <row r="9" spans="1:8" ht="17" thickBot="1" x14ac:dyDescent="0.25"/>
    <row r="10" spans="1:8" ht="52" thickBot="1" x14ac:dyDescent="0.25">
      <c r="A10" s="85"/>
      <c r="B10" s="86" t="s">
        <v>31</v>
      </c>
      <c r="C10" s="87" t="s">
        <v>18</v>
      </c>
      <c r="D10" s="87" t="s">
        <v>44</v>
      </c>
      <c r="E10" s="87" t="s">
        <v>61</v>
      </c>
      <c r="F10" s="88" t="s">
        <v>67</v>
      </c>
      <c r="G10" s="89"/>
    </row>
    <row r="11" spans="1:8" x14ac:dyDescent="0.2">
      <c r="A11" s="90" t="s">
        <v>152</v>
      </c>
      <c r="B11" s="97">
        <f>B2/$B$7</f>
        <v>5.5555555555555552E-2</v>
      </c>
      <c r="C11" s="99">
        <f>C2/$C$7</f>
        <v>4.0816326530612242E-2</v>
      </c>
      <c r="D11" s="99">
        <f>D2/$D$7</f>
        <v>3.0303030303030304E-2</v>
      </c>
      <c r="E11" s="99">
        <f>E2/$E$7</f>
        <v>0.11764705882352941</v>
      </c>
      <c r="F11" s="100">
        <f>F2/$F$7</f>
        <v>0</v>
      </c>
      <c r="G11" s="104">
        <f>G2/$G$7</f>
        <v>4.5454545454545456E-2</v>
      </c>
    </row>
    <row r="12" spans="1:8" x14ac:dyDescent="0.2">
      <c r="A12" s="91" t="s">
        <v>153</v>
      </c>
      <c r="B12" s="107">
        <f t="shared" ref="B12:B15" si="2">B3/$B$7</f>
        <v>0.1388888888888889</v>
      </c>
      <c r="C12" s="98">
        <f t="shared" ref="C12:C15" si="3">C3/$C$7</f>
        <v>0.26530612244897961</v>
      </c>
      <c r="D12" s="98">
        <f t="shared" ref="D12:D15" si="4">D3/$D$7</f>
        <v>0.30303030303030304</v>
      </c>
      <c r="E12" s="98">
        <f t="shared" ref="E12:E15" si="5">E3/$E$7</f>
        <v>0.23529411764705882</v>
      </c>
      <c r="F12" s="101">
        <f t="shared" ref="F12:F15" si="6">F3/$F$7</f>
        <v>0.47368421052631576</v>
      </c>
      <c r="G12" s="105">
        <f t="shared" ref="G12:G15" si="7">G3/$G$7</f>
        <v>0.26623376623376621</v>
      </c>
    </row>
    <row r="13" spans="1:8" x14ac:dyDescent="0.2">
      <c r="A13" s="91" t="s">
        <v>154</v>
      </c>
      <c r="B13" s="107">
        <f t="shared" si="2"/>
        <v>0.5</v>
      </c>
      <c r="C13" s="98">
        <f t="shared" si="3"/>
        <v>0.61224489795918369</v>
      </c>
      <c r="D13" s="98">
        <f t="shared" si="4"/>
        <v>0.54545454545454541</v>
      </c>
      <c r="E13" s="98">
        <f t="shared" si="5"/>
        <v>0.11764705882352941</v>
      </c>
      <c r="F13" s="101">
        <f t="shared" si="6"/>
        <v>0.31578947368421051</v>
      </c>
      <c r="G13" s="105">
        <f t="shared" si="7"/>
        <v>0.48051948051948051</v>
      </c>
      <c r="H13" s="126">
        <f>SUM(G13:G15)</f>
        <v>0.68831168831168832</v>
      </c>
    </row>
    <row r="14" spans="1:8" x14ac:dyDescent="0.2">
      <c r="A14" s="91" t="s">
        <v>155</v>
      </c>
      <c r="B14" s="107">
        <f t="shared" si="2"/>
        <v>0.19444444444444445</v>
      </c>
      <c r="C14" s="98">
        <f t="shared" si="3"/>
        <v>6.1224489795918366E-2</v>
      </c>
      <c r="D14" s="98">
        <f t="shared" si="4"/>
        <v>9.0909090909090912E-2</v>
      </c>
      <c r="E14" s="98">
        <f t="shared" si="5"/>
        <v>0.41176470588235292</v>
      </c>
      <c r="F14" s="101">
        <f t="shared" si="6"/>
        <v>0.21052631578947367</v>
      </c>
      <c r="G14" s="105">
        <f t="shared" si="7"/>
        <v>0.15584415584415584</v>
      </c>
    </row>
    <row r="15" spans="1:8" ht="17" thickBot="1" x14ac:dyDescent="0.25">
      <c r="A15" s="93" t="s">
        <v>156</v>
      </c>
      <c r="B15" s="108">
        <f t="shared" si="2"/>
        <v>0.1111111111111111</v>
      </c>
      <c r="C15" s="102">
        <f t="shared" si="3"/>
        <v>2.0408163265306121E-2</v>
      </c>
      <c r="D15" s="102">
        <f t="shared" si="4"/>
        <v>3.0303030303030304E-2</v>
      </c>
      <c r="E15" s="102">
        <f t="shared" si="5"/>
        <v>0.11764705882352941</v>
      </c>
      <c r="F15" s="103">
        <f t="shared" si="6"/>
        <v>0</v>
      </c>
      <c r="G15" s="106">
        <f t="shared" si="7"/>
        <v>5.1948051948051951E-2</v>
      </c>
    </row>
    <row r="16" spans="1:8" ht="17" thickBot="1" x14ac:dyDescent="0.25">
      <c r="A16" s="95"/>
      <c r="B16" s="94">
        <f>SUM(B11:B15)</f>
        <v>1</v>
      </c>
      <c r="C16" s="109">
        <f t="shared" ref="C16:F16" si="8">SUM(C11:C15)</f>
        <v>1</v>
      </c>
      <c r="D16" s="109">
        <f t="shared" si="8"/>
        <v>1</v>
      </c>
      <c r="E16" s="109">
        <f t="shared" si="8"/>
        <v>1</v>
      </c>
      <c r="F16" s="110">
        <f t="shared" si="8"/>
        <v>1</v>
      </c>
      <c r="G16" s="92">
        <f>SUM(G10:G15)</f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4" sqref="C4"/>
    </sheetView>
  </sheetViews>
  <sheetFormatPr baseColWidth="10" defaultRowHeight="16" x14ac:dyDescent="0.2"/>
  <sheetData>
    <row r="1" spans="1:7" ht="52" thickBot="1" x14ac:dyDescent="0.25">
      <c r="A1" s="75"/>
      <c r="B1" s="82" t="s">
        <v>312</v>
      </c>
      <c r="C1" s="83" t="s">
        <v>313</v>
      </c>
      <c r="D1" s="83" t="s">
        <v>314</v>
      </c>
      <c r="E1" s="84" t="s">
        <v>315</v>
      </c>
      <c r="F1" s="77" t="s">
        <v>299</v>
      </c>
    </row>
    <row r="2" spans="1:7" ht="17" thickBot="1" x14ac:dyDescent="0.25">
      <c r="A2" s="69" t="s">
        <v>152</v>
      </c>
      <c r="B2" s="111">
        <f>COUNTIFS(Tabelle1!$N$3:$N$128,3,Tabelle1!$P$3:$P$128,"=H")</f>
        <v>1</v>
      </c>
      <c r="C2" s="111">
        <f>COUNTIFS(Tabelle1!$N$3:$N$128,3,Tabelle1!$P$3:$P$128,"=UM")</f>
        <v>2</v>
      </c>
      <c r="D2" s="111">
        <f>COUNTIFS(Tabelle1!$N$3:$N$128,3,Tabelle1!$P$3:$P$128,"=LM")</f>
        <v>3</v>
      </c>
      <c r="E2" s="111">
        <f>COUNTIFS(Tabelle1!$N$3:$N$128,3,Tabelle1!$P$3:$P$128,"=L")</f>
        <v>1</v>
      </c>
      <c r="F2" s="70">
        <f>SUM(B2:E2)</f>
        <v>7</v>
      </c>
    </row>
    <row r="3" spans="1:7" ht="17" thickBot="1" x14ac:dyDescent="0.25">
      <c r="A3" s="71" t="s">
        <v>153</v>
      </c>
      <c r="B3" s="111">
        <f>COUNTIFS(Tabelle1!$N$3:$N$128,2,Tabelle1!$P$3:$P$128,"=H")</f>
        <v>4</v>
      </c>
      <c r="C3" s="111">
        <f>COUNTIFS(Tabelle1!$N$3:$N$128,2,Tabelle1!$P$3:$P$128,"=UM")</f>
        <v>11</v>
      </c>
      <c r="D3" s="111">
        <f>COUNTIFS(Tabelle1!$N$3:$N$128,2,Tabelle1!$P$3:$P$128,"=LM")</f>
        <v>19</v>
      </c>
      <c r="E3" s="111">
        <f>COUNTIFS(Tabelle1!$N$3:$N$128,2,Tabelle1!$P$3:$P$128,"=L")</f>
        <v>7</v>
      </c>
      <c r="F3" s="72">
        <f>SUM(B3:E3)</f>
        <v>41</v>
      </c>
    </row>
    <row r="4" spans="1:7" x14ac:dyDescent="0.2">
      <c r="A4" s="71" t="s">
        <v>154</v>
      </c>
      <c r="B4" s="111">
        <f>COUNTIFS(Tabelle1!$N$3:$N$128,1,Tabelle1!$P$3:$P$128,"=H")</f>
        <v>3</v>
      </c>
      <c r="C4" s="111">
        <f>COUNTIFS(Tabelle1!$N$3:$N$128,1,Tabelle1!$P$3:$P$128,"=UM")</f>
        <v>31</v>
      </c>
      <c r="D4" s="111">
        <f>COUNTIFS(Tabelle1!$N$3:$N$128,1,Tabelle1!$P$3:$P$128,"=LM")</f>
        <v>17</v>
      </c>
      <c r="E4" s="111">
        <f>COUNTIFS(Tabelle1!$N$3:$N$128,1,Tabelle1!$P$3:$P$128,"=L")</f>
        <v>23</v>
      </c>
      <c r="F4" s="72">
        <f>SUM(B4:E4)</f>
        <v>74</v>
      </c>
    </row>
    <row r="5" spans="1:7" x14ac:dyDescent="0.2">
      <c r="A5" s="71" t="s">
        <v>155</v>
      </c>
      <c r="B5" s="46">
        <f>Grundgesamtheit!I32</f>
        <v>9</v>
      </c>
      <c r="C5" s="45">
        <f>Grundgesamtheit!I36</f>
        <v>8</v>
      </c>
      <c r="D5" s="45">
        <f>Grundgesamtheit!I40</f>
        <v>7</v>
      </c>
      <c r="E5" s="117">
        <f>Grundgesamtheit!I44</f>
        <v>0</v>
      </c>
      <c r="F5" s="72">
        <f>SUM(B5:E5)</f>
        <v>24</v>
      </c>
    </row>
    <row r="6" spans="1:7" ht="17" thickBot="1" x14ac:dyDescent="0.25">
      <c r="A6" s="73" t="s">
        <v>156</v>
      </c>
      <c r="B6" s="47">
        <f>Grundgesamtheit!I33</f>
        <v>5</v>
      </c>
      <c r="C6" s="53">
        <f>Grundgesamtheit!I37</f>
        <v>1</v>
      </c>
      <c r="D6" s="53">
        <f>Grundgesamtheit!I41</f>
        <v>0</v>
      </c>
      <c r="E6" s="118">
        <f>Grundgesamtheit!I45</f>
        <v>2</v>
      </c>
      <c r="F6" s="74">
        <f>SUM(B6:E6)</f>
        <v>8</v>
      </c>
    </row>
    <row r="7" spans="1:7" ht="17" thickBot="1" x14ac:dyDescent="0.25">
      <c r="A7" s="76"/>
      <c r="B7" s="79">
        <f>SUM(B2:B6)</f>
        <v>22</v>
      </c>
      <c r="C7" s="80">
        <f t="shared" ref="C7:E7" si="0">SUM(C2:C6)</f>
        <v>53</v>
      </c>
      <c r="D7" s="80">
        <f t="shared" si="0"/>
        <v>46</v>
      </c>
      <c r="E7" s="81">
        <f t="shared" si="0"/>
        <v>33</v>
      </c>
      <c r="F7" s="78">
        <f>SUM(F2:F6)</f>
        <v>154</v>
      </c>
      <c r="G7" s="96"/>
    </row>
    <row r="9" spans="1:7" ht="17" thickBot="1" x14ac:dyDescent="0.25"/>
    <row r="10" spans="1:7" ht="52" thickBot="1" x14ac:dyDescent="0.25">
      <c r="A10" s="75"/>
      <c r="B10" s="82" t="s">
        <v>312</v>
      </c>
      <c r="C10" s="83" t="s">
        <v>313</v>
      </c>
      <c r="D10" s="83" t="s">
        <v>314</v>
      </c>
      <c r="E10" s="84" t="s">
        <v>315</v>
      </c>
      <c r="F10" s="77" t="s">
        <v>299</v>
      </c>
    </row>
    <row r="11" spans="1:7" x14ac:dyDescent="0.2">
      <c r="A11" s="69" t="s">
        <v>152</v>
      </c>
      <c r="B11" s="112">
        <f t="shared" ref="B11:F11" si="1">B2/B$7*100</f>
        <v>4.5454545454545459</v>
      </c>
      <c r="C11" s="119">
        <f t="shared" si="1"/>
        <v>3.7735849056603774</v>
      </c>
      <c r="D11" s="119">
        <f t="shared" si="1"/>
        <v>6.5217391304347823</v>
      </c>
      <c r="E11" s="120">
        <f t="shared" si="1"/>
        <v>3.0303030303030303</v>
      </c>
      <c r="F11" s="113">
        <f t="shared" si="1"/>
        <v>4.5454545454545459</v>
      </c>
    </row>
    <row r="12" spans="1:7" x14ac:dyDescent="0.2">
      <c r="A12" s="71" t="s">
        <v>153</v>
      </c>
      <c r="B12" s="122">
        <f t="shared" ref="B12:F12" si="2">B3/B$7*100</f>
        <v>18.181818181818183</v>
      </c>
      <c r="C12" s="116">
        <f t="shared" si="2"/>
        <v>20.754716981132077</v>
      </c>
      <c r="D12" s="116">
        <f t="shared" si="2"/>
        <v>41.304347826086953</v>
      </c>
      <c r="E12" s="52">
        <f t="shared" si="2"/>
        <v>21.212121212121211</v>
      </c>
      <c r="F12" s="114">
        <f t="shared" si="2"/>
        <v>26.623376623376622</v>
      </c>
    </row>
    <row r="13" spans="1:7" x14ac:dyDescent="0.2">
      <c r="A13" s="71" t="s">
        <v>154</v>
      </c>
      <c r="B13" s="122">
        <f t="shared" ref="B13:F13" si="3">B4/B$7*100</f>
        <v>13.636363636363635</v>
      </c>
      <c r="C13" s="116">
        <f t="shared" si="3"/>
        <v>58.490566037735846</v>
      </c>
      <c r="D13" s="116">
        <f t="shared" si="3"/>
        <v>36.95652173913043</v>
      </c>
      <c r="E13" s="52">
        <f t="shared" si="3"/>
        <v>69.696969696969703</v>
      </c>
      <c r="F13" s="114">
        <f t="shared" si="3"/>
        <v>48.051948051948052</v>
      </c>
    </row>
    <row r="14" spans="1:7" x14ac:dyDescent="0.2">
      <c r="A14" s="71" t="s">
        <v>155</v>
      </c>
      <c r="B14" s="122">
        <f>B5/B$7*100</f>
        <v>40.909090909090914</v>
      </c>
      <c r="C14" s="116">
        <f t="shared" ref="C14:F14" si="4">C5/C$7*100</f>
        <v>15.09433962264151</v>
      </c>
      <c r="D14" s="116">
        <f t="shared" si="4"/>
        <v>15.217391304347828</v>
      </c>
      <c r="E14" s="52">
        <f t="shared" si="4"/>
        <v>0</v>
      </c>
      <c r="F14" s="114">
        <f t="shared" si="4"/>
        <v>15.584415584415584</v>
      </c>
    </row>
    <row r="15" spans="1:7" ht="17" thickBot="1" x14ac:dyDescent="0.25">
      <c r="A15" s="73" t="s">
        <v>156</v>
      </c>
      <c r="B15" s="123">
        <f t="shared" ref="B15:F15" si="5">B6/B$7*100</f>
        <v>22.727272727272727</v>
      </c>
      <c r="C15" s="121">
        <f t="shared" si="5"/>
        <v>1.8867924528301887</v>
      </c>
      <c r="D15" s="121">
        <f t="shared" si="5"/>
        <v>0</v>
      </c>
      <c r="E15" s="54">
        <f t="shared" si="5"/>
        <v>6.0606060606060606</v>
      </c>
      <c r="F15" s="115">
        <f t="shared" si="5"/>
        <v>5.1948051948051948</v>
      </c>
    </row>
    <row r="16" spans="1:7" ht="17" thickBot="1" x14ac:dyDescent="0.25">
      <c r="A16" s="76"/>
      <c r="B16" s="79">
        <f>SUM(B11:B15)</f>
        <v>100</v>
      </c>
      <c r="C16" s="80">
        <f t="shared" ref="C16" si="6">SUM(C11:C15)</f>
        <v>100.00000000000001</v>
      </c>
      <c r="D16" s="80">
        <f t="shared" ref="D16" si="7">SUM(D11:D15)</f>
        <v>99.999999999999986</v>
      </c>
      <c r="E16" s="81">
        <f t="shared" ref="E16" si="8">SUM(E11:E15)</f>
        <v>100</v>
      </c>
      <c r="F16" s="78">
        <f>SUM(F11:F15)</f>
        <v>100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4" sqref="A2:B4"/>
    </sheetView>
  </sheetViews>
  <sheetFormatPr baseColWidth="10" defaultRowHeight="16" x14ac:dyDescent="0.2"/>
  <cols>
    <col min="1" max="1" width="13" customWidth="1"/>
  </cols>
  <sheetData>
    <row r="1" spans="1:5" ht="17" thickBot="1" x14ac:dyDescent="0.25">
      <c r="A1" s="75"/>
      <c r="B1" s="130" t="s">
        <v>311</v>
      </c>
    </row>
    <row r="2" spans="1:5" x14ac:dyDescent="0.2">
      <c r="A2" s="90" t="s">
        <v>152</v>
      </c>
      <c r="B2" s="127">
        <f>'Abbildung 1'!G2</f>
        <v>7</v>
      </c>
      <c r="E2" s="126">
        <f>B2/$C$4</f>
        <v>5.737704918032787E-2</v>
      </c>
    </row>
    <row r="3" spans="1:5" x14ac:dyDescent="0.2">
      <c r="A3" s="131" t="s">
        <v>153</v>
      </c>
      <c r="B3" s="128">
        <f>'Abbildung 1'!G3</f>
        <v>41</v>
      </c>
      <c r="E3" s="126">
        <f t="shared" ref="E3:E4" si="0">B3/$C$4</f>
        <v>0.33606557377049179</v>
      </c>
    </row>
    <row r="4" spans="1:5" x14ac:dyDescent="0.2">
      <c r="A4" s="131" t="s">
        <v>154</v>
      </c>
      <c r="B4" s="128">
        <f>'Abbildung 1'!G4</f>
        <v>74</v>
      </c>
      <c r="C4">
        <f>SUM(B2:B4)</f>
        <v>122</v>
      </c>
      <c r="D4">
        <f>C4/C6</f>
        <v>0.79220779220779225</v>
      </c>
      <c r="E4" s="126">
        <f t="shared" si="0"/>
        <v>0.60655737704918034</v>
      </c>
    </row>
    <row r="5" spans="1:5" x14ac:dyDescent="0.2">
      <c r="A5" s="131" t="s">
        <v>155</v>
      </c>
      <c r="B5" s="128">
        <f>'Abbildung 1'!G5</f>
        <v>24</v>
      </c>
    </row>
    <row r="6" spans="1:5" ht="17" thickBot="1" x14ac:dyDescent="0.25">
      <c r="A6" s="132" t="s">
        <v>156</v>
      </c>
      <c r="B6" s="129">
        <f>'Abbildung 1'!G6</f>
        <v>8</v>
      </c>
      <c r="C6">
        <f>SUM(B2:B6)</f>
        <v>154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C15" sqref="C15"/>
    </sheetView>
  </sheetViews>
  <sheetFormatPr baseColWidth="10" defaultRowHeight="16" x14ac:dyDescent="0.2"/>
  <cols>
    <col min="1" max="1" width="17.1640625" customWidth="1"/>
    <col min="2" max="7" width="13.83203125" customWidth="1"/>
  </cols>
  <sheetData>
    <row r="1" spans="1:8" ht="52" thickBot="1" x14ac:dyDescent="0.25">
      <c r="A1" s="75"/>
      <c r="B1" s="82" t="s">
        <v>31</v>
      </c>
      <c r="C1" s="83" t="s">
        <v>18</v>
      </c>
      <c r="D1" s="83" t="s">
        <v>44</v>
      </c>
      <c r="E1" s="83" t="s">
        <v>61</v>
      </c>
      <c r="F1" s="83" t="s">
        <v>67</v>
      </c>
      <c r="G1" s="84" t="s">
        <v>321</v>
      </c>
    </row>
    <row r="2" spans="1:8" x14ac:dyDescent="0.2">
      <c r="A2" s="69" t="s">
        <v>317</v>
      </c>
      <c r="B2" s="66">
        <f>Tabelle1!W3</f>
        <v>16</v>
      </c>
      <c r="C2" s="67">
        <f>Tabelle1!W29</f>
        <v>35</v>
      </c>
      <c r="D2" s="67">
        <f>Tabelle1!W76</f>
        <v>19</v>
      </c>
      <c r="E2" s="67">
        <f>Tabelle1!W106</f>
        <v>8</v>
      </c>
      <c r="F2" s="67">
        <f>Tabelle1!W115</f>
        <v>12</v>
      </c>
      <c r="G2" s="68">
        <f>SUM(B2:F2)</f>
        <v>90</v>
      </c>
    </row>
    <row r="3" spans="1:8" x14ac:dyDescent="0.2">
      <c r="A3" s="71" t="s">
        <v>318</v>
      </c>
      <c r="B3" s="46">
        <f>Tabelle1!W4</f>
        <v>2</v>
      </c>
      <c r="C3" s="45">
        <f>Tabelle1!W30</f>
        <v>6</v>
      </c>
      <c r="D3" s="45">
        <f>Tabelle1!W77</f>
        <v>1</v>
      </c>
      <c r="E3" s="45">
        <f>Tabelle1!W107</f>
        <v>0</v>
      </c>
      <c r="F3" s="45">
        <f>Tabelle1!W116</f>
        <v>0</v>
      </c>
      <c r="G3" s="117">
        <f t="shared" ref="G3:G6" si="0">SUM(B3:F3)</f>
        <v>9</v>
      </c>
    </row>
    <row r="4" spans="1:8" x14ac:dyDescent="0.2">
      <c r="A4" s="71" t="s">
        <v>316</v>
      </c>
      <c r="B4" s="46">
        <f>Tabelle1!W5</f>
        <v>7</v>
      </c>
      <c r="C4" s="45">
        <f>Tabelle1!W31</f>
        <v>4</v>
      </c>
      <c r="D4" s="45">
        <f>Tabelle1!W78</f>
        <v>9</v>
      </c>
      <c r="E4" s="45">
        <f>Tabelle1!W108</f>
        <v>0</v>
      </c>
      <c r="F4" s="45">
        <f>Tabelle1!W117</f>
        <v>3</v>
      </c>
      <c r="G4" s="117">
        <f t="shared" si="0"/>
        <v>23</v>
      </c>
      <c r="H4">
        <f>SUM(G2:G4)</f>
        <v>122</v>
      </c>
    </row>
    <row r="5" spans="1:8" x14ac:dyDescent="0.2">
      <c r="A5" s="71" t="s">
        <v>319</v>
      </c>
      <c r="B5" s="46">
        <f>Tabelle1!W6</f>
        <v>4</v>
      </c>
      <c r="C5" s="45">
        <f>Tabelle1!W32</f>
        <v>23</v>
      </c>
      <c r="D5" s="45">
        <f>Tabelle1!W79</f>
        <v>5</v>
      </c>
      <c r="E5" s="45">
        <f>Tabelle1!W109</f>
        <v>4</v>
      </c>
      <c r="F5" s="45">
        <f>Tabelle1!W118</f>
        <v>6</v>
      </c>
      <c r="G5" s="117">
        <f t="shared" si="0"/>
        <v>42</v>
      </c>
    </row>
    <row r="6" spans="1:8" ht="17" thickBot="1" x14ac:dyDescent="0.25">
      <c r="A6" s="73" t="s">
        <v>320</v>
      </c>
      <c r="B6" s="47">
        <f>Tabelle1!W7</f>
        <v>1</v>
      </c>
      <c r="C6" s="53">
        <f>Tabelle1!W33</f>
        <v>18</v>
      </c>
      <c r="D6" s="53">
        <f>Tabelle1!W80</f>
        <v>4</v>
      </c>
      <c r="E6" s="53">
        <f>Tabelle1!W110</f>
        <v>3</v>
      </c>
      <c r="F6" s="53">
        <f>Tabelle1!W119</f>
        <v>5</v>
      </c>
      <c r="G6" s="118">
        <f t="shared" si="0"/>
        <v>31</v>
      </c>
    </row>
    <row r="9" spans="1:8" ht="17" thickBot="1" x14ac:dyDescent="0.25"/>
    <row r="10" spans="1:8" ht="18" thickBot="1" x14ac:dyDescent="0.25">
      <c r="A10" s="75"/>
      <c r="B10" s="84" t="s">
        <v>321</v>
      </c>
    </row>
    <row r="11" spans="1:8" ht="17" thickBot="1" x14ac:dyDescent="0.25">
      <c r="A11" s="69" t="s">
        <v>317</v>
      </c>
      <c r="B11" s="68">
        <f>G2</f>
        <v>90</v>
      </c>
      <c r="C11" s="126">
        <f t="shared" ref="C11:C13" si="1">B11/123</f>
        <v>0.73170731707317072</v>
      </c>
    </row>
    <row r="12" spans="1:8" ht="17" thickBot="1" x14ac:dyDescent="0.25">
      <c r="A12" s="71" t="s">
        <v>318</v>
      </c>
      <c r="B12" s="68">
        <f t="shared" ref="B12:B15" si="2">G3</f>
        <v>9</v>
      </c>
      <c r="C12" s="126">
        <f t="shared" si="1"/>
        <v>7.3170731707317069E-2</v>
      </c>
    </row>
    <row r="13" spans="1:8" ht="17" thickBot="1" x14ac:dyDescent="0.25">
      <c r="A13" s="71" t="s">
        <v>316</v>
      </c>
      <c r="B13" s="68">
        <f t="shared" si="2"/>
        <v>23</v>
      </c>
      <c r="C13" s="126">
        <f t="shared" si="1"/>
        <v>0.18699186991869918</v>
      </c>
    </row>
    <row r="14" spans="1:8" ht="17" thickBot="1" x14ac:dyDescent="0.25">
      <c r="A14" s="71" t="s">
        <v>319</v>
      </c>
      <c r="B14" s="68">
        <f t="shared" si="2"/>
        <v>42</v>
      </c>
      <c r="C14" s="126">
        <f>B14/123</f>
        <v>0.34146341463414637</v>
      </c>
    </row>
    <row r="15" spans="1:8" ht="17" thickBot="1" x14ac:dyDescent="0.25">
      <c r="A15" s="73" t="s">
        <v>320</v>
      </c>
      <c r="B15" s="68">
        <f t="shared" si="2"/>
        <v>31</v>
      </c>
      <c r="C15" s="126">
        <f>B15/123</f>
        <v>0.25203252032520324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G10" sqref="G10"/>
    </sheetView>
  </sheetViews>
  <sheetFormatPr baseColWidth="10" defaultRowHeight="16" x14ac:dyDescent="0.2"/>
  <sheetData>
    <row r="1" spans="1:7" ht="52" thickBot="1" x14ac:dyDescent="0.25">
      <c r="A1" s="85"/>
      <c r="B1" s="86" t="s">
        <v>312</v>
      </c>
      <c r="C1" s="87" t="s">
        <v>313</v>
      </c>
      <c r="D1" s="87" t="s">
        <v>314</v>
      </c>
      <c r="E1" s="88" t="s">
        <v>315</v>
      </c>
      <c r="F1" s="89" t="s">
        <v>299</v>
      </c>
    </row>
    <row r="2" spans="1:7" ht="17" thickBot="1" x14ac:dyDescent="0.25">
      <c r="A2" s="69" t="s">
        <v>317</v>
      </c>
      <c r="B2" s="111">
        <f>COUNTIFS(Tabelle1!$Q$3:$Q$128,1,Tabelle1!$P$3:$P$128,"=H")</f>
        <v>5</v>
      </c>
      <c r="C2" s="111">
        <f>COUNTIFS(Tabelle1!$Q$3:$Q$128,1,Tabelle1!$P$3:$P$128,"=UM")</f>
        <v>29</v>
      </c>
      <c r="D2" s="111">
        <f>COUNTIFS(Tabelle1!$Q$3:$Q$128,1,Tabelle1!$P$3:$P$128,"=LM")</f>
        <v>33</v>
      </c>
      <c r="E2" s="111">
        <f>COUNTIFS(Tabelle1!$Q$3:$Q$128,1,Tabelle1!$P$3:$P$128,"=L")</f>
        <v>23</v>
      </c>
      <c r="F2" s="141">
        <f t="shared" ref="F2:F3" si="0">SUM(B2:E2)</f>
        <v>90</v>
      </c>
    </row>
    <row r="3" spans="1:7" ht="17" thickBot="1" x14ac:dyDescent="0.25">
      <c r="A3" s="71" t="s">
        <v>318</v>
      </c>
      <c r="B3" s="111">
        <f>COUNTIFS(Tabelle1!$Q$3:$Q$128,0,Tabelle1!$P$3:$P$128,"=H")</f>
        <v>2</v>
      </c>
      <c r="C3" s="111">
        <f>COUNTIFS(Tabelle1!$Q$3:$Q$128,0,Tabelle1!$P$3:$P$128,"=UM")</f>
        <v>2</v>
      </c>
      <c r="D3" s="111">
        <f>COUNTIFS(Tabelle1!$Q$3:$Q$128,0,Tabelle1!$P$3:$P$128,"=LM")</f>
        <v>2</v>
      </c>
      <c r="E3" s="111">
        <f>COUNTIFS(Tabelle1!$Q$3:$Q$128,0,Tabelle1!$P$3:$P$128,"=L")</f>
        <v>3</v>
      </c>
      <c r="F3" s="141">
        <f t="shared" si="0"/>
        <v>9</v>
      </c>
    </row>
    <row r="4" spans="1:7" ht="17" thickBot="1" x14ac:dyDescent="0.25">
      <c r="A4" s="71" t="s">
        <v>316</v>
      </c>
      <c r="B4" s="111">
        <f>COUNTIFS(Tabelle1!$Q$3:$Q$128,-1,Tabelle1!$P$3:$P$128,"=H")</f>
        <v>1</v>
      </c>
      <c r="C4" s="111">
        <f>COUNTIFS(Tabelle1!$Q$3:$Q$128,-1,Tabelle1!$P$3:$P$128,"=UM")</f>
        <v>13</v>
      </c>
      <c r="D4" s="111">
        <f>COUNTIFS(Tabelle1!$Q$3:$Q$128,-1,Tabelle1!$P$3:$P$128,"=LM")</f>
        <v>4</v>
      </c>
      <c r="E4" s="111">
        <f>COUNTIFS(Tabelle1!$Q$3:$Q$128,-1,Tabelle1!$P$3:$P$128,"=L")</f>
        <v>5</v>
      </c>
      <c r="F4" s="141">
        <f>SUM(B4:E4)</f>
        <v>23</v>
      </c>
      <c r="G4">
        <f>SUM(F2:F4)</f>
        <v>122</v>
      </c>
    </row>
    <row r="5" spans="1:7" ht="17" thickBot="1" x14ac:dyDescent="0.25">
      <c r="A5" s="71" t="s">
        <v>319</v>
      </c>
      <c r="B5" s="111">
        <f>COUNTIFS(Tabelle1!$O$3:$O$128,"&gt;3",Tabelle1!$P$3:$P$128,"=H")</f>
        <v>0</v>
      </c>
      <c r="C5" s="111">
        <f>COUNTIFS(Tabelle1!$O$3:$O$128,"&gt;3",Tabelle1!$P$3:$P$128,"=UM")</f>
        <v>9</v>
      </c>
      <c r="D5" s="111">
        <f>COUNTIFS(Tabelle1!$O$3:$O$128,"&gt;3",Tabelle1!$P$3:$P$128,"=LM")</f>
        <v>16</v>
      </c>
      <c r="E5" s="111">
        <f>COUNTIFS(Tabelle1!$O$3:$O$128,"&gt;3",Tabelle1!$P$3:$P$128,"=L")</f>
        <v>17</v>
      </c>
      <c r="F5" s="141">
        <f t="shared" ref="F5:F6" si="1">SUM(B5:E5)</f>
        <v>42</v>
      </c>
    </row>
    <row r="6" spans="1:7" ht="17" thickBot="1" x14ac:dyDescent="0.25">
      <c r="A6" s="73" t="s">
        <v>320</v>
      </c>
      <c r="B6" s="111">
        <f>COUNTIFS(Tabelle1!$O$3:$O$128,"&gt;4",Tabelle1!$P$3:$P$128,"=H")</f>
        <v>0</v>
      </c>
      <c r="C6" s="111">
        <f>COUNTIFS(Tabelle1!$O$3:$O$128,"&gt;4",Tabelle1!$P$3:$P$128,"=UM")</f>
        <v>7</v>
      </c>
      <c r="D6" s="111">
        <f>COUNTIFS(Tabelle1!$O$3:$O$128,"&gt;4",Tabelle1!$P$3:$P$128,"=LM")</f>
        <v>11</v>
      </c>
      <c r="E6" s="111">
        <f>COUNTIFS(Tabelle1!$O$3:$O$128,"&gt;4",Tabelle1!$P$3:$P$128,"=L")</f>
        <v>13</v>
      </c>
      <c r="F6" s="141">
        <f t="shared" si="1"/>
        <v>31</v>
      </c>
    </row>
    <row r="7" spans="1:7" ht="17" thickBot="1" x14ac:dyDescent="0.25">
      <c r="A7" s="95"/>
      <c r="B7" s="94">
        <v>22</v>
      </c>
      <c r="C7" s="142">
        <v>53</v>
      </c>
      <c r="D7" s="142">
        <v>46</v>
      </c>
      <c r="E7" s="143">
        <v>33</v>
      </c>
      <c r="F7" s="9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7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baseColWidth="10" defaultRowHeight="16" x14ac:dyDescent="0.2"/>
  <cols>
    <col min="2" max="2" width="12" customWidth="1"/>
  </cols>
  <sheetData>
    <row r="1" spans="1:14" x14ac:dyDescent="0.2">
      <c r="A1" s="48"/>
      <c r="B1" s="48" t="s">
        <v>301</v>
      </c>
      <c r="C1" s="48" t="s">
        <v>302</v>
      </c>
      <c r="D1" s="48" t="s">
        <v>157</v>
      </c>
      <c r="E1" s="48" t="s">
        <v>158</v>
      </c>
      <c r="F1" s="48" t="s">
        <v>303</v>
      </c>
      <c r="G1" s="48" t="s">
        <v>149</v>
      </c>
      <c r="H1" s="48"/>
      <c r="I1" s="48"/>
    </row>
    <row r="2" spans="1:14" x14ac:dyDescent="0.2">
      <c r="A2" s="48" t="s">
        <v>0</v>
      </c>
      <c r="B2" s="48">
        <v>1</v>
      </c>
      <c r="C2" s="48"/>
      <c r="D2" s="48"/>
      <c r="E2" s="48"/>
      <c r="F2" s="48"/>
      <c r="G2" s="48"/>
      <c r="H2" s="48" t="s">
        <v>305</v>
      </c>
      <c r="I2" s="48" t="s">
        <v>306</v>
      </c>
    </row>
    <row r="3" spans="1:14" x14ac:dyDescent="0.2">
      <c r="A3" s="48" t="s">
        <v>159</v>
      </c>
      <c r="B3" s="48">
        <v>1</v>
      </c>
      <c r="C3" s="48"/>
      <c r="D3" s="48"/>
      <c r="E3" s="48"/>
      <c r="F3" s="48"/>
      <c r="G3" s="48"/>
      <c r="H3" s="48" t="s">
        <v>307</v>
      </c>
      <c r="I3" s="48" t="s">
        <v>18</v>
      </c>
    </row>
    <row r="4" spans="1:14" x14ac:dyDescent="0.2">
      <c r="A4" s="50" t="s">
        <v>160</v>
      </c>
      <c r="B4" s="50"/>
      <c r="C4" s="50">
        <v>1</v>
      </c>
      <c r="D4" s="50"/>
      <c r="E4" s="50"/>
      <c r="F4" s="50" t="s">
        <v>304</v>
      </c>
      <c r="G4" s="50" t="s">
        <v>143</v>
      </c>
      <c r="H4" s="48" t="s">
        <v>309</v>
      </c>
      <c r="I4" s="48" t="s">
        <v>308</v>
      </c>
    </row>
    <row r="5" spans="1:14" x14ac:dyDescent="0.2">
      <c r="A5" s="48" t="s">
        <v>90</v>
      </c>
      <c r="B5" s="48">
        <v>1</v>
      </c>
      <c r="C5" s="48"/>
      <c r="D5" s="48"/>
      <c r="E5" s="48"/>
      <c r="F5" s="48"/>
      <c r="G5" s="48"/>
      <c r="H5" s="48" t="s">
        <v>304</v>
      </c>
      <c r="I5" s="48" t="s">
        <v>61</v>
      </c>
    </row>
    <row r="6" spans="1:14" x14ac:dyDescent="0.2">
      <c r="A6" s="48" t="s">
        <v>161</v>
      </c>
      <c r="B6" s="48">
        <v>1</v>
      </c>
      <c r="C6" s="48"/>
      <c r="D6" s="48"/>
      <c r="E6" s="48"/>
      <c r="F6" s="48"/>
      <c r="G6" s="48"/>
      <c r="H6" s="48" t="s">
        <v>310</v>
      </c>
      <c r="I6" s="48" t="s">
        <v>67</v>
      </c>
    </row>
    <row r="7" spans="1:14" x14ac:dyDescent="0.2">
      <c r="A7" s="48" t="s">
        <v>162</v>
      </c>
      <c r="B7" s="48">
        <v>1</v>
      </c>
      <c r="C7" s="48"/>
      <c r="D7" s="48"/>
      <c r="E7" s="48"/>
      <c r="F7" s="48"/>
      <c r="G7" s="48"/>
      <c r="H7" s="48"/>
      <c r="I7" s="48"/>
    </row>
    <row r="8" spans="1:14" x14ac:dyDescent="0.2">
      <c r="A8" s="48" t="s">
        <v>163</v>
      </c>
      <c r="B8" s="48">
        <v>1</v>
      </c>
      <c r="C8" s="48"/>
      <c r="D8" s="48"/>
      <c r="E8" s="48"/>
      <c r="F8" s="48"/>
      <c r="G8" s="48"/>
      <c r="H8" s="48"/>
      <c r="I8" s="48"/>
    </row>
    <row r="9" spans="1:14" x14ac:dyDescent="0.2">
      <c r="A9" s="50" t="s">
        <v>164</v>
      </c>
      <c r="B9" s="50"/>
      <c r="C9" s="50">
        <v>1</v>
      </c>
      <c r="D9" s="50"/>
      <c r="E9" s="50"/>
      <c r="F9" s="50" t="s">
        <v>309</v>
      </c>
      <c r="G9" s="50" t="s">
        <v>144</v>
      </c>
      <c r="H9" s="48" t="s">
        <v>306</v>
      </c>
      <c r="I9" s="48"/>
      <c r="K9">
        <f>COUNTIF($F$2:$F$195,"=SAP")</f>
        <v>11</v>
      </c>
      <c r="M9" t="s">
        <v>324</v>
      </c>
      <c r="N9">
        <f>I10+I14+I18+I22+I26</f>
        <v>24</v>
      </c>
    </row>
    <row r="10" spans="1:14" x14ac:dyDescent="0.2">
      <c r="A10" s="49" t="s">
        <v>165</v>
      </c>
      <c r="B10" s="49"/>
      <c r="C10" s="49"/>
      <c r="D10" s="49">
        <v>1</v>
      </c>
      <c r="E10" s="49"/>
      <c r="F10" s="49"/>
      <c r="G10" s="48"/>
      <c r="H10" s="48" t="s">
        <v>302</v>
      </c>
      <c r="I10" s="48">
        <f>COUNTIFS($F$2:$F$195,"=SAP",$C$2:$C$195,"=1")</f>
        <v>7</v>
      </c>
      <c r="M10" t="s">
        <v>323</v>
      </c>
      <c r="N10">
        <f>I11+I15+I19+I23+I27</f>
        <v>8</v>
      </c>
    </row>
    <row r="11" spans="1:14" x14ac:dyDescent="0.2">
      <c r="A11" s="49" t="s">
        <v>166</v>
      </c>
      <c r="B11" s="49"/>
      <c r="C11" s="49"/>
      <c r="D11" s="49">
        <v>1</v>
      </c>
      <c r="E11" s="49"/>
      <c r="F11" s="49"/>
      <c r="G11" s="48"/>
      <c r="H11" s="48" t="s">
        <v>158</v>
      </c>
      <c r="I11" s="48">
        <f>COUNTIFS($F$2:$F$195,"=SAP",$E$2:$E$195,"=1")</f>
        <v>4</v>
      </c>
      <c r="N11">
        <f>SUM(N9:N10)</f>
        <v>32</v>
      </c>
    </row>
    <row r="12" spans="1:14" x14ac:dyDescent="0.2">
      <c r="A12" s="48" t="s">
        <v>167</v>
      </c>
      <c r="B12" s="48">
        <v>1</v>
      </c>
      <c r="C12" s="48"/>
      <c r="D12" s="48"/>
      <c r="E12" s="48"/>
      <c r="F12" s="48"/>
      <c r="G12" s="48"/>
      <c r="H12" s="48"/>
      <c r="I12" s="48"/>
    </row>
    <row r="13" spans="1:14" x14ac:dyDescent="0.2">
      <c r="A13" s="48" t="s">
        <v>168</v>
      </c>
      <c r="B13" s="48">
        <v>1</v>
      </c>
      <c r="C13" s="48"/>
      <c r="D13" s="48"/>
      <c r="E13" s="48"/>
      <c r="F13" s="48"/>
      <c r="G13" s="48"/>
      <c r="H13" s="48" t="s">
        <v>18</v>
      </c>
      <c r="I13" s="48"/>
      <c r="K13">
        <f>COUNTIF($F$2:$F$195,"=SSA")</f>
        <v>4</v>
      </c>
    </row>
    <row r="14" spans="1:14" x14ac:dyDescent="0.2">
      <c r="A14" s="48" t="s">
        <v>123</v>
      </c>
      <c r="B14" s="48">
        <v>1</v>
      </c>
      <c r="C14" s="48"/>
      <c r="D14" s="48"/>
      <c r="E14" s="48"/>
      <c r="F14" s="48"/>
      <c r="G14" s="48"/>
      <c r="H14" s="48" t="s">
        <v>302</v>
      </c>
      <c r="I14" s="48">
        <f>COUNTIFS($F$2:$F$195,"=SSA",$C$2:$C$195,"=1")</f>
        <v>3</v>
      </c>
    </row>
    <row r="15" spans="1:14" x14ac:dyDescent="0.2">
      <c r="A15" s="48" t="s">
        <v>169</v>
      </c>
      <c r="B15" s="48">
        <v>1</v>
      </c>
      <c r="C15" s="48"/>
      <c r="D15" s="48"/>
      <c r="E15" s="48"/>
      <c r="F15" s="48"/>
      <c r="G15" s="48"/>
      <c r="H15" s="48" t="s">
        <v>158</v>
      </c>
      <c r="I15" s="48">
        <f>COUNTIFS($F$2:$F$195,"=SSA",$E$2:$E$195,"=1")</f>
        <v>1</v>
      </c>
    </row>
    <row r="16" spans="1:14" x14ac:dyDescent="0.2">
      <c r="A16" s="48" t="s">
        <v>140</v>
      </c>
      <c r="B16" s="48">
        <v>1</v>
      </c>
      <c r="C16" s="48"/>
      <c r="D16" s="48"/>
      <c r="E16" s="48"/>
      <c r="F16" s="48"/>
      <c r="G16" s="48"/>
      <c r="H16" s="48"/>
      <c r="I16" s="48"/>
    </row>
    <row r="17" spans="1:11" x14ac:dyDescent="0.2">
      <c r="A17" s="48" t="s">
        <v>170</v>
      </c>
      <c r="B17" s="48">
        <v>1</v>
      </c>
      <c r="C17" s="48"/>
      <c r="D17" s="48"/>
      <c r="E17" s="48"/>
      <c r="F17" s="48"/>
      <c r="G17" s="48"/>
      <c r="H17" s="48" t="s">
        <v>308</v>
      </c>
      <c r="I17" s="48"/>
      <c r="K17">
        <f>COUNTIF($F$2:$F$195,"=LAK")</f>
        <v>4</v>
      </c>
    </row>
    <row r="18" spans="1:11" x14ac:dyDescent="0.2">
      <c r="A18" s="49" t="s">
        <v>171</v>
      </c>
      <c r="B18" s="49"/>
      <c r="C18" s="49"/>
      <c r="D18" s="49">
        <v>1</v>
      </c>
      <c r="E18" s="49"/>
      <c r="F18" s="49"/>
      <c r="G18" s="48"/>
      <c r="H18" s="48" t="s">
        <v>302</v>
      </c>
      <c r="I18" s="48">
        <f>COUNTIFS($F$2:$F$195,"=LAK",$C$2:$C$195,"=1")</f>
        <v>3</v>
      </c>
    </row>
    <row r="19" spans="1:11" x14ac:dyDescent="0.2">
      <c r="A19" s="48" t="s">
        <v>88</v>
      </c>
      <c r="B19" s="48">
        <v>1</v>
      </c>
      <c r="C19" s="48"/>
      <c r="D19" s="48"/>
      <c r="E19" s="48"/>
      <c r="F19" s="48"/>
      <c r="G19" s="48"/>
      <c r="H19" s="48" t="s">
        <v>158</v>
      </c>
      <c r="I19" s="48">
        <f>COUNTIFS($F$2:$F$195,"=LAK",$E$2:$E$195,"=1")</f>
        <v>1</v>
      </c>
    </row>
    <row r="20" spans="1:11" x14ac:dyDescent="0.2">
      <c r="A20" s="48" t="s">
        <v>105</v>
      </c>
      <c r="B20" s="48">
        <v>1</v>
      </c>
      <c r="C20" s="48"/>
      <c r="D20" s="48"/>
      <c r="E20" s="48"/>
      <c r="F20" s="48"/>
      <c r="G20" s="48"/>
      <c r="H20" s="48"/>
      <c r="I20" s="48"/>
    </row>
    <row r="21" spans="1:11" x14ac:dyDescent="0.2">
      <c r="A21" s="48" t="s">
        <v>2</v>
      </c>
      <c r="B21" s="48">
        <v>1</v>
      </c>
      <c r="C21" s="48"/>
      <c r="D21" s="48"/>
      <c r="E21" s="48"/>
      <c r="F21" s="48"/>
      <c r="G21" s="48"/>
      <c r="H21" s="48" t="s">
        <v>61</v>
      </c>
      <c r="I21" s="48"/>
      <c r="K21">
        <f>COUNTIF($F$2:$F$195,"=NAO")</f>
        <v>9</v>
      </c>
    </row>
    <row r="22" spans="1:11" x14ac:dyDescent="0.2">
      <c r="A22" s="50" t="s">
        <v>172</v>
      </c>
      <c r="B22" s="50"/>
      <c r="C22" s="50">
        <v>1</v>
      </c>
      <c r="D22" s="50"/>
      <c r="E22" s="50"/>
      <c r="F22" s="50" t="s">
        <v>309</v>
      </c>
      <c r="G22" s="50" t="s">
        <v>142</v>
      </c>
      <c r="H22" s="48" t="s">
        <v>302</v>
      </c>
      <c r="I22" s="48">
        <f>COUNTIFS($F$2:$F$195,"=NAO",$C$2:$C$195,"=1")</f>
        <v>7</v>
      </c>
    </row>
    <row r="23" spans="1:11" x14ac:dyDescent="0.2">
      <c r="A23" s="48" t="s">
        <v>173</v>
      </c>
      <c r="B23" s="48">
        <v>1</v>
      </c>
      <c r="C23" s="48"/>
      <c r="D23" s="48"/>
      <c r="E23" s="48"/>
      <c r="F23" s="48"/>
      <c r="G23" s="48"/>
      <c r="H23" s="48" t="s">
        <v>158</v>
      </c>
      <c r="I23" s="48">
        <f>COUNTIFS($F$2:$F$195,"=NAO",$E$2:$E$195,"=1")</f>
        <v>2</v>
      </c>
    </row>
    <row r="24" spans="1:11" x14ac:dyDescent="0.2">
      <c r="A24" s="50" t="s">
        <v>174</v>
      </c>
      <c r="B24" s="50"/>
      <c r="C24" s="50">
        <v>1</v>
      </c>
      <c r="D24" s="50"/>
      <c r="E24" s="50"/>
      <c r="F24" s="50" t="s">
        <v>307</v>
      </c>
      <c r="G24" s="50" t="s">
        <v>143</v>
      </c>
      <c r="H24" s="48"/>
      <c r="I24" s="48"/>
    </row>
    <row r="25" spans="1:11" x14ac:dyDescent="0.2">
      <c r="A25" s="48" t="s">
        <v>175</v>
      </c>
      <c r="B25" s="48">
        <v>1</v>
      </c>
      <c r="C25" s="48"/>
      <c r="D25" s="48"/>
      <c r="E25" s="48"/>
      <c r="F25" s="48"/>
      <c r="G25" s="48"/>
      <c r="H25" s="48" t="s">
        <v>67</v>
      </c>
      <c r="I25" s="48"/>
      <c r="K25">
        <f>COUNTIF($F$2:$F$195,"=EUG")</f>
        <v>4</v>
      </c>
    </row>
    <row r="26" spans="1:11" x14ac:dyDescent="0.2">
      <c r="A26" s="50" t="s">
        <v>176</v>
      </c>
      <c r="B26" s="50"/>
      <c r="C26" s="50">
        <v>1</v>
      </c>
      <c r="D26" s="50"/>
      <c r="E26" s="50"/>
      <c r="F26" s="50" t="s">
        <v>305</v>
      </c>
      <c r="G26" s="50" t="s">
        <v>144</v>
      </c>
      <c r="H26" s="48" t="s">
        <v>302</v>
      </c>
      <c r="I26" s="48">
        <f>COUNTIFS($F$2:$F$195,"=EUG",$C$2:$C$195,"=1")</f>
        <v>4</v>
      </c>
    </row>
    <row r="27" spans="1:11" x14ac:dyDescent="0.2">
      <c r="A27" s="49" t="s">
        <v>177</v>
      </c>
      <c r="B27" s="49"/>
      <c r="C27" s="49"/>
      <c r="D27" s="49">
        <v>1</v>
      </c>
      <c r="E27" s="49"/>
      <c r="F27" s="49"/>
      <c r="G27" s="48"/>
      <c r="H27" s="48" t="s">
        <v>158</v>
      </c>
      <c r="I27" s="48">
        <f>COUNTIFS($F$2:$F$195,"=EUG",$E$2:$E$195,"=1")</f>
        <v>0</v>
      </c>
    </row>
    <row r="28" spans="1:11" x14ac:dyDescent="0.2">
      <c r="A28" s="48" t="s">
        <v>19</v>
      </c>
      <c r="B28" s="48">
        <v>1</v>
      </c>
      <c r="C28" s="48"/>
      <c r="D28" s="48"/>
      <c r="E28" s="48"/>
      <c r="F28" s="48"/>
      <c r="G28" s="48"/>
      <c r="H28" s="48"/>
      <c r="I28" s="48">
        <f>SUM(I10:I27)</f>
        <v>32</v>
      </c>
      <c r="J28" s="48">
        <f t="shared" ref="J28" si="0">SUM(J10:J27)</f>
        <v>0</v>
      </c>
      <c r="K28" s="48">
        <f>SUM(K9+K13+K17+K21+K25)</f>
        <v>32</v>
      </c>
    </row>
    <row r="29" spans="1:11" x14ac:dyDescent="0.2">
      <c r="A29" s="48" t="s">
        <v>97</v>
      </c>
      <c r="B29" s="48">
        <v>1</v>
      </c>
      <c r="C29" s="48"/>
      <c r="D29" s="48"/>
      <c r="E29" s="48"/>
      <c r="F29" s="48"/>
      <c r="G29" s="48"/>
      <c r="H29" s="48"/>
      <c r="I29" s="48"/>
    </row>
    <row r="30" spans="1:11" x14ac:dyDescent="0.2">
      <c r="A30" s="48" t="s">
        <v>178</v>
      </c>
      <c r="B30" s="48">
        <v>1</v>
      </c>
      <c r="C30" s="48"/>
      <c r="D30" s="48"/>
      <c r="E30" s="48"/>
      <c r="F30" s="48"/>
      <c r="G30" s="48"/>
      <c r="H30" s="48"/>
      <c r="I30" s="48"/>
    </row>
    <row r="31" spans="1:11" x14ac:dyDescent="0.2">
      <c r="A31" s="48" t="s">
        <v>179</v>
      </c>
      <c r="B31" s="48">
        <v>1</v>
      </c>
      <c r="C31" s="48"/>
      <c r="D31" s="48"/>
      <c r="E31" s="48"/>
      <c r="F31" s="48"/>
      <c r="G31" s="48"/>
      <c r="H31" s="48" t="s">
        <v>144</v>
      </c>
      <c r="I31" s="48"/>
    </row>
    <row r="32" spans="1:11" x14ac:dyDescent="0.2">
      <c r="A32" s="48" t="s">
        <v>180</v>
      </c>
      <c r="B32" s="48">
        <v>1</v>
      </c>
      <c r="C32" s="48"/>
      <c r="D32" s="48"/>
      <c r="E32" s="48"/>
      <c r="F32" s="48"/>
      <c r="G32" s="48"/>
      <c r="H32" s="48" t="s">
        <v>302</v>
      </c>
      <c r="I32" s="48">
        <f>COUNTIFS($G$2:$G$195,"=H",$C$2:$C$195,"=1")</f>
        <v>9</v>
      </c>
    </row>
    <row r="33" spans="1:9" x14ac:dyDescent="0.2">
      <c r="A33" s="49" t="s">
        <v>181</v>
      </c>
      <c r="B33" s="49"/>
      <c r="C33" s="49"/>
      <c r="D33" s="49">
        <v>1</v>
      </c>
      <c r="E33" s="49"/>
      <c r="F33" s="49"/>
      <c r="G33" s="48"/>
      <c r="H33" s="48" t="s">
        <v>158</v>
      </c>
      <c r="I33" s="48">
        <f>COUNTIFS($G$2:$G$195,"=H",$E$2:$E$195,"=1")</f>
        <v>5</v>
      </c>
    </row>
    <row r="34" spans="1:9" x14ac:dyDescent="0.2">
      <c r="A34" s="48" t="s">
        <v>182</v>
      </c>
      <c r="B34" s="48">
        <v>1</v>
      </c>
      <c r="C34" s="48"/>
      <c r="D34" s="48"/>
      <c r="E34" s="48"/>
      <c r="F34" s="48"/>
      <c r="G34" s="48"/>
      <c r="H34" s="48"/>
      <c r="I34" s="48"/>
    </row>
    <row r="35" spans="1:9" x14ac:dyDescent="0.2">
      <c r="A35" s="48" t="s">
        <v>183</v>
      </c>
      <c r="B35" s="48">
        <v>1</v>
      </c>
      <c r="C35" s="48"/>
      <c r="D35" s="48"/>
      <c r="E35" s="48"/>
      <c r="F35" s="48"/>
      <c r="G35" s="48"/>
      <c r="H35" s="48" t="s">
        <v>143</v>
      </c>
      <c r="I35" s="48"/>
    </row>
    <row r="36" spans="1:9" x14ac:dyDescent="0.2">
      <c r="A36" s="49" t="s">
        <v>184</v>
      </c>
      <c r="B36" s="49"/>
      <c r="C36" s="49"/>
      <c r="D36" s="49">
        <v>1</v>
      </c>
      <c r="E36" s="49"/>
      <c r="F36" s="49"/>
      <c r="G36" s="48"/>
      <c r="H36" s="48" t="s">
        <v>302</v>
      </c>
      <c r="I36" s="48">
        <f>COUNTIFS($G$2:$G$195,"=UM",$C$2:$C$195,"=1")</f>
        <v>8</v>
      </c>
    </row>
    <row r="37" spans="1:9" x14ac:dyDescent="0.2">
      <c r="A37" s="50" t="s">
        <v>185</v>
      </c>
      <c r="B37" s="50"/>
      <c r="C37" s="50">
        <v>1</v>
      </c>
      <c r="D37" s="50"/>
      <c r="E37" s="50"/>
      <c r="F37" s="50" t="s">
        <v>305</v>
      </c>
      <c r="G37" s="50" t="s">
        <v>143</v>
      </c>
      <c r="H37" s="48" t="s">
        <v>158</v>
      </c>
      <c r="I37" s="48">
        <f>COUNTIFS($G$2:$G$195,"=UM",$E$2:$E$195,"=1")</f>
        <v>1</v>
      </c>
    </row>
    <row r="38" spans="1:9" x14ac:dyDescent="0.2">
      <c r="A38" s="48" t="s">
        <v>186</v>
      </c>
      <c r="B38" s="48">
        <v>1</v>
      </c>
      <c r="C38" s="48"/>
      <c r="D38" s="48"/>
      <c r="E38" s="48"/>
      <c r="F38" s="48"/>
      <c r="G38" s="48"/>
      <c r="H38" s="48"/>
      <c r="I38" s="48"/>
    </row>
    <row r="39" spans="1:9" x14ac:dyDescent="0.2">
      <c r="A39" s="48" t="s">
        <v>187</v>
      </c>
      <c r="B39" s="48">
        <v>1</v>
      </c>
      <c r="C39" s="48"/>
      <c r="D39" s="48"/>
      <c r="E39" s="48"/>
      <c r="F39" s="48"/>
      <c r="G39" s="48"/>
      <c r="H39" s="48" t="s">
        <v>142</v>
      </c>
      <c r="I39" s="48"/>
    </row>
    <row r="40" spans="1:9" x14ac:dyDescent="0.2">
      <c r="A40" s="48" t="s">
        <v>188</v>
      </c>
      <c r="B40" s="48">
        <v>1</v>
      </c>
      <c r="C40" s="48"/>
      <c r="D40" s="48"/>
      <c r="E40" s="48"/>
      <c r="F40" s="48"/>
      <c r="G40" s="48"/>
      <c r="H40" s="48" t="s">
        <v>302</v>
      </c>
      <c r="I40" s="48">
        <f>COUNTIFS($G$2:$G$195,"=LM",$C$2:$C$195,"=1")</f>
        <v>7</v>
      </c>
    </row>
    <row r="41" spans="1:9" x14ac:dyDescent="0.2">
      <c r="A41" s="48" t="s">
        <v>189</v>
      </c>
      <c r="B41" s="48">
        <v>1</v>
      </c>
      <c r="C41" s="48"/>
      <c r="D41" s="48"/>
      <c r="E41" s="48"/>
      <c r="F41" s="48"/>
      <c r="G41" s="48"/>
      <c r="H41" s="48" t="s">
        <v>158</v>
      </c>
      <c r="I41" s="48">
        <f>COUNTIFS($G$2:$G$195,"=LM",$E$2:$E$195,"=1")</f>
        <v>0</v>
      </c>
    </row>
    <row r="42" spans="1:9" x14ac:dyDescent="0.2">
      <c r="A42" s="48" t="s">
        <v>46</v>
      </c>
      <c r="B42" s="48">
        <v>1</v>
      </c>
      <c r="C42" s="48"/>
      <c r="D42" s="48"/>
      <c r="E42" s="48"/>
      <c r="F42" s="48"/>
      <c r="G42" s="48"/>
      <c r="H42" s="48"/>
      <c r="I42" s="48"/>
    </row>
    <row r="43" spans="1:9" x14ac:dyDescent="0.2">
      <c r="A43" s="48" t="s">
        <v>190</v>
      </c>
      <c r="B43" s="48">
        <v>1</v>
      </c>
      <c r="C43" s="48"/>
      <c r="D43" s="48"/>
      <c r="E43" s="48"/>
      <c r="F43" s="48"/>
      <c r="G43" s="48"/>
      <c r="H43" s="48" t="s">
        <v>141</v>
      </c>
      <c r="I43" s="48"/>
    </row>
    <row r="44" spans="1:9" x14ac:dyDescent="0.2">
      <c r="A44" s="49" t="s">
        <v>191</v>
      </c>
      <c r="B44" s="49"/>
      <c r="C44" s="49"/>
      <c r="D44" s="49">
        <v>1</v>
      </c>
      <c r="E44" s="49"/>
      <c r="F44" s="49"/>
      <c r="G44" s="48"/>
      <c r="H44" s="48" t="s">
        <v>302</v>
      </c>
      <c r="I44" s="48">
        <f>COUNTIFS($G$2:$G$195,"=L",$C$2:$C$195,"=1")</f>
        <v>0</v>
      </c>
    </row>
    <row r="45" spans="1:9" x14ac:dyDescent="0.2">
      <c r="A45" s="49" t="s">
        <v>192</v>
      </c>
      <c r="B45" s="49"/>
      <c r="C45" s="49"/>
      <c r="D45" s="49">
        <v>1</v>
      </c>
      <c r="E45" s="49"/>
      <c r="F45" s="49"/>
      <c r="G45" s="48"/>
      <c r="H45" s="48" t="s">
        <v>158</v>
      </c>
      <c r="I45" s="48">
        <f>COUNTIFS($G$2:$G$195,"=L",$E$2:$E$195,"=1")</f>
        <v>2</v>
      </c>
    </row>
    <row r="46" spans="1:9" x14ac:dyDescent="0.2">
      <c r="A46" s="49" t="s">
        <v>193</v>
      </c>
      <c r="B46" s="49"/>
      <c r="C46" s="49"/>
      <c r="D46" s="49">
        <v>1</v>
      </c>
      <c r="E46" s="49"/>
      <c r="F46" s="49"/>
      <c r="G46" s="48"/>
      <c r="H46" s="48"/>
      <c r="I46" s="48">
        <f>SUM(I32:I45)</f>
        <v>32</v>
      </c>
    </row>
    <row r="47" spans="1:9" x14ac:dyDescent="0.2">
      <c r="A47" s="49" t="s">
        <v>194</v>
      </c>
      <c r="B47" s="49"/>
      <c r="C47" s="49"/>
      <c r="D47" s="49">
        <v>1</v>
      </c>
      <c r="E47" s="49"/>
      <c r="F47" s="49"/>
      <c r="G47" s="48"/>
      <c r="H47" s="48"/>
      <c r="I47" s="48"/>
    </row>
    <row r="48" spans="1:9" x14ac:dyDescent="0.2">
      <c r="A48" s="48" t="s">
        <v>195</v>
      </c>
      <c r="B48" s="48">
        <v>1</v>
      </c>
      <c r="C48" s="48"/>
      <c r="D48" s="48"/>
      <c r="E48" s="48"/>
      <c r="F48" s="48"/>
      <c r="G48" s="48"/>
      <c r="H48" s="48"/>
      <c r="I48" s="48"/>
    </row>
    <row r="49" spans="1:9" x14ac:dyDescent="0.2">
      <c r="A49" s="48" t="s">
        <v>47</v>
      </c>
      <c r="B49" s="48">
        <v>1</v>
      </c>
      <c r="C49" s="48"/>
      <c r="D49" s="48"/>
      <c r="E49" s="48"/>
      <c r="F49" s="48"/>
      <c r="G49" s="48"/>
      <c r="H49" s="48"/>
      <c r="I49" s="48"/>
    </row>
    <row r="50" spans="1:9" x14ac:dyDescent="0.2">
      <c r="A50" s="48" t="s">
        <v>196</v>
      </c>
      <c r="B50" s="48">
        <v>1</v>
      </c>
      <c r="C50" s="48"/>
      <c r="D50" s="48"/>
      <c r="E50" s="48"/>
      <c r="F50" s="48"/>
      <c r="G50" s="48"/>
      <c r="H50" s="48"/>
      <c r="I50" s="48"/>
    </row>
    <row r="51" spans="1:9" x14ac:dyDescent="0.2">
      <c r="A51" s="48" t="s">
        <v>49</v>
      </c>
      <c r="B51" s="48">
        <v>1</v>
      </c>
      <c r="C51" s="48"/>
      <c r="D51" s="48"/>
      <c r="E51" s="48"/>
      <c r="F51" s="48"/>
      <c r="G51" s="48"/>
      <c r="H51" s="48"/>
      <c r="I51" s="48"/>
    </row>
    <row r="52" spans="1:9" x14ac:dyDescent="0.2">
      <c r="A52" s="48" t="s">
        <v>197</v>
      </c>
      <c r="B52" s="48">
        <v>1</v>
      </c>
      <c r="C52" s="48"/>
      <c r="D52" s="48"/>
      <c r="E52" s="48"/>
      <c r="F52" s="48"/>
      <c r="G52" s="48"/>
      <c r="H52" s="48"/>
      <c r="I52" s="48"/>
    </row>
    <row r="53" spans="1:9" x14ac:dyDescent="0.2">
      <c r="A53" s="48" t="s">
        <v>50</v>
      </c>
      <c r="B53" s="48">
        <v>1</v>
      </c>
      <c r="C53" s="48"/>
      <c r="D53" s="48"/>
      <c r="E53" s="48"/>
      <c r="F53" s="48"/>
      <c r="G53" s="48"/>
      <c r="H53" s="48"/>
      <c r="I53" s="48"/>
    </row>
    <row r="54" spans="1:9" x14ac:dyDescent="0.2">
      <c r="A54" s="48" t="s">
        <v>198</v>
      </c>
      <c r="B54" s="48">
        <v>1</v>
      </c>
      <c r="C54" s="48"/>
      <c r="D54" s="48"/>
      <c r="E54" s="48"/>
      <c r="F54" s="48"/>
      <c r="G54" s="48"/>
      <c r="H54" s="48"/>
      <c r="I54" s="48"/>
    </row>
    <row r="55" spans="1:9" x14ac:dyDescent="0.2">
      <c r="A55" s="48" t="s">
        <v>22</v>
      </c>
      <c r="B55" s="48">
        <v>1</v>
      </c>
      <c r="C55" s="48"/>
      <c r="D55" s="48"/>
      <c r="E55" s="48"/>
      <c r="F55" s="48"/>
      <c r="G55" s="48"/>
      <c r="H55" s="48"/>
      <c r="I55" s="48"/>
    </row>
    <row r="56" spans="1:9" x14ac:dyDescent="0.2">
      <c r="A56" s="49" t="s">
        <v>199</v>
      </c>
      <c r="B56" s="49"/>
      <c r="C56" s="49"/>
      <c r="D56" s="49">
        <v>1</v>
      </c>
      <c r="E56" s="49"/>
      <c r="F56" s="49"/>
      <c r="G56" s="48"/>
      <c r="H56" s="48"/>
      <c r="I56" s="48"/>
    </row>
    <row r="57" spans="1:9" x14ac:dyDescent="0.2">
      <c r="A57" s="50" t="s">
        <v>200</v>
      </c>
      <c r="B57" s="50"/>
      <c r="C57" s="50">
        <v>1</v>
      </c>
      <c r="D57" s="50"/>
      <c r="E57" s="50"/>
      <c r="F57" s="50" t="s">
        <v>307</v>
      </c>
      <c r="G57" s="50" t="s">
        <v>142</v>
      </c>
      <c r="H57" s="48"/>
      <c r="I57" s="48"/>
    </row>
    <row r="58" spans="1:9" x14ac:dyDescent="0.2">
      <c r="A58" s="48" t="s">
        <v>201</v>
      </c>
      <c r="B58" s="48">
        <v>1</v>
      </c>
      <c r="C58" s="48"/>
      <c r="D58" s="48"/>
      <c r="E58" s="48"/>
      <c r="F58" s="48"/>
      <c r="G58" s="48"/>
      <c r="H58" s="48"/>
      <c r="I58" s="48"/>
    </row>
    <row r="59" spans="1:9" x14ac:dyDescent="0.2">
      <c r="A59" s="50" t="s">
        <v>202</v>
      </c>
      <c r="B59" s="50"/>
      <c r="C59" s="50">
        <v>1</v>
      </c>
      <c r="D59" s="50"/>
      <c r="E59" s="50"/>
      <c r="F59" s="50" t="s">
        <v>305</v>
      </c>
      <c r="G59" s="50" t="s">
        <v>143</v>
      </c>
      <c r="H59" s="48"/>
      <c r="I59" s="48"/>
    </row>
    <row r="60" spans="1:9" x14ac:dyDescent="0.2">
      <c r="A60" s="49" t="s">
        <v>203</v>
      </c>
      <c r="B60" s="49"/>
      <c r="C60" s="49"/>
      <c r="D60" s="49">
        <v>1</v>
      </c>
      <c r="E60" s="49"/>
      <c r="F60" s="49"/>
      <c r="G60" s="48"/>
      <c r="H60" s="48"/>
      <c r="I60" s="48"/>
    </row>
    <row r="61" spans="1:9" x14ac:dyDescent="0.2">
      <c r="A61" s="49" t="s">
        <v>204</v>
      </c>
      <c r="B61" s="49"/>
      <c r="C61" s="49"/>
      <c r="D61" s="49">
        <v>1</v>
      </c>
      <c r="E61" s="49"/>
      <c r="F61" s="49"/>
      <c r="G61" s="48"/>
      <c r="H61" s="48"/>
      <c r="I61" s="48"/>
    </row>
    <row r="62" spans="1:9" x14ac:dyDescent="0.2">
      <c r="A62" s="48" t="s">
        <v>205</v>
      </c>
      <c r="B62" s="48">
        <v>1</v>
      </c>
      <c r="C62" s="48"/>
      <c r="D62" s="48"/>
      <c r="E62" s="48"/>
      <c r="F62" s="48"/>
      <c r="G62" s="48"/>
      <c r="H62" s="48"/>
      <c r="I62" s="48"/>
    </row>
    <row r="63" spans="1:9" x14ac:dyDescent="0.2">
      <c r="A63" s="48" t="s">
        <v>206</v>
      </c>
      <c r="B63" s="48">
        <v>1</v>
      </c>
      <c r="C63" s="48"/>
      <c r="D63" s="48"/>
      <c r="E63" s="48"/>
      <c r="F63" s="48"/>
      <c r="G63" s="48"/>
      <c r="H63" s="48"/>
      <c r="I63" s="48"/>
    </row>
    <row r="64" spans="1:9" x14ac:dyDescent="0.2">
      <c r="A64" s="48" t="s">
        <v>207</v>
      </c>
      <c r="B64" s="48">
        <v>1</v>
      </c>
      <c r="C64" s="48"/>
      <c r="D64" s="48"/>
      <c r="E64" s="48"/>
      <c r="F64" s="48"/>
      <c r="G64" s="48"/>
      <c r="H64" s="48"/>
      <c r="I64" s="48"/>
    </row>
    <row r="65" spans="1:9" x14ac:dyDescent="0.2">
      <c r="A65" s="49" t="s">
        <v>208</v>
      </c>
      <c r="B65" s="49"/>
      <c r="C65" s="49"/>
      <c r="D65" s="49">
        <v>1</v>
      </c>
      <c r="E65" s="49"/>
      <c r="F65" s="49"/>
      <c r="G65" s="48"/>
      <c r="H65" s="48"/>
      <c r="I65" s="48"/>
    </row>
    <row r="66" spans="1:9" x14ac:dyDescent="0.2">
      <c r="A66" s="48" t="s">
        <v>23</v>
      </c>
      <c r="B66" s="48">
        <v>1</v>
      </c>
      <c r="C66" s="48"/>
      <c r="D66" s="48"/>
      <c r="E66" s="48"/>
      <c r="F66" s="48"/>
      <c r="G66" s="48"/>
      <c r="H66" s="48"/>
      <c r="I66" s="48"/>
    </row>
    <row r="67" spans="1:9" x14ac:dyDescent="0.2">
      <c r="A67" s="49" t="s">
        <v>209</v>
      </c>
      <c r="B67" s="49"/>
      <c r="C67" s="49"/>
      <c r="D67" s="49">
        <v>1</v>
      </c>
      <c r="E67" s="49"/>
      <c r="F67" s="49"/>
      <c r="G67" s="48"/>
      <c r="H67" s="48"/>
      <c r="I67" s="48"/>
    </row>
    <row r="68" spans="1:9" x14ac:dyDescent="0.2">
      <c r="A68" s="48" t="s">
        <v>51</v>
      </c>
      <c r="B68" s="48">
        <v>1</v>
      </c>
      <c r="C68" s="48"/>
      <c r="D68" s="48"/>
      <c r="E68" s="48"/>
      <c r="F68" s="48"/>
      <c r="G68" s="48"/>
      <c r="H68" s="48"/>
      <c r="I68" s="48"/>
    </row>
    <row r="69" spans="1:9" x14ac:dyDescent="0.2">
      <c r="A69" s="48" t="s">
        <v>52</v>
      </c>
      <c r="B69" s="48">
        <v>1</v>
      </c>
      <c r="C69" s="48"/>
      <c r="D69" s="48"/>
      <c r="E69" s="48"/>
      <c r="F69" s="48"/>
      <c r="G69" s="48"/>
      <c r="H69" s="48"/>
      <c r="I69" s="48"/>
    </row>
    <row r="70" spans="1:9" x14ac:dyDescent="0.2">
      <c r="A70" s="48" t="s">
        <v>83</v>
      </c>
      <c r="B70" s="48">
        <v>1</v>
      </c>
      <c r="C70" s="48"/>
      <c r="D70" s="48"/>
      <c r="E70" s="48"/>
      <c r="F70" s="48"/>
      <c r="G70" s="48"/>
      <c r="H70" s="48"/>
      <c r="I70" s="48"/>
    </row>
    <row r="71" spans="1:9" x14ac:dyDescent="0.2">
      <c r="A71" s="48" t="s">
        <v>84</v>
      </c>
      <c r="B71" s="48">
        <v>1</v>
      </c>
      <c r="C71" s="48"/>
      <c r="D71" s="48"/>
      <c r="E71" s="48"/>
      <c r="F71" s="48"/>
      <c r="G71" s="48"/>
      <c r="H71" s="48"/>
      <c r="I71" s="48"/>
    </row>
    <row r="72" spans="1:9" x14ac:dyDescent="0.2">
      <c r="A72" s="48" t="s">
        <v>102</v>
      </c>
      <c r="B72" s="48">
        <v>1</v>
      </c>
      <c r="C72" s="48"/>
      <c r="D72" s="48"/>
      <c r="E72" s="48"/>
      <c r="F72" s="48"/>
      <c r="G72" s="48"/>
      <c r="H72" s="48"/>
      <c r="I72" s="48"/>
    </row>
    <row r="73" spans="1:9" x14ac:dyDescent="0.2">
      <c r="A73" s="48" t="s">
        <v>103</v>
      </c>
      <c r="B73" s="48">
        <v>1</v>
      </c>
      <c r="C73" s="48"/>
      <c r="D73" s="48"/>
      <c r="E73" s="48"/>
      <c r="F73" s="48"/>
      <c r="G73" s="48"/>
      <c r="H73" s="48"/>
      <c r="I73" s="48"/>
    </row>
    <row r="74" spans="1:9" x14ac:dyDescent="0.2">
      <c r="A74" s="48" t="s">
        <v>53</v>
      </c>
      <c r="B74" s="48">
        <v>1</v>
      </c>
      <c r="C74" s="48"/>
      <c r="D74" s="48"/>
      <c r="E74" s="48"/>
      <c r="F74" s="48"/>
      <c r="G74" s="48"/>
      <c r="H74" s="48"/>
      <c r="I74" s="48"/>
    </row>
    <row r="75" spans="1:9" x14ac:dyDescent="0.2">
      <c r="A75" s="51" t="s">
        <v>210</v>
      </c>
      <c r="B75" s="51"/>
      <c r="C75" s="51"/>
      <c r="D75" s="51"/>
      <c r="E75" s="51">
        <v>1</v>
      </c>
      <c r="F75" s="51" t="s">
        <v>305</v>
      </c>
      <c r="G75" s="51" t="s">
        <v>144</v>
      </c>
      <c r="H75" s="48"/>
      <c r="I75" s="48"/>
    </row>
    <row r="76" spans="1:9" x14ac:dyDescent="0.2">
      <c r="A76" s="49" t="s">
        <v>211</v>
      </c>
      <c r="B76" s="49"/>
      <c r="C76" s="49"/>
      <c r="D76" s="49">
        <v>1</v>
      </c>
      <c r="E76" s="49"/>
      <c r="F76" s="49"/>
      <c r="G76" s="48"/>
      <c r="H76" s="48"/>
      <c r="I76" s="48"/>
    </row>
    <row r="77" spans="1:9" x14ac:dyDescent="0.2">
      <c r="A77" s="49" t="s">
        <v>212</v>
      </c>
      <c r="B77" s="49"/>
      <c r="C77" s="49"/>
      <c r="D77" s="49">
        <v>1</v>
      </c>
      <c r="E77" s="49"/>
      <c r="F77" s="49"/>
      <c r="G77" s="48"/>
      <c r="H77" s="48"/>
      <c r="I77" s="48"/>
    </row>
    <row r="78" spans="1:9" x14ac:dyDescent="0.2">
      <c r="A78" s="48" t="s">
        <v>213</v>
      </c>
      <c r="B78" s="48">
        <v>1</v>
      </c>
      <c r="C78" s="48"/>
      <c r="D78" s="48"/>
      <c r="E78" s="48"/>
      <c r="F78" s="48"/>
      <c r="G78" s="48"/>
      <c r="H78" s="48"/>
      <c r="I78" s="48"/>
    </row>
    <row r="79" spans="1:9" x14ac:dyDescent="0.2">
      <c r="A79" s="48" t="s">
        <v>214</v>
      </c>
      <c r="B79" s="48">
        <v>1</v>
      </c>
      <c r="C79" s="48"/>
      <c r="D79" s="48"/>
      <c r="E79" s="48"/>
      <c r="F79" s="48"/>
      <c r="G79" s="48"/>
      <c r="H79" s="48"/>
      <c r="I79" s="48"/>
    </row>
    <row r="80" spans="1:9" x14ac:dyDescent="0.2">
      <c r="A80" s="50" t="s">
        <v>215</v>
      </c>
      <c r="B80" s="50"/>
      <c r="C80" s="50">
        <v>1</v>
      </c>
      <c r="D80" s="50"/>
      <c r="E80" s="50"/>
      <c r="F80" s="50" t="s">
        <v>304</v>
      </c>
      <c r="G80" s="50" t="s">
        <v>143</v>
      </c>
      <c r="H80" s="48"/>
      <c r="I80" s="48"/>
    </row>
    <row r="81" spans="1:9" x14ac:dyDescent="0.2">
      <c r="A81" s="48" t="s">
        <v>216</v>
      </c>
      <c r="B81" s="48">
        <v>1</v>
      </c>
      <c r="C81" s="48"/>
      <c r="D81" s="48"/>
      <c r="E81" s="48"/>
      <c r="F81" s="48"/>
      <c r="G81" s="48"/>
      <c r="H81" s="48"/>
      <c r="I81" s="48"/>
    </row>
    <row r="82" spans="1:9" x14ac:dyDescent="0.2">
      <c r="A82" s="49" t="s">
        <v>217</v>
      </c>
      <c r="B82" s="49"/>
      <c r="C82" s="49"/>
      <c r="D82" s="49">
        <v>1</v>
      </c>
      <c r="E82" s="49"/>
      <c r="F82" s="49"/>
      <c r="G82" s="48"/>
      <c r="H82" s="48"/>
      <c r="I82" s="48"/>
    </row>
    <row r="83" spans="1:9" x14ac:dyDescent="0.2">
      <c r="A83" s="49" t="s">
        <v>218</v>
      </c>
      <c r="B83" s="49"/>
      <c r="C83" s="49"/>
      <c r="D83" s="49">
        <v>1</v>
      </c>
      <c r="E83" s="49"/>
      <c r="F83" s="49"/>
      <c r="G83" s="48"/>
      <c r="H83" s="48"/>
      <c r="I83" s="48"/>
    </row>
    <row r="84" spans="1:9" x14ac:dyDescent="0.2">
      <c r="A84" s="49" t="s">
        <v>219</v>
      </c>
      <c r="B84" s="49"/>
      <c r="C84" s="49"/>
      <c r="D84" s="49">
        <v>1</v>
      </c>
      <c r="E84" s="49"/>
      <c r="F84" s="49"/>
      <c r="G84" s="48"/>
      <c r="H84" s="48"/>
      <c r="I84" s="48"/>
    </row>
    <row r="85" spans="1:9" x14ac:dyDescent="0.2">
      <c r="A85" s="48" t="s">
        <v>220</v>
      </c>
      <c r="B85" s="48">
        <v>1</v>
      </c>
      <c r="C85" s="48"/>
      <c r="D85" s="48"/>
      <c r="E85" s="48"/>
      <c r="F85" s="48"/>
      <c r="G85" s="48"/>
      <c r="H85" s="48"/>
      <c r="I85" s="48"/>
    </row>
    <row r="86" spans="1:9" x14ac:dyDescent="0.2">
      <c r="A86" s="49" t="s">
        <v>221</v>
      </c>
      <c r="B86" s="49"/>
      <c r="C86" s="49"/>
      <c r="D86" s="49">
        <v>1</v>
      </c>
      <c r="E86" s="49"/>
      <c r="F86" s="49"/>
      <c r="G86" s="48"/>
      <c r="H86" s="48"/>
      <c r="I86" s="48"/>
    </row>
    <row r="87" spans="1:9" x14ac:dyDescent="0.2">
      <c r="A87" s="48" t="s">
        <v>222</v>
      </c>
      <c r="B87" s="48">
        <v>1</v>
      </c>
      <c r="C87" s="48"/>
      <c r="D87" s="48"/>
      <c r="E87" s="48"/>
      <c r="F87" s="48"/>
      <c r="G87" s="48"/>
      <c r="H87" s="48"/>
      <c r="I87" s="48"/>
    </row>
    <row r="88" spans="1:9" x14ac:dyDescent="0.2">
      <c r="A88" s="48" t="s">
        <v>223</v>
      </c>
      <c r="B88" s="48">
        <v>1</v>
      </c>
      <c r="C88" s="48"/>
      <c r="D88" s="48"/>
      <c r="E88" s="48"/>
      <c r="F88" s="48"/>
      <c r="G88" s="48"/>
      <c r="H88" s="48"/>
      <c r="I88" s="48"/>
    </row>
    <row r="89" spans="1:9" x14ac:dyDescent="0.2">
      <c r="A89" s="48" t="s">
        <v>224</v>
      </c>
      <c r="B89" s="48">
        <v>1</v>
      </c>
      <c r="C89" s="48"/>
      <c r="D89" s="48"/>
      <c r="E89" s="48"/>
      <c r="F89" s="48"/>
      <c r="G89" s="48"/>
      <c r="H89" s="48"/>
      <c r="I89" s="48"/>
    </row>
    <row r="90" spans="1:9" x14ac:dyDescent="0.2">
      <c r="A90" s="48" t="s">
        <v>6</v>
      </c>
      <c r="B90" s="48">
        <v>1</v>
      </c>
      <c r="C90" s="48"/>
      <c r="D90" s="48"/>
      <c r="E90" s="48"/>
      <c r="F90" s="48"/>
      <c r="G90" s="48"/>
      <c r="H90" s="48"/>
      <c r="I90" s="48"/>
    </row>
    <row r="91" spans="1:9" x14ac:dyDescent="0.2">
      <c r="A91" s="49" t="s">
        <v>225</v>
      </c>
      <c r="B91" s="49"/>
      <c r="C91" s="49"/>
      <c r="D91" s="49">
        <v>1</v>
      </c>
      <c r="E91" s="49"/>
      <c r="F91" s="49"/>
      <c r="G91" s="48"/>
      <c r="H91" s="48"/>
      <c r="I91" s="48"/>
    </row>
    <row r="92" spans="1:9" x14ac:dyDescent="0.2">
      <c r="A92" s="50" t="s">
        <v>226</v>
      </c>
      <c r="B92" s="50"/>
      <c r="C92" s="50">
        <v>1</v>
      </c>
      <c r="D92" s="50"/>
      <c r="E92" s="50"/>
      <c r="F92" s="50" t="s">
        <v>310</v>
      </c>
      <c r="G92" s="50" t="s">
        <v>142</v>
      </c>
      <c r="H92" s="48"/>
      <c r="I92" s="48"/>
    </row>
    <row r="93" spans="1:9" x14ac:dyDescent="0.2">
      <c r="A93" s="50" t="s">
        <v>227</v>
      </c>
      <c r="B93" s="50"/>
      <c r="C93" s="50">
        <v>1</v>
      </c>
      <c r="D93" s="50"/>
      <c r="E93" s="50"/>
      <c r="F93" s="50" t="s">
        <v>304</v>
      </c>
      <c r="G93" s="50" t="s">
        <v>144</v>
      </c>
      <c r="H93" s="48"/>
      <c r="I93" s="48"/>
    </row>
    <row r="94" spans="1:9" x14ac:dyDescent="0.2">
      <c r="A94" s="48" t="s">
        <v>228</v>
      </c>
      <c r="B94" s="48">
        <v>1</v>
      </c>
      <c r="C94" s="48"/>
      <c r="D94" s="48"/>
      <c r="E94" s="48"/>
      <c r="F94" s="48"/>
      <c r="G94" s="48"/>
      <c r="H94" s="48"/>
      <c r="I94" s="48"/>
    </row>
    <row r="95" spans="1:9" x14ac:dyDescent="0.2">
      <c r="A95" s="48" t="s">
        <v>229</v>
      </c>
      <c r="B95" s="48">
        <v>1</v>
      </c>
      <c r="C95" s="48"/>
      <c r="D95" s="48"/>
      <c r="E95" s="48"/>
      <c r="F95" s="48"/>
      <c r="G95" s="48"/>
      <c r="H95" s="48"/>
      <c r="I95" s="48"/>
    </row>
    <row r="96" spans="1:9" x14ac:dyDescent="0.2">
      <c r="A96" s="49" t="s">
        <v>230</v>
      </c>
      <c r="B96" s="49"/>
      <c r="C96" s="49"/>
      <c r="D96" s="49">
        <v>1</v>
      </c>
      <c r="E96" s="49"/>
      <c r="F96" s="49"/>
      <c r="G96" s="48"/>
      <c r="H96" s="48"/>
      <c r="I96" s="48"/>
    </row>
    <row r="97" spans="1:9" x14ac:dyDescent="0.2">
      <c r="A97" s="48" t="s">
        <v>231</v>
      </c>
      <c r="B97" s="48">
        <v>1</v>
      </c>
      <c r="C97" s="48"/>
      <c r="D97" s="48"/>
      <c r="E97" s="48"/>
      <c r="F97" s="48"/>
      <c r="G97" s="48"/>
      <c r="H97" s="48"/>
      <c r="I97" s="48"/>
    </row>
    <row r="98" spans="1:9" x14ac:dyDescent="0.2">
      <c r="A98" s="50" t="s">
        <v>122</v>
      </c>
      <c r="B98" s="50"/>
      <c r="C98" s="50">
        <v>1</v>
      </c>
      <c r="D98" s="50"/>
      <c r="E98" s="50"/>
      <c r="F98" s="50" t="s">
        <v>307</v>
      </c>
      <c r="G98" s="50" t="s">
        <v>142</v>
      </c>
      <c r="H98" s="48"/>
      <c r="I98" s="48"/>
    </row>
    <row r="99" spans="1:9" x14ac:dyDescent="0.2">
      <c r="A99" s="48" t="s">
        <v>124</v>
      </c>
      <c r="B99" s="48">
        <v>1</v>
      </c>
      <c r="C99" s="48"/>
      <c r="D99" s="48"/>
      <c r="E99" s="48"/>
      <c r="F99" s="48"/>
      <c r="G99" s="48"/>
      <c r="H99" s="48"/>
      <c r="I99" s="48"/>
    </row>
    <row r="100" spans="1:9" x14ac:dyDescent="0.2">
      <c r="A100" s="51" t="s">
        <v>232</v>
      </c>
      <c r="B100" s="51"/>
      <c r="C100" s="51"/>
      <c r="D100" s="51"/>
      <c r="E100" s="51">
        <v>1</v>
      </c>
      <c r="F100" s="51" t="s">
        <v>304</v>
      </c>
      <c r="G100" s="51" t="s">
        <v>143</v>
      </c>
      <c r="H100" s="48"/>
      <c r="I100" s="48"/>
    </row>
    <row r="101" spans="1:9" x14ac:dyDescent="0.2">
      <c r="A101" s="49" t="s">
        <v>233</v>
      </c>
      <c r="B101" s="49"/>
      <c r="C101" s="49"/>
      <c r="D101" s="49">
        <v>1</v>
      </c>
      <c r="E101" s="49"/>
      <c r="F101" s="49"/>
      <c r="G101" s="48"/>
      <c r="H101" s="48"/>
      <c r="I101" s="48"/>
    </row>
    <row r="102" spans="1:9" x14ac:dyDescent="0.2">
      <c r="A102" s="49" t="s">
        <v>234</v>
      </c>
      <c r="B102" s="49"/>
      <c r="C102" s="49"/>
      <c r="D102" s="49">
        <v>1</v>
      </c>
      <c r="E102" s="49"/>
      <c r="F102" s="49"/>
      <c r="G102" s="48"/>
      <c r="H102" s="48"/>
      <c r="I102" s="48"/>
    </row>
    <row r="103" spans="1:9" x14ac:dyDescent="0.2">
      <c r="A103" s="51" t="s">
        <v>235</v>
      </c>
      <c r="B103" s="51"/>
      <c r="C103" s="51"/>
      <c r="D103" s="51"/>
      <c r="E103" s="51">
        <v>1</v>
      </c>
      <c r="F103" s="51" t="s">
        <v>305</v>
      </c>
      <c r="G103" s="51" t="s">
        <v>144</v>
      </c>
      <c r="H103" s="48"/>
      <c r="I103" s="48"/>
    </row>
    <row r="104" spans="1:9" x14ac:dyDescent="0.2">
      <c r="A104" s="48" t="s">
        <v>236</v>
      </c>
      <c r="B104" s="48">
        <v>1</v>
      </c>
      <c r="C104" s="48"/>
      <c r="D104" s="48"/>
      <c r="E104" s="48"/>
      <c r="F104" s="48"/>
      <c r="G104" s="48"/>
      <c r="H104" s="48"/>
      <c r="I104" s="48"/>
    </row>
    <row r="105" spans="1:9" x14ac:dyDescent="0.2">
      <c r="A105" s="48" t="s">
        <v>237</v>
      </c>
      <c r="B105" s="48">
        <v>1</v>
      </c>
      <c r="C105" s="48"/>
      <c r="D105" s="48"/>
      <c r="E105" s="48"/>
      <c r="F105" s="48"/>
      <c r="G105" s="48"/>
      <c r="H105" s="48"/>
      <c r="I105" s="48"/>
    </row>
    <row r="106" spans="1:9" x14ac:dyDescent="0.2">
      <c r="A106" s="48" t="s">
        <v>33</v>
      </c>
      <c r="B106" s="48">
        <v>1</v>
      </c>
      <c r="C106" s="48"/>
      <c r="D106" s="48"/>
      <c r="E106" s="48"/>
      <c r="F106" s="48"/>
      <c r="G106" s="48"/>
      <c r="H106" s="48"/>
      <c r="I106" s="48"/>
    </row>
    <row r="107" spans="1:9" x14ac:dyDescent="0.2">
      <c r="A107" s="48" t="s">
        <v>7</v>
      </c>
      <c r="B107" s="48">
        <v>1</v>
      </c>
      <c r="C107" s="48"/>
      <c r="D107" s="48"/>
      <c r="E107" s="48"/>
      <c r="F107" s="48"/>
      <c r="G107" s="48"/>
      <c r="H107" s="48"/>
      <c r="I107" s="48"/>
    </row>
    <row r="108" spans="1:9" x14ac:dyDescent="0.2">
      <c r="A108" s="48" t="s">
        <v>238</v>
      </c>
      <c r="B108" s="48">
        <v>1</v>
      </c>
      <c r="C108" s="48"/>
      <c r="D108" s="48"/>
      <c r="E108" s="48"/>
      <c r="F108" s="48"/>
      <c r="G108" s="48"/>
      <c r="H108" s="48"/>
      <c r="I108" s="48"/>
    </row>
    <row r="109" spans="1:9" x14ac:dyDescent="0.2">
      <c r="A109" s="48" t="s">
        <v>85</v>
      </c>
      <c r="B109" s="48">
        <v>1</v>
      </c>
      <c r="C109" s="48"/>
      <c r="D109" s="48"/>
      <c r="E109" s="48"/>
      <c r="F109" s="48"/>
      <c r="G109" s="48"/>
      <c r="H109" s="48"/>
      <c r="I109" s="48"/>
    </row>
    <row r="110" spans="1:9" x14ac:dyDescent="0.2">
      <c r="A110" s="49" t="s">
        <v>239</v>
      </c>
      <c r="B110" s="49"/>
      <c r="C110" s="49"/>
      <c r="D110" s="49">
        <v>1</v>
      </c>
      <c r="E110" s="49"/>
      <c r="F110" s="49"/>
      <c r="G110" s="48"/>
      <c r="H110" s="48"/>
      <c r="I110" s="48"/>
    </row>
    <row r="111" spans="1:9" x14ac:dyDescent="0.2">
      <c r="A111" s="48" t="s">
        <v>240</v>
      </c>
      <c r="B111" s="48">
        <v>1</v>
      </c>
      <c r="C111" s="48"/>
      <c r="D111" s="48"/>
      <c r="E111" s="48"/>
      <c r="F111" s="48"/>
      <c r="G111" s="48"/>
      <c r="H111" s="48"/>
      <c r="I111" s="48"/>
    </row>
    <row r="112" spans="1:9" x14ac:dyDescent="0.2">
      <c r="A112" s="48" t="s">
        <v>241</v>
      </c>
      <c r="B112" s="48">
        <v>1</v>
      </c>
      <c r="C112" s="48"/>
      <c r="D112" s="48"/>
      <c r="E112" s="48"/>
      <c r="F112" s="48"/>
      <c r="G112" s="48"/>
      <c r="H112" s="48"/>
      <c r="I112" s="48"/>
    </row>
    <row r="113" spans="1:9" x14ac:dyDescent="0.2">
      <c r="A113" s="48" t="s">
        <v>34</v>
      </c>
      <c r="B113" s="48">
        <v>1</v>
      </c>
      <c r="C113" s="48"/>
      <c r="D113" s="48"/>
      <c r="E113" s="48"/>
      <c r="F113" s="48"/>
      <c r="G113" s="48"/>
      <c r="H113" s="48"/>
      <c r="I113" s="48"/>
    </row>
    <row r="114" spans="1:9" x14ac:dyDescent="0.2">
      <c r="A114" s="48" t="s">
        <v>242</v>
      </c>
      <c r="B114" s="48">
        <v>1</v>
      </c>
      <c r="C114" s="48"/>
      <c r="D114" s="48"/>
      <c r="E114" s="48"/>
      <c r="F114" s="48"/>
      <c r="G114" s="48"/>
      <c r="H114" s="48"/>
      <c r="I114" s="48"/>
    </row>
    <row r="115" spans="1:9" x14ac:dyDescent="0.2">
      <c r="A115" s="48" t="s">
        <v>243</v>
      </c>
      <c r="B115" s="48">
        <v>1</v>
      </c>
      <c r="C115" s="48"/>
      <c r="D115" s="48"/>
      <c r="E115" s="48"/>
      <c r="F115" s="48"/>
      <c r="G115" s="48"/>
      <c r="H115" s="48"/>
      <c r="I115" s="48"/>
    </row>
    <row r="116" spans="1:9" x14ac:dyDescent="0.2">
      <c r="A116" s="48" t="s">
        <v>244</v>
      </c>
      <c r="B116" s="48">
        <v>1</v>
      </c>
      <c r="C116" s="48"/>
      <c r="D116" s="48"/>
      <c r="E116" s="48"/>
      <c r="F116" s="48"/>
      <c r="G116" s="48"/>
      <c r="H116" s="48"/>
      <c r="I116" s="48"/>
    </row>
    <row r="117" spans="1:9" x14ac:dyDescent="0.2">
      <c r="A117" s="48" t="s">
        <v>245</v>
      </c>
      <c r="B117" s="48">
        <v>1</v>
      </c>
      <c r="C117" s="48"/>
      <c r="D117" s="48"/>
      <c r="E117" s="48"/>
      <c r="F117" s="48"/>
      <c r="G117" s="48"/>
      <c r="H117" s="48"/>
      <c r="I117" s="48"/>
    </row>
    <row r="118" spans="1:9" x14ac:dyDescent="0.2">
      <c r="A118" s="48" t="s">
        <v>76</v>
      </c>
      <c r="B118" s="48">
        <v>1</v>
      </c>
      <c r="C118" s="48"/>
      <c r="D118" s="48"/>
      <c r="E118" s="48"/>
      <c r="F118" s="48"/>
      <c r="G118" s="48"/>
      <c r="H118" s="48"/>
      <c r="I118" s="48"/>
    </row>
    <row r="119" spans="1:9" x14ac:dyDescent="0.2">
      <c r="A119" s="48" t="s">
        <v>246</v>
      </c>
      <c r="B119" s="48">
        <v>1</v>
      </c>
      <c r="C119" s="48"/>
      <c r="D119" s="48"/>
      <c r="E119" s="48"/>
      <c r="F119" s="48"/>
      <c r="G119" s="48"/>
      <c r="H119" s="48"/>
      <c r="I119" s="48"/>
    </row>
    <row r="120" spans="1:9" x14ac:dyDescent="0.2">
      <c r="A120" s="48" t="s">
        <v>247</v>
      </c>
      <c r="B120" s="48">
        <v>1</v>
      </c>
      <c r="C120" s="48"/>
      <c r="D120" s="48"/>
      <c r="E120" s="48"/>
      <c r="F120" s="48"/>
      <c r="G120" s="48"/>
      <c r="H120" s="48"/>
      <c r="I120" s="48"/>
    </row>
    <row r="121" spans="1:9" x14ac:dyDescent="0.2">
      <c r="A121" s="50" t="s">
        <v>248</v>
      </c>
      <c r="B121" s="50"/>
      <c r="C121" s="50">
        <v>1</v>
      </c>
      <c r="D121" s="50"/>
      <c r="E121" s="50"/>
      <c r="F121" s="50" t="s">
        <v>305</v>
      </c>
      <c r="G121" s="50" t="s">
        <v>142</v>
      </c>
      <c r="H121" s="48"/>
      <c r="I121" s="48"/>
    </row>
    <row r="122" spans="1:9" x14ac:dyDescent="0.2">
      <c r="A122" s="48" t="s">
        <v>249</v>
      </c>
      <c r="B122" s="48">
        <v>1</v>
      </c>
      <c r="C122" s="48"/>
      <c r="D122" s="48"/>
      <c r="E122" s="48"/>
      <c r="F122" s="48"/>
      <c r="G122" s="48"/>
      <c r="H122" s="48"/>
      <c r="I122" s="48"/>
    </row>
    <row r="123" spans="1:9" x14ac:dyDescent="0.2">
      <c r="A123" s="48" t="s">
        <v>128</v>
      </c>
      <c r="B123" s="48">
        <v>1</v>
      </c>
      <c r="C123" s="48"/>
      <c r="D123" s="48"/>
      <c r="E123" s="48"/>
      <c r="F123" s="48"/>
      <c r="G123" s="48"/>
      <c r="H123" s="48"/>
      <c r="I123" s="48"/>
    </row>
    <row r="124" spans="1:9" x14ac:dyDescent="0.2">
      <c r="A124" s="48" t="s">
        <v>93</v>
      </c>
      <c r="B124" s="48">
        <v>1</v>
      </c>
      <c r="C124" s="48"/>
      <c r="D124" s="48"/>
      <c r="E124" s="48"/>
      <c r="F124" s="48"/>
      <c r="G124" s="48"/>
      <c r="H124" s="48"/>
      <c r="I124" s="48"/>
    </row>
    <row r="125" spans="1:9" x14ac:dyDescent="0.2">
      <c r="A125" s="49" t="s">
        <v>250</v>
      </c>
      <c r="B125" s="49"/>
      <c r="C125" s="49"/>
      <c r="D125" s="49">
        <v>1</v>
      </c>
      <c r="E125" s="49"/>
      <c r="F125" s="49"/>
      <c r="G125" s="48"/>
      <c r="H125" s="48"/>
      <c r="I125" s="48"/>
    </row>
    <row r="126" spans="1:9" x14ac:dyDescent="0.2">
      <c r="A126" s="49" t="s">
        <v>251</v>
      </c>
      <c r="B126" s="49"/>
      <c r="C126" s="49"/>
      <c r="D126" s="49">
        <v>1</v>
      </c>
      <c r="E126" s="49"/>
      <c r="F126" s="49"/>
      <c r="G126" s="48"/>
      <c r="H126" s="48"/>
      <c r="I126" s="48"/>
    </row>
    <row r="127" spans="1:9" x14ac:dyDescent="0.2">
      <c r="A127" s="48" t="s">
        <v>56</v>
      </c>
      <c r="B127" s="48">
        <v>1</v>
      </c>
      <c r="C127" s="48"/>
      <c r="D127" s="48"/>
      <c r="E127" s="48"/>
      <c r="F127" s="48"/>
      <c r="G127" s="48"/>
      <c r="H127" s="48"/>
      <c r="I127" s="48"/>
    </row>
    <row r="128" spans="1:9" x14ac:dyDescent="0.2">
      <c r="A128" s="48" t="s">
        <v>86</v>
      </c>
      <c r="B128" s="48">
        <v>1</v>
      </c>
      <c r="C128" s="48"/>
      <c r="D128" s="48"/>
      <c r="E128" s="48"/>
      <c r="F128" s="48"/>
      <c r="G128" s="48"/>
      <c r="H128" s="48"/>
      <c r="I128" s="48"/>
    </row>
    <row r="129" spans="1:9" x14ac:dyDescent="0.2">
      <c r="A129" s="48" t="s">
        <v>108</v>
      </c>
      <c r="B129" s="48">
        <v>1</v>
      </c>
      <c r="C129" s="48"/>
      <c r="D129" s="48"/>
      <c r="E129" s="48"/>
      <c r="F129" s="48"/>
      <c r="G129" s="48"/>
      <c r="H129" s="48"/>
      <c r="I129" s="48"/>
    </row>
    <row r="130" spans="1:9" x14ac:dyDescent="0.2">
      <c r="A130" s="49" t="s">
        <v>252</v>
      </c>
      <c r="B130" s="49"/>
      <c r="C130" s="49"/>
      <c r="D130" s="49">
        <v>1</v>
      </c>
      <c r="E130" s="49"/>
      <c r="F130" s="49"/>
      <c r="G130" s="48"/>
      <c r="H130" s="48"/>
      <c r="I130" s="48"/>
    </row>
    <row r="131" spans="1:9" x14ac:dyDescent="0.2">
      <c r="A131" s="50" t="s">
        <v>253</v>
      </c>
      <c r="B131" s="50"/>
      <c r="C131" s="50">
        <v>1</v>
      </c>
      <c r="D131" s="50"/>
      <c r="E131" s="50"/>
      <c r="F131" s="50" t="s">
        <v>304</v>
      </c>
      <c r="G131" s="50" t="s">
        <v>144</v>
      </c>
      <c r="H131" s="48"/>
      <c r="I131" s="48"/>
    </row>
    <row r="132" spans="1:9" x14ac:dyDescent="0.2">
      <c r="A132" s="48" t="s">
        <v>12</v>
      </c>
      <c r="B132" s="48">
        <v>1</v>
      </c>
      <c r="C132" s="48"/>
      <c r="D132" s="48"/>
      <c r="E132" s="48"/>
      <c r="F132" s="48"/>
      <c r="G132" s="48"/>
      <c r="H132" s="48"/>
      <c r="I132" s="48"/>
    </row>
    <row r="133" spans="1:9" x14ac:dyDescent="0.2">
      <c r="A133" s="50" t="s">
        <v>254</v>
      </c>
      <c r="B133" s="50"/>
      <c r="C133" s="50">
        <v>1</v>
      </c>
      <c r="D133" s="50"/>
      <c r="E133" s="50"/>
      <c r="F133" s="50" t="s">
        <v>305</v>
      </c>
      <c r="G133" s="50" t="s">
        <v>144</v>
      </c>
      <c r="H133" s="48"/>
      <c r="I133" s="48"/>
    </row>
    <row r="134" spans="1:9" x14ac:dyDescent="0.2">
      <c r="A134" s="48" t="s">
        <v>57</v>
      </c>
      <c r="B134" s="48">
        <v>1</v>
      </c>
      <c r="C134" s="48"/>
      <c r="D134" s="48"/>
      <c r="E134" s="48"/>
      <c r="F134" s="48"/>
      <c r="G134" s="48"/>
      <c r="H134" s="48"/>
      <c r="I134" s="48"/>
    </row>
    <row r="135" spans="1:9" x14ac:dyDescent="0.2">
      <c r="A135" s="48" t="s">
        <v>255</v>
      </c>
      <c r="B135" s="48">
        <v>1</v>
      </c>
      <c r="C135" s="48"/>
      <c r="D135" s="48"/>
      <c r="E135" s="48"/>
      <c r="F135" s="48"/>
      <c r="G135" s="48"/>
      <c r="H135" s="48"/>
      <c r="I135" s="48"/>
    </row>
    <row r="136" spans="1:9" x14ac:dyDescent="0.2">
      <c r="A136" s="48" t="s">
        <v>89</v>
      </c>
      <c r="B136" s="48">
        <v>1</v>
      </c>
      <c r="C136" s="48"/>
      <c r="D136" s="48"/>
      <c r="E136" s="48"/>
      <c r="F136" s="48"/>
      <c r="G136" s="48"/>
      <c r="H136" s="48"/>
      <c r="I136" s="48"/>
    </row>
    <row r="137" spans="1:9" x14ac:dyDescent="0.2">
      <c r="A137" s="48" t="s">
        <v>94</v>
      </c>
      <c r="B137" s="48">
        <v>1</v>
      </c>
      <c r="C137" s="48"/>
      <c r="D137" s="48"/>
      <c r="E137" s="48"/>
      <c r="F137" s="48"/>
      <c r="G137" s="48"/>
      <c r="H137" s="48"/>
      <c r="I137" s="48"/>
    </row>
    <row r="138" spans="1:9" x14ac:dyDescent="0.2">
      <c r="A138" s="48" t="s">
        <v>256</v>
      </c>
      <c r="B138" s="48">
        <v>1</v>
      </c>
      <c r="C138" s="48"/>
      <c r="D138" s="48"/>
      <c r="E138" s="48"/>
      <c r="F138" s="48"/>
      <c r="G138" s="48"/>
      <c r="H138" s="48"/>
      <c r="I138" s="48"/>
    </row>
    <row r="139" spans="1:9" x14ac:dyDescent="0.2">
      <c r="A139" s="49" t="s">
        <v>257</v>
      </c>
      <c r="B139" s="49"/>
      <c r="C139" s="49"/>
      <c r="D139" s="49">
        <v>1</v>
      </c>
      <c r="E139" s="49"/>
      <c r="F139" s="49"/>
      <c r="G139" s="48"/>
      <c r="H139" s="48"/>
      <c r="I139" s="48"/>
    </row>
    <row r="140" spans="1:9" x14ac:dyDescent="0.2">
      <c r="A140" s="49" t="s">
        <v>258</v>
      </c>
      <c r="B140" s="49"/>
      <c r="C140" s="49"/>
      <c r="D140" s="49">
        <v>1</v>
      </c>
      <c r="E140" s="49"/>
      <c r="F140" s="49"/>
      <c r="G140" s="48"/>
      <c r="H140" s="48"/>
      <c r="I140" s="48"/>
    </row>
    <row r="141" spans="1:9" x14ac:dyDescent="0.2">
      <c r="A141" s="51" t="s">
        <v>259</v>
      </c>
      <c r="B141" s="51"/>
      <c r="C141" s="51"/>
      <c r="D141" s="51"/>
      <c r="E141" s="51">
        <v>1</v>
      </c>
      <c r="F141" s="51" t="s">
        <v>309</v>
      </c>
      <c r="G141" s="51" t="s">
        <v>144</v>
      </c>
      <c r="H141" s="48"/>
      <c r="I141" s="48"/>
    </row>
    <row r="142" spans="1:9" x14ac:dyDescent="0.2">
      <c r="A142" s="50" t="s">
        <v>260</v>
      </c>
      <c r="B142" s="50"/>
      <c r="C142" s="50">
        <v>1</v>
      </c>
      <c r="D142" s="50"/>
      <c r="E142" s="50"/>
      <c r="F142" s="50" t="s">
        <v>304</v>
      </c>
      <c r="G142" s="50" t="s">
        <v>144</v>
      </c>
      <c r="H142" s="48"/>
      <c r="I142" s="48"/>
    </row>
    <row r="143" spans="1:9" x14ac:dyDescent="0.2">
      <c r="A143" s="49" t="s">
        <v>261</v>
      </c>
      <c r="B143" s="49"/>
      <c r="C143" s="49"/>
      <c r="D143" s="49">
        <v>1</v>
      </c>
      <c r="E143" s="49"/>
      <c r="F143" s="49"/>
      <c r="G143" s="48"/>
      <c r="H143" s="48"/>
      <c r="I143" s="48"/>
    </row>
    <row r="144" spans="1:9" x14ac:dyDescent="0.2">
      <c r="A144" s="50" t="s">
        <v>262</v>
      </c>
      <c r="B144" s="50"/>
      <c r="C144" s="50">
        <v>1</v>
      </c>
      <c r="D144" s="50"/>
      <c r="E144" s="50"/>
      <c r="F144" s="50" t="s">
        <v>310</v>
      </c>
      <c r="G144" s="50" t="s">
        <v>143</v>
      </c>
      <c r="H144" s="48"/>
      <c r="I144" s="48"/>
    </row>
    <row r="145" spans="1:9" x14ac:dyDescent="0.2">
      <c r="A145" s="48" t="s">
        <v>263</v>
      </c>
      <c r="B145" s="48">
        <v>1</v>
      </c>
      <c r="C145" s="48"/>
      <c r="D145" s="48"/>
      <c r="E145" s="48"/>
      <c r="F145" s="48"/>
      <c r="G145" s="48"/>
      <c r="H145" s="48"/>
      <c r="I145" s="48"/>
    </row>
    <row r="146" spans="1:9" x14ac:dyDescent="0.2">
      <c r="A146" s="48" t="s">
        <v>14</v>
      </c>
      <c r="B146" s="48">
        <v>1</v>
      </c>
      <c r="C146" s="48"/>
      <c r="D146" s="48"/>
      <c r="E146" s="48"/>
      <c r="F146" s="48"/>
      <c r="G146" s="48"/>
      <c r="H146" s="48"/>
      <c r="I146" s="48"/>
    </row>
    <row r="147" spans="1:9" x14ac:dyDescent="0.2">
      <c r="A147" s="49" t="s">
        <v>264</v>
      </c>
      <c r="B147" s="49"/>
      <c r="C147" s="49"/>
      <c r="D147" s="49">
        <v>1</v>
      </c>
      <c r="E147" s="49"/>
      <c r="F147" s="49"/>
      <c r="G147" s="48"/>
      <c r="H147" s="48"/>
      <c r="I147" s="48"/>
    </row>
    <row r="148" spans="1:9" x14ac:dyDescent="0.2">
      <c r="A148" s="48" t="s">
        <v>265</v>
      </c>
      <c r="B148" s="48">
        <v>1</v>
      </c>
      <c r="C148" s="48"/>
      <c r="D148" s="48"/>
      <c r="E148" s="48"/>
      <c r="F148" s="48"/>
      <c r="G148" s="48"/>
      <c r="H148" s="48"/>
      <c r="I148" s="48"/>
    </row>
    <row r="149" spans="1:9" x14ac:dyDescent="0.2">
      <c r="A149" s="50" t="s">
        <v>266</v>
      </c>
      <c r="B149" s="50"/>
      <c r="C149" s="50">
        <v>1</v>
      </c>
      <c r="D149" s="50"/>
      <c r="E149" s="50"/>
      <c r="F149" s="50" t="s">
        <v>304</v>
      </c>
      <c r="G149" s="50" t="s">
        <v>144</v>
      </c>
      <c r="H149" s="48"/>
      <c r="I149" s="48"/>
    </row>
    <row r="150" spans="1:9" x14ac:dyDescent="0.2">
      <c r="A150" s="48" t="s">
        <v>87</v>
      </c>
      <c r="B150" s="48">
        <v>1</v>
      </c>
      <c r="C150" s="48"/>
      <c r="D150" s="48"/>
      <c r="E150" s="48"/>
      <c r="F150" s="48"/>
      <c r="G150" s="48"/>
      <c r="H150" s="48"/>
      <c r="I150" s="48"/>
    </row>
    <row r="151" spans="1:9" x14ac:dyDescent="0.2">
      <c r="A151" s="48" t="s">
        <v>267</v>
      </c>
      <c r="B151" s="48">
        <v>1</v>
      </c>
      <c r="C151" s="48"/>
      <c r="D151" s="48"/>
      <c r="E151" s="48"/>
      <c r="F151" s="48"/>
      <c r="G151" s="48"/>
      <c r="H151" s="48"/>
      <c r="I151" s="48"/>
    </row>
    <row r="152" spans="1:9" x14ac:dyDescent="0.2">
      <c r="A152" s="48" t="s">
        <v>268</v>
      </c>
      <c r="B152" s="48">
        <v>1</v>
      </c>
      <c r="C152" s="48"/>
      <c r="D152" s="48"/>
      <c r="E152" s="48"/>
      <c r="F152" s="48"/>
      <c r="G152" s="48"/>
      <c r="H152" s="48"/>
      <c r="I152" s="48"/>
    </row>
    <row r="153" spans="1:9" x14ac:dyDescent="0.2">
      <c r="A153" s="48" t="s">
        <v>111</v>
      </c>
      <c r="B153" s="48">
        <v>1</v>
      </c>
      <c r="C153" s="48"/>
      <c r="D153" s="48"/>
      <c r="E153" s="48"/>
      <c r="F153" s="48"/>
      <c r="G153" s="48"/>
      <c r="H153" s="48"/>
      <c r="I153" s="48"/>
    </row>
    <row r="154" spans="1:9" x14ac:dyDescent="0.2">
      <c r="A154" s="51" t="s">
        <v>269</v>
      </c>
      <c r="B154" s="51"/>
      <c r="C154" s="51"/>
      <c r="D154" s="51"/>
      <c r="E154" s="51">
        <v>1</v>
      </c>
      <c r="F154" s="51" t="s">
        <v>305</v>
      </c>
      <c r="G154" s="51" t="s">
        <v>144</v>
      </c>
      <c r="H154" s="48"/>
      <c r="I154" s="48"/>
    </row>
    <row r="155" spans="1:9" x14ac:dyDescent="0.2">
      <c r="A155" s="49" t="s">
        <v>270</v>
      </c>
      <c r="B155" s="49"/>
      <c r="C155" s="49"/>
      <c r="D155" s="49">
        <v>1</v>
      </c>
      <c r="E155" s="49"/>
      <c r="F155" s="49"/>
      <c r="G155" s="48"/>
      <c r="H155" s="48"/>
      <c r="I155" s="48"/>
    </row>
    <row r="156" spans="1:9" x14ac:dyDescent="0.2">
      <c r="A156" s="49" t="s">
        <v>271</v>
      </c>
      <c r="B156" s="49"/>
      <c r="C156" s="49"/>
      <c r="D156" s="49">
        <v>1</v>
      </c>
      <c r="E156" s="49"/>
      <c r="F156" s="49"/>
      <c r="G156" s="48"/>
      <c r="H156" s="48"/>
      <c r="I156" s="48"/>
    </row>
    <row r="157" spans="1:9" x14ac:dyDescent="0.2">
      <c r="A157" s="48" t="s">
        <v>272</v>
      </c>
      <c r="B157" s="48">
        <v>1</v>
      </c>
      <c r="C157" s="48"/>
      <c r="D157" s="48"/>
      <c r="E157" s="48"/>
      <c r="F157" s="48"/>
      <c r="G157" s="48"/>
      <c r="H157" s="48"/>
      <c r="I157" s="48"/>
    </row>
    <row r="158" spans="1:9" x14ac:dyDescent="0.2">
      <c r="A158" s="51" t="s">
        <v>273</v>
      </c>
      <c r="B158" s="51"/>
      <c r="C158" s="51"/>
      <c r="D158" s="51"/>
      <c r="E158" s="51">
        <v>1</v>
      </c>
      <c r="F158" s="51" t="s">
        <v>307</v>
      </c>
      <c r="G158" s="51" t="s">
        <v>141</v>
      </c>
      <c r="H158" s="48"/>
      <c r="I158" s="48"/>
    </row>
    <row r="159" spans="1:9" x14ac:dyDescent="0.2">
      <c r="A159" s="48" t="s">
        <v>274</v>
      </c>
      <c r="B159" s="48">
        <v>1</v>
      </c>
      <c r="C159" s="48"/>
      <c r="D159" s="48"/>
      <c r="E159" s="48"/>
      <c r="F159" s="48"/>
      <c r="G159" s="48"/>
      <c r="H159" s="48"/>
      <c r="I159" s="48"/>
    </row>
    <row r="160" spans="1:9" x14ac:dyDescent="0.2">
      <c r="A160" s="48" t="s">
        <v>275</v>
      </c>
      <c r="B160" s="48">
        <v>1</v>
      </c>
      <c r="C160" s="48"/>
      <c r="D160" s="48"/>
      <c r="E160" s="48"/>
      <c r="F160" s="48"/>
      <c r="G160" s="48"/>
      <c r="H160" s="48"/>
      <c r="I160" s="48"/>
    </row>
    <row r="161" spans="1:9" x14ac:dyDescent="0.2">
      <c r="A161" s="49" t="s">
        <v>276</v>
      </c>
      <c r="B161" s="49"/>
      <c r="C161" s="49"/>
      <c r="D161" s="49">
        <v>1</v>
      </c>
      <c r="E161" s="49"/>
      <c r="F161" s="49"/>
      <c r="G161" s="48"/>
      <c r="H161" s="48"/>
      <c r="I161" s="48"/>
    </row>
    <row r="162" spans="1:9" x14ac:dyDescent="0.2">
      <c r="A162" s="48" t="s">
        <v>15</v>
      </c>
      <c r="B162" s="48">
        <v>1</v>
      </c>
      <c r="C162" s="48"/>
      <c r="D162" s="48"/>
      <c r="E162" s="48"/>
      <c r="F162" s="48"/>
      <c r="G162" s="48"/>
      <c r="H162" s="48"/>
      <c r="I162" s="48"/>
    </row>
    <row r="163" spans="1:9" x14ac:dyDescent="0.2">
      <c r="A163" s="48" t="s">
        <v>277</v>
      </c>
      <c r="B163" s="48">
        <v>1</v>
      </c>
      <c r="C163" s="48"/>
      <c r="D163" s="48"/>
      <c r="E163" s="48"/>
      <c r="F163" s="48"/>
      <c r="G163" s="48"/>
      <c r="H163" s="48"/>
      <c r="I163" s="48"/>
    </row>
    <row r="164" spans="1:9" x14ac:dyDescent="0.2">
      <c r="A164" s="48" t="s">
        <v>58</v>
      </c>
      <c r="B164" s="48">
        <v>1</v>
      </c>
      <c r="C164" s="48"/>
      <c r="D164" s="48"/>
      <c r="E164" s="48"/>
      <c r="F164" s="48"/>
      <c r="G164" s="48"/>
      <c r="H164" s="48"/>
      <c r="I164" s="48"/>
    </row>
    <row r="165" spans="1:9" x14ac:dyDescent="0.2">
      <c r="A165" s="48" t="s">
        <v>278</v>
      </c>
      <c r="B165" s="48">
        <v>1</v>
      </c>
      <c r="C165" s="48"/>
      <c r="D165" s="48"/>
      <c r="E165" s="48"/>
      <c r="F165" s="48"/>
      <c r="G165" s="48"/>
      <c r="H165" s="48"/>
      <c r="I165" s="48"/>
    </row>
    <row r="166" spans="1:9" x14ac:dyDescent="0.2">
      <c r="A166" s="48" t="s">
        <v>39</v>
      </c>
      <c r="B166" s="48">
        <v>1</v>
      </c>
      <c r="C166" s="48"/>
      <c r="D166" s="48"/>
      <c r="E166" s="48"/>
      <c r="F166" s="48"/>
      <c r="G166" s="48"/>
      <c r="H166" s="48"/>
      <c r="I166" s="48"/>
    </row>
    <row r="167" spans="1:9" x14ac:dyDescent="0.2">
      <c r="A167" s="48" t="s">
        <v>279</v>
      </c>
      <c r="B167" s="48">
        <v>1</v>
      </c>
      <c r="C167" s="48"/>
      <c r="D167" s="48"/>
      <c r="E167" s="48"/>
      <c r="F167" s="48"/>
      <c r="G167" s="48"/>
      <c r="H167" s="48"/>
      <c r="I167" s="48"/>
    </row>
    <row r="168" spans="1:9" x14ac:dyDescent="0.2">
      <c r="A168" s="49" t="s">
        <v>280</v>
      </c>
      <c r="B168" s="49"/>
      <c r="C168" s="49"/>
      <c r="D168" s="49">
        <v>1</v>
      </c>
      <c r="E168" s="49"/>
      <c r="F168" s="49"/>
      <c r="G168" s="48"/>
      <c r="H168" s="48"/>
      <c r="I168" s="48"/>
    </row>
    <row r="169" spans="1:9" x14ac:dyDescent="0.2">
      <c r="A169" s="49" t="s">
        <v>281</v>
      </c>
      <c r="B169" s="49"/>
      <c r="C169" s="49"/>
      <c r="D169" s="49">
        <v>1</v>
      </c>
      <c r="E169" s="49"/>
      <c r="F169" s="49"/>
      <c r="G169" s="48"/>
      <c r="H169" s="48"/>
      <c r="I169" s="48"/>
    </row>
    <row r="170" spans="1:9" x14ac:dyDescent="0.2">
      <c r="A170" s="51" t="s">
        <v>282</v>
      </c>
      <c r="B170" s="51"/>
      <c r="C170" s="51"/>
      <c r="D170" s="51"/>
      <c r="E170" s="51">
        <v>1</v>
      </c>
      <c r="F170" s="51" t="s">
        <v>304</v>
      </c>
      <c r="G170" s="51" t="s">
        <v>141</v>
      </c>
      <c r="H170" s="48"/>
      <c r="I170" s="48"/>
    </row>
    <row r="171" spans="1:9" x14ac:dyDescent="0.2">
      <c r="A171" s="51" t="s">
        <v>283</v>
      </c>
      <c r="B171" s="51"/>
      <c r="C171" s="51"/>
      <c r="D171" s="51"/>
      <c r="E171" s="51">
        <v>1</v>
      </c>
      <c r="F171" s="51" t="s">
        <v>305</v>
      </c>
      <c r="G171" s="51" t="s">
        <v>144</v>
      </c>
      <c r="H171" s="48"/>
      <c r="I171" s="48"/>
    </row>
    <row r="172" spans="1:9" x14ac:dyDescent="0.2">
      <c r="A172" s="48" t="s">
        <v>284</v>
      </c>
      <c r="B172" s="48">
        <v>1</v>
      </c>
      <c r="C172" s="48"/>
      <c r="D172" s="48"/>
      <c r="E172" s="48"/>
      <c r="F172" s="48"/>
      <c r="G172" s="48"/>
      <c r="H172" s="48"/>
      <c r="I172" s="48"/>
    </row>
    <row r="173" spans="1:9" x14ac:dyDescent="0.2">
      <c r="A173" s="48" t="s">
        <v>285</v>
      </c>
      <c r="B173" s="48">
        <v>1</v>
      </c>
      <c r="C173" s="48"/>
      <c r="D173" s="48"/>
      <c r="E173" s="48"/>
      <c r="F173" s="48"/>
      <c r="G173" s="48"/>
      <c r="H173" s="48"/>
      <c r="I173" s="48"/>
    </row>
    <row r="174" spans="1:9" x14ac:dyDescent="0.2">
      <c r="A174" s="50" t="s">
        <v>286</v>
      </c>
      <c r="B174" s="50"/>
      <c r="C174" s="50">
        <v>1</v>
      </c>
      <c r="D174" s="50"/>
      <c r="E174" s="50"/>
      <c r="F174" s="50" t="s">
        <v>305</v>
      </c>
      <c r="G174" s="50" t="s">
        <v>143</v>
      </c>
      <c r="H174" s="48"/>
      <c r="I174" s="48"/>
    </row>
    <row r="175" spans="1:9" x14ac:dyDescent="0.2">
      <c r="A175" s="50" t="s">
        <v>287</v>
      </c>
      <c r="B175" s="50"/>
      <c r="C175" s="50">
        <v>1</v>
      </c>
      <c r="D175" s="50"/>
      <c r="E175" s="50"/>
      <c r="F175" s="50" t="s">
        <v>305</v>
      </c>
      <c r="G175" s="50" t="s">
        <v>142</v>
      </c>
      <c r="H175" s="48"/>
      <c r="I175" s="48"/>
    </row>
    <row r="176" spans="1:9" x14ac:dyDescent="0.2">
      <c r="A176" s="48" t="s">
        <v>41</v>
      </c>
      <c r="B176" s="48">
        <v>1</v>
      </c>
      <c r="C176" s="48"/>
      <c r="D176" s="48"/>
      <c r="E176" s="48"/>
      <c r="F176" s="48"/>
      <c r="G176" s="48"/>
      <c r="H176" s="48"/>
      <c r="I176" s="48"/>
    </row>
    <row r="177" spans="1:9" x14ac:dyDescent="0.2">
      <c r="A177" s="48" t="s">
        <v>96</v>
      </c>
      <c r="B177" s="48">
        <v>1</v>
      </c>
      <c r="C177" s="48"/>
      <c r="D177" s="48"/>
      <c r="E177" s="48"/>
      <c r="F177" s="48"/>
      <c r="G177" s="48"/>
      <c r="H177" s="48"/>
      <c r="I177" s="48"/>
    </row>
    <row r="178" spans="1:9" x14ac:dyDescent="0.2">
      <c r="A178" s="50" t="s">
        <v>288</v>
      </c>
      <c r="B178" s="50"/>
      <c r="C178" s="50">
        <v>1</v>
      </c>
      <c r="D178" s="50"/>
      <c r="E178" s="50"/>
      <c r="F178" s="50" t="s">
        <v>309</v>
      </c>
      <c r="G178" s="50" t="s">
        <v>144</v>
      </c>
      <c r="H178" s="48"/>
      <c r="I178" s="48"/>
    </row>
    <row r="179" spans="1:9" x14ac:dyDescent="0.2">
      <c r="A179" s="48" t="s">
        <v>289</v>
      </c>
      <c r="B179" s="48">
        <v>1</v>
      </c>
      <c r="C179" s="48"/>
      <c r="D179" s="48"/>
      <c r="E179" s="48"/>
      <c r="F179" s="48"/>
      <c r="G179" s="48"/>
      <c r="H179" s="48"/>
      <c r="I179" s="48"/>
    </row>
    <row r="180" spans="1:9" x14ac:dyDescent="0.2">
      <c r="A180" s="48" t="s">
        <v>290</v>
      </c>
      <c r="B180" s="48">
        <v>1</v>
      </c>
      <c r="C180" s="48"/>
      <c r="D180" s="48"/>
      <c r="E180" s="48"/>
      <c r="F180" s="48"/>
      <c r="G180" s="48"/>
      <c r="H180" s="48"/>
      <c r="I180" s="48"/>
    </row>
    <row r="181" spans="1:9" x14ac:dyDescent="0.2">
      <c r="A181" s="50" t="s">
        <v>291</v>
      </c>
      <c r="B181" s="50"/>
      <c r="C181" s="50">
        <v>1</v>
      </c>
      <c r="D181" s="50"/>
      <c r="E181" s="50"/>
      <c r="F181" s="50" t="s">
        <v>310</v>
      </c>
      <c r="G181" s="50" t="s">
        <v>143</v>
      </c>
      <c r="H181" s="48"/>
      <c r="I181" s="48"/>
    </row>
    <row r="182" spans="1:9" x14ac:dyDescent="0.2">
      <c r="A182" s="48" t="s">
        <v>16</v>
      </c>
      <c r="B182" s="48">
        <v>1</v>
      </c>
      <c r="C182" s="48"/>
      <c r="D182" s="48"/>
      <c r="E182" s="48"/>
      <c r="F182" s="48"/>
      <c r="G182" s="48"/>
      <c r="H182" s="48"/>
      <c r="I182" s="48"/>
    </row>
    <row r="183" spans="1:9" x14ac:dyDescent="0.2">
      <c r="A183" s="48" t="s">
        <v>112</v>
      </c>
      <c r="B183" s="48">
        <v>1</v>
      </c>
      <c r="C183" s="48"/>
      <c r="D183" s="48"/>
      <c r="E183" s="48"/>
      <c r="F183" s="48"/>
      <c r="G183" s="48"/>
      <c r="H183" s="48"/>
      <c r="I183" s="48"/>
    </row>
    <row r="184" spans="1:9" x14ac:dyDescent="0.2">
      <c r="A184" s="48" t="s">
        <v>80</v>
      </c>
      <c r="B184" s="48">
        <v>1</v>
      </c>
      <c r="C184" s="48"/>
      <c r="D184" s="48"/>
      <c r="E184" s="48"/>
      <c r="F184" s="48"/>
      <c r="G184" s="48"/>
      <c r="H184" s="48"/>
      <c r="I184" s="48"/>
    </row>
    <row r="185" spans="1:9" x14ac:dyDescent="0.2">
      <c r="A185" s="50" t="s">
        <v>292</v>
      </c>
      <c r="B185" s="50"/>
      <c r="C185" s="50">
        <v>1</v>
      </c>
      <c r="D185" s="50"/>
      <c r="E185" s="50"/>
      <c r="F185" s="50" t="s">
        <v>304</v>
      </c>
      <c r="G185" s="50" t="s">
        <v>144</v>
      </c>
      <c r="H185" s="48"/>
      <c r="I185" s="48"/>
    </row>
    <row r="186" spans="1:9" x14ac:dyDescent="0.2">
      <c r="A186" s="49" t="s">
        <v>293</v>
      </c>
      <c r="B186" s="49"/>
      <c r="C186" s="49"/>
      <c r="D186" s="49">
        <v>1</v>
      </c>
      <c r="E186" s="49"/>
      <c r="F186" s="49"/>
      <c r="G186" s="48"/>
      <c r="H186" s="48"/>
      <c r="I186" s="48"/>
    </row>
    <row r="187" spans="1:9" x14ac:dyDescent="0.2">
      <c r="A187" s="49" t="s">
        <v>294</v>
      </c>
      <c r="B187" s="49"/>
      <c r="C187" s="49"/>
      <c r="D187" s="49">
        <v>1</v>
      </c>
      <c r="E187" s="49"/>
      <c r="F187" s="49"/>
      <c r="G187" s="48"/>
      <c r="H187" s="48"/>
      <c r="I187" s="48"/>
    </row>
    <row r="188" spans="1:9" x14ac:dyDescent="0.2">
      <c r="A188" s="48" t="s">
        <v>126</v>
      </c>
      <c r="B188" s="48">
        <v>1</v>
      </c>
      <c r="C188" s="48"/>
      <c r="D188" s="48"/>
      <c r="E188" s="48"/>
      <c r="F188" s="48"/>
      <c r="G188" s="48"/>
      <c r="H188" s="48"/>
      <c r="I188" s="48"/>
    </row>
    <row r="189" spans="1:9" x14ac:dyDescent="0.2">
      <c r="A189" s="50" t="s">
        <v>295</v>
      </c>
      <c r="B189" s="50"/>
      <c r="C189" s="50">
        <v>1</v>
      </c>
      <c r="D189" s="50"/>
      <c r="E189" s="50"/>
      <c r="F189" s="50" t="s">
        <v>310</v>
      </c>
      <c r="G189" s="50" t="s">
        <v>142</v>
      </c>
      <c r="H189" s="48"/>
      <c r="I189" s="48"/>
    </row>
    <row r="190" spans="1:9" x14ac:dyDescent="0.2">
      <c r="A190" s="48" t="s">
        <v>113</v>
      </c>
      <c r="B190" s="48">
        <v>1</v>
      </c>
      <c r="C190" s="48"/>
      <c r="D190" s="48"/>
      <c r="E190" s="48"/>
      <c r="F190" s="48"/>
      <c r="G190" s="48"/>
      <c r="H190" s="48"/>
      <c r="I190" s="48"/>
    </row>
    <row r="191" spans="1:9" x14ac:dyDescent="0.2">
      <c r="A191" s="48" t="s">
        <v>60</v>
      </c>
      <c r="B191" s="48">
        <v>1</v>
      </c>
      <c r="C191" s="48"/>
      <c r="D191" s="48"/>
      <c r="E191" s="48"/>
      <c r="F191" s="48"/>
      <c r="G191" s="48"/>
      <c r="H191" s="48"/>
      <c r="I191" s="48"/>
    </row>
    <row r="192" spans="1:9" x14ac:dyDescent="0.2">
      <c r="A192" s="48" t="s">
        <v>17</v>
      </c>
      <c r="B192" s="48">
        <v>1</v>
      </c>
      <c r="C192" s="48"/>
      <c r="D192" s="48"/>
      <c r="E192" s="48"/>
      <c r="F192" s="48"/>
      <c r="G192" s="48"/>
      <c r="H192" s="48"/>
      <c r="I192" s="48"/>
    </row>
    <row r="193" spans="1:9" x14ac:dyDescent="0.2">
      <c r="A193" s="48" t="s">
        <v>296</v>
      </c>
      <c r="B193" s="48">
        <v>1</v>
      </c>
      <c r="C193" s="48"/>
      <c r="D193" s="48"/>
      <c r="E193" s="48"/>
      <c r="F193" s="48"/>
      <c r="G193" s="48"/>
      <c r="H193" s="48"/>
      <c r="I193" s="48"/>
    </row>
    <row r="194" spans="1:9" x14ac:dyDescent="0.2">
      <c r="A194" s="48" t="s">
        <v>297</v>
      </c>
      <c r="B194" s="48">
        <v>1</v>
      </c>
      <c r="C194" s="48"/>
      <c r="D194" s="48"/>
      <c r="E194" s="48"/>
      <c r="F194" s="48"/>
      <c r="G194" s="48"/>
      <c r="H194" s="48"/>
      <c r="I194" s="48"/>
    </row>
    <row r="195" spans="1:9" x14ac:dyDescent="0.2">
      <c r="A195" s="48" t="s">
        <v>298</v>
      </c>
      <c r="B195" s="48">
        <v>1</v>
      </c>
      <c r="C195" s="48"/>
      <c r="D195" s="48"/>
      <c r="E195" s="48"/>
      <c r="F195" s="48"/>
      <c r="G195" s="48"/>
      <c r="H195" s="48"/>
      <c r="I195" s="48"/>
    </row>
    <row r="196" spans="1:9" x14ac:dyDescent="0.2">
      <c r="A196" s="48"/>
      <c r="B196" s="48">
        <v>123</v>
      </c>
      <c r="C196" s="48">
        <v>23</v>
      </c>
      <c r="D196" s="48">
        <v>40</v>
      </c>
      <c r="E196" s="48">
        <v>8</v>
      </c>
      <c r="F196" s="48"/>
      <c r="G196" s="48"/>
      <c r="H196" s="48" t="s">
        <v>299</v>
      </c>
      <c r="I196" s="48">
        <v>194</v>
      </c>
    </row>
    <row r="197" spans="1:9" x14ac:dyDescent="0.2">
      <c r="A197" s="48"/>
      <c r="B197" s="48"/>
      <c r="C197" s="48"/>
      <c r="D197" s="48"/>
      <c r="E197" s="48"/>
      <c r="F197" s="48"/>
      <c r="G197" s="48"/>
      <c r="H197" s="48" t="s">
        <v>300</v>
      </c>
      <c r="I197" s="48">
        <v>154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Abbildung 1</vt:lpstr>
      <vt:lpstr>Abbildung 2</vt:lpstr>
      <vt:lpstr>Abbildung 3</vt:lpstr>
      <vt:lpstr>Abbildung 4</vt:lpstr>
      <vt:lpstr>Abbildung 5</vt:lpstr>
      <vt:lpstr>Grundgesamtheit</vt:lpstr>
    </vt:vector>
  </TitlesOfParts>
  <Company>erlassjahr.de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Liebal</dc:creator>
  <cp:lastModifiedBy>Dennis</cp:lastModifiedBy>
  <cp:lastPrinted>2019-02-08T14:59:41Z</cp:lastPrinted>
  <dcterms:created xsi:type="dcterms:W3CDTF">2016-12-21T11:20:55Z</dcterms:created>
  <dcterms:modified xsi:type="dcterms:W3CDTF">2020-03-12T19:48:34Z</dcterms:modified>
</cp:coreProperties>
</file>