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D:\fvdma\Downloads\"/>
    </mc:Choice>
  </mc:AlternateContent>
  <xr:revisionPtr revIDLastSave="0" documentId="13_ncr:1_{51117E11-8B58-413A-9D49-82C9616CA06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2020" sheetId="1" r:id="rId1"/>
    <sheet name="2021" sheetId="3" r:id="rId2"/>
    <sheet name="2022" sheetId="5" r:id="rId3"/>
    <sheet name="2023" sheetId="7" r:id="rId4"/>
  </sheets>
  <definedNames>
    <definedName name="_xlnm._FilterDatabase" localSheetId="0" hidden="1">'2020'!$A$1:$M$329</definedName>
    <definedName name="_xlnm._FilterDatabase" localSheetId="1" hidden="1">'2021'!$A$3:$M$511</definedName>
    <definedName name="_xlnm._FilterDatabase" localSheetId="2" hidden="1">'2022'!$A$3:$M$514</definedName>
    <definedName name="_xlnm._FilterDatabase" localSheetId="3" hidden="1">'2023'!$A$1:$M$442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7" roundtripDataChecksum="gL5RH0q0//u6vXH/m6PEffEKVR81QV4Oyswt4k/lQ04="/>
    </ext>
  </extLst>
</workbook>
</file>

<file path=xl/calcChain.xml><?xml version="1.0" encoding="utf-8"?>
<calcChain xmlns="http://schemas.openxmlformats.org/spreadsheetml/2006/main">
  <c r="H12" i="7" l="1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3" i="7"/>
  <c r="H4" i="7"/>
  <c r="H5" i="7"/>
  <c r="H6" i="7"/>
  <c r="H7" i="7"/>
  <c r="H8" i="7"/>
  <c r="H9" i="7"/>
  <c r="H10" i="7"/>
  <c r="H11" i="7"/>
  <c r="H2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3" i="7"/>
  <c r="L2" i="7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H7" i="5"/>
  <c r="H6" i="5"/>
  <c r="H5" i="5"/>
  <c r="H4" i="5"/>
  <c r="M4" i="5"/>
  <c r="M114" i="5"/>
  <c r="M211" i="5"/>
  <c r="M212" i="5"/>
  <c r="M388" i="5"/>
  <c r="M397" i="5"/>
  <c r="M491" i="5"/>
  <c r="M513" i="5" s="1"/>
  <c r="M492" i="5"/>
  <c r="M494" i="5"/>
  <c r="M495" i="5"/>
  <c r="M514" i="5"/>
  <c r="I4" i="5"/>
  <c r="I6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5" i="5"/>
  <c r="I56" i="5"/>
  <c r="I57" i="5"/>
  <c r="I61" i="5"/>
  <c r="I62" i="5"/>
  <c r="I64" i="5"/>
  <c r="I65" i="5"/>
  <c r="I66" i="5"/>
  <c r="I67" i="5"/>
  <c r="I68" i="5"/>
  <c r="I69" i="5"/>
  <c r="I70" i="5"/>
  <c r="I71" i="5"/>
  <c r="I72" i="5"/>
  <c r="I76" i="5"/>
  <c r="I77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100" i="5"/>
  <c r="I101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6" i="5"/>
  <c r="I167" i="5"/>
  <c r="I168" i="5"/>
  <c r="I169" i="5"/>
  <c r="I170" i="5"/>
  <c r="I171" i="5"/>
  <c r="I172" i="5"/>
  <c r="I173" i="5"/>
  <c r="I174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6" i="5"/>
  <c r="I208" i="5"/>
  <c r="I209" i="5"/>
  <c r="I210" i="5"/>
  <c r="I211" i="5"/>
  <c r="I212" i="5"/>
  <c r="I213" i="5"/>
  <c r="I214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5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8" i="5"/>
  <c r="I280" i="5"/>
  <c r="I281" i="5"/>
  <c r="I282" i="5"/>
  <c r="I283" i="5"/>
  <c r="I297" i="5"/>
  <c r="I298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2" i="5"/>
  <c r="I403" i="5"/>
  <c r="I404" i="5"/>
  <c r="I405" i="5"/>
  <c r="I406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9" i="5"/>
  <c r="I430" i="5"/>
  <c r="I431" i="5"/>
  <c r="I432" i="5"/>
  <c r="I433" i="5"/>
  <c r="I434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5" i="5"/>
  <c r="I506" i="5"/>
  <c r="I507" i="5"/>
  <c r="I508" i="5"/>
  <c r="I509" i="5"/>
  <c r="I510" i="5"/>
  <c r="I511" i="5"/>
  <c r="M30" i="7"/>
  <c r="M59" i="7"/>
  <c r="M146" i="7"/>
  <c r="M152" i="7"/>
  <c r="M153" i="7"/>
  <c r="M156" i="7"/>
  <c r="M157" i="7"/>
  <c r="M265" i="7"/>
  <c r="M281" i="7"/>
  <c r="M356" i="7"/>
  <c r="I3" i="7"/>
  <c r="I4" i="7"/>
  <c r="I5" i="7"/>
  <c r="I6" i="7"/>
  <c r="I7" i="7"/>
  <c r="I8" i="7"/>
  <c r="I9" i="7"/>
  <c r="I10" i="7"/>
  <c r="I11" i="7"/>
  <c r="I12" i="7"/>
  <c r="I13" i="7"/>
  <c r="I14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43" i="7"/>
  <c r="I44" i="7"/>
  <c r="I45" i="7"/>
  <c r="I46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10" i="7"/>
  <c r="I111" i="7"/>
  <c r="I112" i="7"/>
  <c r="I113" i="7"/>
  <c r="I114" i="7"/>
  <c r="I115" i="7"/>
  <c r="I116" i="7"/>
  <c r="I117" i="7"/>
  <c r="I118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9" i="7"/>
  <c r="I140" i="7"/>
  <c r="I141" i="7"/>
  <c r="I146" i="7"/>
  <c r="I152" i="7"/>
  <c r="I153" i="7"/>
  <c r="I154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90" i="7"/>
  <c r="I191" i="7"/>
  <c r="I192" i="7"/>
  <c r="I193" i="7"/>
  <c r="I195" i="7"/>
  <c r="I196" i="7"/>
  <c r="I197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20" i="7"/>
  <c r="I227" i="7"/>
  <c r="I228" i="7"/>
  <c r="I239" i="7"/>
  <c r="I240" i="7"/>
  <c r="I241" i="7"/>
  <c r="I242" i="7"/>
  <c r="I243" i="7"/>
  <c r="I24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301" i="7"/>
  <c r="I307" i="7"/>
  <c r="I308" i="7"/>
  <c r="I317" i="7"/>
  <c r="I318" i="7"/>
  <c r="I321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401" i="7"/>
  <c r="I402" i="7"/>
  <c r="I405" i="7"/>
  <c r="I406" i="7"/>
  <c r="I407" i="7"/>
  <c r="I408" i="7"/>
  <c r="I429" i="7"/>
  <c r="I430" i="7"/>
  <c r="I431" i="7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4" i="3"/>
  <c r="L5" i="3"/>
  <c r="H5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4" i="3"/>
  <c r="H7" i="3"/>
  <c r="H8" i="3"/>
  <c r="H9" i="3"/>
  <c r="H10" i="3"/>
  <c r="H11" i="3"/>
  <c r="H12" i="3"/>
  <c r="H6" i="3"/>
  <c r="M5" i="3"/>
  <c r="M6" i="3"/>
  <c r="M7" i="3"/>
  <c r="M8" i="3"/>
  <c r="M84" i="3"/>
  <c r="M91" i="3"/>
  <c r="M93" i="3"/>
  <c r="M95" i="3"/>
  <c r="M96" i="3"/>
  <c r="M97" i="3"/>
  <c r="M99" i="3"/>
  <c r="M100" i="3"/>
  <c r="M123" i="3"/>
  <c r="M175" i="3"/>
  <c r="M184" i="3"/>
  <c r="M186" i="3"/>
  <c r="M187" i="3"/>
  <c r="M202" i="3"/>
  <c r="M203" i="3"/>
  <c r="M241" i="3"/>
  <c r="M242" i="3"/>
  <c r="M268" i="3"/>
  <c r="M276" i="3"/>
  <c r="M280" i="3"/>
  <c r="M281" i="3"/>
  <c r="M296" i="3"/>
  <c r="M298" i="3"/>
  <c r="M299" i="3"/>
  <c r="M300" i="3"/>
  <c r="M350" i="3"/>
  <c r="M351" i="3"/>
  <c r="M352" i="3"/>
  <c r="M353" i="3"/>
  <c r="M356" i="3"/>
  <c r="M357" i="3"/>
  <c r="M358" i="3"/>
  <c r="M395" i="3"/>
  <c r="M438" i="3"/>
  <c r="M439" i="3"/>
  <c r="M446" i="3"/>
  <c r="M481" i="3"/>
  <c r="M482" i="3"/>
  <c r="M484" i="3"/>
  <c r="M485" i="3"/>
  <c r="M494" i="3"/>
  <c r="M506" i="3"/>
  <c r="M507" i="3"/>
  <c r="I4" i="3"/>
  <c r="I5" i="3"/>
  <c r="I6" i="3"/>
  <c r="I7" i="3"/>
  <c r="I8" i="3"/>
  <c r="I11" i="3"/>
  <c r="I12" i="3"/>
  <c r="I13" i="3"/>
  <c r="I49" i="3"/>
  <c r="I50" i="3"/>
  <c r="I51" i="3"/>
  <c r="I52" i="3"/>
  <c r="I53" i="3"/>
  <c r="I54" i="3"/>
  <c r="I57" i="3"/>
  <c r="I58" i="3"/>
  <c r="I59" i="3"/>
  <c r="I60" i="3"/>
  <c r="I61" i="3"/>
  <c r="I62" i="3"/>
  <c r="I63" i="3"/>
  <c r="I64" i="3"/>
  <c r="I65" i="3"/>
  <c r="I66" i="3"/>
  <c r="I67" i="3"/>
  <c r="I79" i="3"/>
  <c r="I83" i="3"/>
  <c r="I84" i="3"/>
  <c r="I85" i="3"/>
  <c r="I91" i="3"/>
  <c r="I92" i="3"/>
  <c r="I93" i="3"/>
  <c r="I94" i="3"/>
  <c r="I95" i="3"/>
  <c r="I96" i="3"/>
  <c r="I97" i="3"/>
  <c r="I98" i="3"/>
  <c r="I99" i="3"/>
  <c r="I100" i="3"/>
  <c r="I118" i="3"/>
  <c r="I119" i="3"/>
  <c r="I122" i="3"/>
  <c r="I123" i="3"/>
  <c r="I154" i="3"/>
  <c r="I155" i="3"/>
  <c r="I156" i="3"/>
  <c r="I157" i="3"/>
  <c r="I158" i="3"/>
  <c r="I167" i="3"/>
  <c r="I174" i="3"/>
  <c r="I175" i="3"/>
  <c r="I182" i="3"/>
  <c r="I183" i="3"/>
  <c r="I184" i="3"/>
  <c r="I185" i="3"/>
  <c r="I186" i="3"/>
  <c r="I187" i="3"/>
  <c r="I189" i="3"/>
  <c r="I190" i="3"/>
  <c r="I191" i="3"/>
  <c r="I192" i="3"/>
  <c r="I193" i="3"/>
  <c r="I194" i="3"/>
  <c r="I202" i="3"/>
  <c r="I203" i="3"/>
  <c r="I241" i="3"/>
  <c r="I242" i="3"/>
  <c r="I244" i="3"/>
  <c r="I245" i="3"/>
  <c r="I261" i="3"/>
  <c r="I262" i="3"/>
  <c r="I263" i="3"/>
  <c r="I264" i="3"/>
  <c r="I265" i="3"/>
  <c r="I266" i="3"/>
  <c r="I267" i="3"/>
  <c r="I268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96" i="3"/>
  <c r="I297" i="3"/>
  <c r="I298" i="3"/>
  <c r="I299" i="3"/>
  <c r="I300" i="3"/>
  <c r="I314" i="3"/>
  <c r="I315" i="3"/>
  <c r="I316" i="3"/>
  <c r="I317" i="3"/>
  <c r="I318" i="3"/>
  <c r="I350" i="3"/>
  <c r="I351" i="3"/>
  <c r="I352" i="3"/>
  <c r="I353" i="3"/>
  <c r="I354" i="3"/>
  <c r="I355" i="3"/>
  <c r="I356" i="3"/>
  <c r="I357" i="3"/>
  <c r="I358" i="3"/>
  <c r="I365" i="3"/>
  <c r="I366" i="3"/>
  <c r="I372" i="3"/>
  <c r="I374" i="3"/>
  <c r="I375" i="3"/>
  <c r="I376" i="3"/>
  <c r="I380" i="3"/>
  <c r="I382" i="3"/>
  <c r="I383" i="3"/>
  <c r="I384" i="3"/>
  <c r="I395" i="3"/>
  <c r="I396" i="3"/>
  <c r="I397" i="3"/>
  <c r="I404" i="3"/>
  <c r="I438" i="3"/>
  <c r="I439" i="3"/>
  <c r="I446" i="3"/>
  <c r="I447" i="3"/>
  <c r="I478" i="3"/>
  <c r="I479" i="3"/>
  <c r="I481" i="3"/>
  <c r="I482" i="3"/>
  <c r="I483" i="3"/>
  <c r="I484" i="3"/>
  <c r="I485" i="3"/>
  <c r="I490" i="3"/>
  <c r="I491" i="3"/>
  <c r="I492" i="3"/>
  <c r="I493" i="3"/>
  <c r="I494" i="3"/>
  <c r="I495" i="3"/>
  <c r="I496" i="3"/>
  <c r="I497" i="3"/>
  <c r="I498" i="3"/>
  <c r="I499" i="3"/>
  <c r="I500" i="3"/>
  <c r="I506" i="3"/>
  <c r="I507" i="3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" i="1"/>
  <c r="L2" i="1"/>
  <c r="H2" i="1"/>
  <c r="M109" i="1"/>
  <c r="M132" i="1"/>
  <c r="M141" i="1"/>
  <c r="M160" i="1"/>
  <c r="M172" i="1"/>
  <c r="M211" i="1"/>
  <c r="M232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" i="1"/>
  <c r="H4" i="1"/>
  <c r="H5" i="1"/>
  <c r="H6" i="1"/>
  <c r="H7" i="1"/>
  <c r="I109" i="1"/>
  <c r="I132" i="1"/>
  <c r="I141" i="1"/>
  <c r="I160" i="1"/>
  <c r="I172" i="1"/>
  <c r="I211" i="1"/>
  <c r="I232" i="1"/>
</calcChain>
</file>

<file path=xl/sharedStrings.xml><?xml version="1.0" encoding="utf-8"?>
<sst xmlns="http://schemas.openxmlformats.org/spreadsheetml/2006/main" count="8967" uniqueCount="104">
  <si>
    <t>Institucion</t>
  </si>
  <si>
    <t>Empresa</t>
  </si>
  <si>
    <t>Licitación</t>
  </si>
  <si>
    <t>Region</t>
  </si>
  <si>
    <t>Control</t>
  </si>
  <si>
    <t>Resolución Notificación</t>
  </si>
  <si>
    <t>Fecha Resolución</t>
  </si>
  <si>
    <t>Monto Notificado</t>
  </si>
  <si>
    <t>Resolución Ejecuta Multa</t>
  </si>
  <si>
    <t>Monto Ejecuta</t>
  </si>
  <si>
    <t>JUNJI</t>
  </si>
  <si>
    <t>LONQUIMAY</t>
  </si>
  <si>
    <t>3715</t>
  </si>
  <si>
    <t>Metropolitana</t>
  </si>
  <si>
    <t>C1</t>
  </si>
  <si>
    <t>JUNAEB</t>
  </si>
  <si>
    <t>COMERCIAL DE ALIMENTOS S.A.</t>
  </si>
  <si>
    <t>1517</t>
  </si>
  <si>
    <t>Araucania</t>
  </si>
  <si>
    <t>C4</t>
  </si>
  <si>
    <t>ALISERVICE S.A.</t>
  </si>
  <si>
    <t>5016</t>
  </si>
  <si>
    <t>Bio Bio</t>
  </si>
  <si>
    <t>C3</t>
  </si>
  <si>
    <t>NUTRIPLUS ALIMENTACIÓN Y TECNOLOGÍA S.A.</t>
  </si>
  <si>
    <t>Los Lagos</t>
  </si>
  <si>
    <t>FOJS ALIMENTOS LTDA.</t>
  </si>
  <si>
    <t>CONSORCIO MERKEN SPA.</t>
  </si>
  <si>
    <t>Coquimbo</t>
  </si>
  <si>
    <t>SOCIEDAD  DE SERVICIOS DE ALIMENTACIÓN S.A.</t>
  </si>
  <si>
    <t>SALUD Y VIDA  S.A.</t>
  </si>
  <si>
    <t>Tarpaca</t>
  </si>
  <si>
    <t>DISTRIBUIDORA DE ALIMENTOS S.A.</t>
  </si>
  <si>
    <t>SERVICIOS ALIMENTICIOS HENDAYA S.A.C.</t>
  </si>
  <si>
    <t>Valparaiso</t>
  </si>
  <si>
    <t>Antofagasta</t>
  </si>
  <si>
    <t>C1-C6</t>
  </si>
  <si>
    <t>Los Rios</t>
  </si>
  <si>
    <t>Atacama</t>
  </si>
  <si>
    <t>3716</t>
  </si>
  <si>
    <t>Maule</t>
  </si>
  <si>
    <t>O'Higgins</t>
  </si>
  <si>
    <t>COAN CHILE LTDA.</t>
  </si>
  <si>
    <t>LIZAMA Y LIZAMA</t>
  </si>
  <si>
    <t>Arica y Parinacota</t>
  </si>
  <si>
    <t>DISTRIBUIDORA LAS LAGUNAS LIMITADA</t>
  </si>
  <si>
    <t>UTP CASINOS NACIONALES</t>
  </si>
  <si>
    <t>C6</t>
  </si>
  <si>
    <t>SERVICIO DE ALIMENTACIÓN ALIANZA S.A.</t>
  </si>
  <si>
    <t>Aysen</t>
  </si>
  <si>
    <t>SOCIEDAD DE SERVICIOS Y ALIMENTOS IFOOD SPA</t>
  </si>
  <si>
    <t>SALUDABLE Y NUTRITIVO SPA</t>
  </si>
  <si>
    <t>LAS DALIAS SA</t>
  </si>
  <si>
    <t>SALUDABLE SPA</t>
  </si>
  <si>
    <t>Magallanes</t>
  </si>
  <si>
    <t>DISTRIBUIDORA DE PRODUCTOS ALIMENTICIOS S.A.</t>
  </si>
  <si>
    <t>2719</t>
  </si>
  <si>
    <t>JUNAEB-JUNJI-INTEGRA</t>
  </si>
  <si>
    <t>C7</t>
  </si>
  <si>
    <t>Integra</t>
  </si>
  <si>
    <t>LUIS FERNANDO CONCHA BENAVIDES ALIMENTOS E.I.R.L. - ALIMAB  E.I.R.L.</t>
  </si>
  <si>
    <t>MARCHANT E IBANEZ</t>
  </si>
  <si>
    <t>SILVA, GOMEZ Y COMPAÑIA LTDA.</t>
  </si>
  <si>
    <t>ALIMENTOS INTERNACIONALES S.A.</t>
  </si>
  <si>
    <t>Chef Lab. Gastronimico</t>
  </si>
  <si>
    <t>Minutas</t>
  </si>
  <si>
    <t>Cambio Sis. Al.</t>
  </si>
  <si>
    <t>FEDIR CHILE SPA</t>
  </si>
  <si>
    <t>Incum. Contr.</t>
  </si>
  <si>
    <t>Manuales</t>
  </si>
  <si>
    <t>Ed. Alimentaria</t>
  </si>
  <si>
    <t xml:space="preserve">Monto Notificado </t>
  </si>
  <si>
    <t>C2</t>
  </si>
  <si>
    <t>C8</t>
  </si>
  <si>
    <t>Ele.adicionales</t>
  </si>
  <si>
    <t>Ñuble</t>
  </si>
  <si>
    <t>Ant. Oferente</t>
  </si>
  <si>
    <t>2713</t>
  </si>
  <si>
    <t>REMO UNIDAS</t>
  </si>
  <si>
    <t>2718</t>
  </si>
  <si>
    <t>SOCIEDAD ALIMENTICIA DEPARTAMENTAL LTDA.</t>
  </si>
  <si>
    <t>Resolución Notifica</t>
  </si>
  <si>
    <t>1820</t>
  </si>
  <si>
    <t>DN</t>
  </si>
  <si>
    <t>Dotacion de Manipuladoras</t>
  </si>
  <si>
    <t>KÛMELKAN INGENIERIA Y SERVICIOS SPA.</t>
  </si>
  <si>
    <t>OPTIMIZACION DE GESTIÓN EMPRESARIAL Y EDUCATIVA LIMITADA</t>
  </si>
  <si>
    <t>UTP TEKARERA</t>
  </si>
  <si>
    <t>1518</t>
  </si>
  <si>
    <t>Monto  Notificado</t>
  </si>
  <si>
    <t>ALIMENTACIÓN Y SERVICIOS LIRAFOOD  LTDA.</t>
  </si>
  <si>
    <t>Elementos Esenciales</t>
  </si>
  <si>
    <t>CASINOS INTEGRADOS S.A.</t>
  </si>
  <si>
    <t>COMERCIALIZADORA ECOIMPORT LTDA</t>
  </si>
  <si>
    <t>4121</t>
  </si>
  <si>
    <t/>
  </si>
  <si>
    <t>,</t>
  </si>
  <si>
    <t>SERVICIOS LMA SPA</t>
  </si>
  <si>
    <t>TECNOLOGIA EN ALIMENTOS SPA</t>
  </si>
  <si>
    <t>UTP CASINOS NUTRISALUD</t>
  </si>
  <si>
    <t>Año_Notificacion</t>
  </si>
  <si>
    <t>Año_Ejecucion</t>
  </si>
  <si>
    <t>Fecha Resolución NOTIFICACION</t>
  </si>
  <si>
    <t>Fecha Resolución EJECUCION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</si>
</sst>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$&quot;* #,##0_ ;_ &quot;$&quot;* \-#,##0_ ;_ &quot;$&quot;* &quot;-&quot;_ ;_ @_ "/>
    <numFmt numFmtId="164" formatCode="dd/mm/yyyy;@"/>
  </numFmts>
  <fonts count="9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Aptos narrow"/>
    </font>
    <font>
      <sz val="11"/>
      <color theme="1"/>
      <name val="aptos narrow"/>
      <scheme val="minor"/>
    </font>
    <font>
      <sz val="11"/>
      <color theme="1"/>
      <name val="Arial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42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42" fontId="4" fillId="0" borderId="1" xfId="0" applyNumberFormat="1" applyFont="1" applyBorder="1" applyAlignment="1">
      <alignment horizontal="center" vertical="center" wrapText="1"/>
    </xf>
    <xf numFmtId="42" fontId="5" fillId="0" borderId="0" xfId="0" applyNumberFormat="1" applyFont="1"/>
    <xf numFmtId="0" fontId="6" fillId="0" borderId="0" xfId="0" applyFont="1"/>
    <xf numFmtId="42" fontId="6" fillId="0" borderId="0" xfId="0" applyNumberFormat="1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14" fontId="4" fillId="0" borderId="1" xfId="0" applyNumberFormat="1" applyFont="1" applyBorder="1" applyAlignment="1">
      <alignment horizontal="right" vertical="center" wrapText="1"/>
    </xf>
    <xf numFmtId="42" fontId="4" fillId="0" borderId="1" xfId="0" applyNumberFormat="1" applyFont="1" applyBorder="1" applyAlignment="1">
      <alignment horizontal="right" vertical="center" wrapText="1"/>
    </xf>
    <xf numFmtId="42" fontId="7" fillId="0" borderId="0" xfId="0" applyNumberFormat="1" applyFont="1"/>
    <xf numFmtId="0" fontId="2" fillId="0" borderId="0" xfId="0" applyFont="1"/>
    <xf numFmtId="0" fontId="8" fillId="2" borderId="1" xfId="0" applyFont="1" applyFill="1" applyBorder="1" applyAlignment="1">
      <alignment horizontal="center" vertical="center" wrapText="1"/>
    </xf>
    <xf numFmtId="164" fontId="0" fillId="0" borderId="0" xfId="0" applyNumberFormat="1"/>
    <xf numFmtId="164" fontId="3" fillId="2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right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" fillId="0" borderId="0" xfId="0" applyFont="1"/>
    <xf numFmtId="42" fontId="8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CB9C98A-5BFD-4779-88BF-CE593F5D572D}">
  <we:reference id="wa200005502" version="1.0.0.11" store="es-ES" storeType="OMEX"/>
  <we:alternateReferences>
    <we:reference id="wa200005502" version="1.0.0.11" store="wa200005502" storeType="OMEX"/>
  </we:alternateReferences>
  <we:properties>
    <we:property name="docId" value="&quot;sKpqkD920RxEfbzz8-MKj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8"/>
  <sheetViews>
    <sheetView workbookViewId="0">
      <pane ySplit="1" topLeftCell="A300" activePane="bottomLeft" state="frozen"/>
      <selection pane="bottomLeft" activeCell="M1" sqref="M1"/>
    </sheetView>
  </sheetViews>
  <sheetFormatPr baseColWidth="10" defaultColWidth="12.5703125" defaultRowHeight="15" customHeight="1" x14ac:dyDescent="0.25"/>
  <cols>
    <col min="1" max="1" width="13.85546875" customWidth="1"/>
    <col min="2" max="2" width="53.42578125" customWidth="1"/>
    <col min="3" max="3" width="13.85546875" customWidth="1"/>
    <col min="4" max="4" width="17.28515625" customWidth="1"/>
    <col min="5" max="5" width="23.7109375" customWidth="1"/>
    <col min="6" max="8" width="13.85546875" customWidth="1"/>
    <col min="9" max="9" width="14.85546875" bestFit="1" customWidth="1"/>
    <col min="10" max="12" width="13.85546875" customWidth="1"/>
    <col min="13" max="13" width="19.85546875" customWidth="1"/>
    <col min="14" max="28" width="10.5703125" customWidth="1"/>
  </cols>
  <sheetData>
    <row r="1" spans="1:13" ht="4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102</v>
      </c>
      <c r="H1" s="1" t="s">
        <v>100</v>
      </c>
      <c r="I1" s="2" t="s">
        <v>7</v>
      </c>
      <c r="J1" s="1" t="s">
        <v>8</v>
      </c>
      <c r="K1" s="1" t="s">
        <v>103</v>
      </c>
      <c r="L1" s="1" t="s">
        <v>101</v>
      </c>
      <c r="M1" s="21" t="s">
        <v>9</v>
      </c>
    </row>
    <row r="2" spans="1:13" x14ac:dyDescent="0.25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>
        <v>596</v>
      </c>
      <c r="G2" s="4">
        <v>43670</v>
      </c>
      <c r="H2">
        <f>YEAR(G2)</f>
        <v>2019</v>
      </c>
      <c r="I2" s="5">
        <v>168937044</v>
      </c>
      <c r="J2" s="3">
        <v>1784</v>
      </c>
      <c r="K2" s="4">
        <v>44007</v>
      </c>
      <c r="L2">
        <f>YEAR(K2)</f>
        <v>2020</v>
      </c>
      <c r="M2" s="5">
        <v>166865396</v>
      </c>
    </row>
    <row r="3" spans="1:13" x14ac:dyDescent="0.25">
      <c r="A3" s="3" t="s">
        <v>10</v>
      </c>
      <c r="B3" s="3" t="s">
        <v>11</v>
      </c>
      <c r="C3" s="3" t="s">
        <v>12</v>
      </c>
      <c r="D3" s="3" t="s">
        <v>13</v>
      </c>
      <c r="E3" s="3" t="s">
        <v>14</v>
      </c>
      <c r="F3" s="3">
        <v>597</v>
      </c>
      <c r="G3" s="4">
        <v>43670</v>
      </c>
      <c r="H3">
        <f t="shared" ref="H3:H66" si="0">YEAR(G3)</f>
        <v>2019</v>
      </c>
      <c r="I3" s="5">
        <v>162167080</v>
      </c>
      <c r="J3" s="3">
        <v>1936</v>
      </c>
      <c r="K3" s="4">
        <v>44039</v>
      </c>
      <c r="L3">
        <f>YEAR(K3)</f>
        <v>2020</v>
      </c>
      <c r="M3" s="5">
        <v>155093573</v>
      </c>
    </row>
    <row r="4" spans="1:13" x14ac:dyDescent="0.25">
      <c r="A4" s="3" t="s">
        <v>15</v>
      </c>
      <c r="B4" s="3" t="s">
        <v>16</v>
      </c>
      <c r="C4" s="3" t="s">
        <v>17</v>
      </c>
      <c r="D4" s="3" t="s">
        <v>18</v>
      </c>
      <c r="E4" s="3" t="s">
        <v>19</v>
      </c>
      <c r="F4" s="3">
        <v>2105</v>
      </c>
      <c r="G4" s="4">
        <v>44057</v>
      </c>
      <c r="H4">
        <f t="shared" si="0"/>
        <v>2020</v>
      </c>
      <c r="I4" s="5">
        <v>93843480</v>
      </c>
      <c r="J4" s="3">
        <v>2363</v>
      </c>
      <c r="K4" s="4">
        <v>44098</v>
      </c>
      <c r="L4">
        <f t="shared" ref="L4:L67" si="1">YEAR(K4)</f>
        <v>2020</v>
      </c>
      <c r="M4" s="5">
        <v>93843480</v>
      </c>
    </row>
    <row r="5" spans="1:13" x14ac:dyDescent="0.25">
      <c r="A5" s="3" t="s">
        <v>15</v>
      </c>
      <c r="B5" s="3" t="s">
        <v>20</v>
      </c>
      <c r="C5" s="3" t="s">
        <v>21</v>
      </c>
      <c r="D5" s="3" t="s">
        <v>22</v>
      </c>
      <c r="E5" s="3" t="s">
        <v>23</v>
      </c>
      <c r="F5" s="3">
        <v>289</v>
      </c>
      <c r="G5" s="4">
        <v>43859</v>
      </c>
      <c r="H5">
        <f t="shared" si="0"/>
        <v>2020</v>
      </c>
      <c r="I5" s="5">
        <v>93281285</v>
      </c>
      <c r="J5" s="3">
        <v>1808</v>
      </c>
      <c r="K5" s="4">
        <v>44012</v>
      </c>
      <c r="L5">
        <f t="shared" si="1"/>
        <v>2020</v>
      </c>
      <c r="M5" s="5">
        <v>93281285</v>
      </c>
    </row>
    <row r="6" spans="1:13" x14ac:dyDescent="0.25">
      <c r="A6" s="3" t="s">
        <v>15</v>
      </c>
      <c r="B6" s="3" t="s">
        <v>24</v>
      </c>
      <c r="C6" s="3" t="s">
        <v>12</v>
      </c>
      <c r="D6" s="3" t="s">
        <v>25</v>
      </c>
      <c r="E6" s="3" t="s">
        <v>19</v>
      </c>
      <c r="F6" s="3">
        <v>282</v>
      </c>
      <c r="G6" s="4">
        <v>43630</v>
      </c>
      <c r="H6">
        <f t="shared" si="0"/>
        <v>2019</v>
      </c>
      <c r="I6" s="5">
        <v>77827122</v>
      </c>
      <c r="J6" s="3">
        <v>518</v>
      </c>
      <c r="K6" s="4">
        <v>43871</v>
      </c>
      <c r="L6">
        <f t="shared" si="1"/>
        <v>2020</v>
      </c>
      <c r="M6" s="5">
        <v>70988258</v>
      </c>
    </row>
    <row r="7" spans="1:13" x14ac:dyDescent="0.25">
      <c r="A7" s="3" t="s">
        <v>10</v>
      </c>
      <c r="B7" s="3" t="s">
        <v>26</v>
      </c>
      <c r="C7" s="3" t="s">
        <v>12</v>
      </c>
      <c r="D7" s="3" t="s">
        <v>13</v>
      </c>
      <c r="E7" s="3" t="s">
        <v>14</v>
      </c>
      <c r="F7" s="3">
        <v>593</v>
      </c>
      <c r="G7" s="4">
        <v>43670</v>
      </c>
      <c r="H7">
        <f t="shared" si="0"/>
        <v>2019</v>
      </c>
      <c r="I7" s="5">
        <v>98294119</v>
      </c>
      <c r="J7" s="3">
        <v>1788</v>
      </c>
      <c r="K7" s="4">
        <v>44007</v>
      </c>
      <c r="L7">
        <f t="shared" si="1"/>
        <v>2020</v>
      </c>
      <c r="M7" s="5">
        <v>65324782</v>
      </c>
    </row>
    <row r="8" spans="1:13" x14ac:dyDescent="0.25">
      <c r="A8" s="3" t="s">
        <v>15</v>
      </c>
      <c r="B8" s="3" t="s">
        <v>27</v>
      </c>
      <c r="C8" s="3" t="s">
        <v>17</v>
      </c>
      <c r="D8" s="3" t="s">
        <v>28</v>
      </c>
      <c r="E8" s="3" t="s">
        <v>23</v>
      </c>
      <c r="F8" s="3">
        <v>2152</v>
      </c>
      <c r="G8" s="4">
        <v>44068</v>
      </c>
      <c r="H8">
        <f t="shared" si="0"/>
        <v>2020</v>
      </c>
      <c r="I8" s="5">
        <v>62492784</v>
      </c>
      <c r="J8" s="3">
        <v>2358</v>
      </c>
      <c r="K8" s="4">
        <v>44098</v>
      </c>
      <c r="L8">
        <f t="shared" si="1"/>
        <v>2020</v>
      </c>
      <c r="M8" s="5">
        <v>62492784</v>
      </c>
    </row>
    <row r="9" spans="1:13" x14ac:dyDescent="0.25">
      <c r="A9" s="3" t="s">
        <v>15</v>
      </c>
      <c r="B9" s="3" t="s">
        <v>29</v>
      </c>
      <c r="C9" s="3" t="s">
        <v>21</v>
      </c>
      <c r="D9" s="3" t="s">
        <v>22</v>
      </c>
      <c r="E9" s="3" t="s">
        <v>23</v>
      </c>
      <c r="F9" s="3">
        <v>299</v>
      </c>
      <c r="G9" s="4">
        <v>43859</v>
      </c>
      <c r="H9">
        <f t="shared" si="0"/>
        <v>2020</v>
      </c>
      <c r="I9" s="5">
        <v>61767011</v>
      </c>
      <c r="J9" s="3">
        <v>1995</v>
      </c>
      <c r="K9" s="4">
        <v>44043</v>
      </c>
      <c r="L9">
        <f t="shared" si="1"/>
        <v>2020</v>
      </c>
      <c r="M9" s="5">
        <v>61767011</v>
      </c>
    </row>
    <row r="10" spans="1:13" x14ac:dyDescent="0.25">
      <c r="A10" s="3" t="s">
        <v>15</v>
      </c>
      <c r="B10" s="3" t="s">
        <v>30</v>
      </c>
      <c r="C10" s="3" t="s">
        <v>12</v>
      </c>
      <c r="D10" s="3" t="s">
        <v>31</v>
      </c>
      <c r="E10" s="3" t="s">
        <v>19</v>
      </c>
      <c r="F10" s="3">
        <v>161</v>
      </c>
      <c r="G10" s="4">
        <v>43636</v>
      </c>
      <c r="H10">
        <f t="shared" si="0"/>
        <v>2019</v>
      </c>
      <c r="I10" s="5">
        <v>55982198</v>
      </c>
      <c r="J10" s="3">
        <v>2939</v>
      </c>
      <c r="K10" s="4">
        <v>44179</v>
      </c>
      <c r="L10">
        <f t="shared" si="1"/>
        <v>2020</v>
      </c>
      <c r="M10" s="5">
        <v>55982198</v>
      </c>
    </row>
    <row r="11" spans="1:13" x14ac:dyDescent="0.25">
      <c r="A11" s="3" t="s">
        <v>15</v>
      </c>
      <c r="B11" s="3" t="s">
        <v>32</v>
      </c>
      <c r="C11" s="3" t="s">
        <v>21</v>
      </c>
      <c r="D11" s="3" t="s">
        <v>13</v>
      </c>
      <c r="E11" s="3" t="s">
        <v>23</v>
      </c>
      <c r="F11" s="3">
        <v>297</v>
      </c>
      <c r="G11" s="4">
        <v>43859</v>
      </c>
      <c r="H11">
        <f t="shared" si="0"/>
        <v>2020</v>
      </c>
      <c r="I11" s="5">
        <v>54876184</v>
      </c>
      <c r="J11" s="3">
        <v>1819</v>
      </c>
      <c r="K11" s="4">
        <v>44012</v>
      </c>
      <c r="L11">
        <f t="shared" si="1"/>
        <v>2020</v>
      </c>
      <c r="M11" s="5">
        <v>54876184</v>
      </c>
    </row>
    <row r="12" spans="1:13" x14ac:dyDescent="0.25">
      <c r="A12" s="3" t="s">
        <v>15</v>
      </c>
      <c r="B12" s="3" t="s">
        <v>33</v>
      </c>
      <c r="C12" s="3" t="s">
        <v>12</v>
      </c>
      <c r="D12" s="3" t="s">
        <v>25</v>
      </c>
      <c r="E12" s="3" t="s">
        <v>19</v>
      </c>
      <c r="F12" s="3">
        <v>383</v>
      </c>
      <c r="G12" s="4">
        <v>43689</v>
      </c>
      <c r="H12">
        <f t="shared" si="0"/>
        <v>2019</v>
      </c>
      <c r="I12" s="5">
        <v>61760488</v>
      </c>
      <c r="J12" s="3">
        <v>2713</v>
      </c>
      <c r="K12" s="4">
        <v>44158</v>
      </c>
      <c r="L12">
        <f t="shared" si="1"/>
        <v>2020</v>
      </c>
      <c r="M12" s="5">
        <v>53653194</v>
      </c>
    </row>
    <row r="13" spans="1:13" x14ac:dyDescent="0.25">
      <c r="A13" s="3" t="s">
        <v>15</v>
      </c>
      <c r="B13" s="3" t="s">
        <v>20</v>
      </c>
      <c r="C13" s="3" t="s">
        <v>21</v>
      </c>
      <c r="D13" s="3" t="s">
        <v>22</v>
      </c>
      <c r="E13" s="3" t="s">
        <v>23</v>
      </c>
      <c r="F13" s="3">
        <v>279</v>
      </c>
      <c r="G13" s="4">
        <v>43859</v>
      </c>
      <c r="H13">
        <f t="shared" si="0"/>
        <v>2020</v>
      </c>
      <c r="I13" s="5">
        <v>53109912</v>
      </c>
      <c r="J13" s="3">
        <v>2009</v>
      </c>
      <c r="K13" s="4">
        <v>44043</v>
      </c>
      <c r="L13">
        <f t="shared" si="1"/>
        <v>2020</v>
      </c>
      <c r="M13" s="5">
        <v>53109912</v>
      </c>
    </row>
    <row r="14" spans="1:13" x14ac:dyDescent="0.25">
      <c r="A14" s="3" t="s">
        <v>10</v>
      </c>
      <c r="B14" s="3" t="s">
        <v>11</v>
      </c>
      <c r="C14" s="3" t="s">
        <v>12</v>
      </c>
      <c r="D14" s="3" t="s">
        <v>13</v>
      </c>
      <c r="E14" s="3" t="s">
        <v>14</v>
      </c>
      <c r="F14" s="3">
        <v>598</v>
      </c>
      <c r="G14" s="4">
        <v>43670</v>
      </c>
      <c r="H14">
        <f t="shared" si="0"/>
        <v>2019</v>
      </c>
      <c r="I14" s="5">
        <v>52120202</v>
      </c>
      <c r="J14" s="3">
        <v>1686</v>
      </c>
      <c r="K14" s="4">
        <v>43993</v>
      </c>
      <c r="L14">
        <f t="shared" si="1"/>
        <v>2020</v>
      </c>
      <c r="M14" s="5">
        <v>52120202</v>
      </c>
    </row>
    <row r="15" spans="1:13" x14ac:dyDescent="0.25">
      <c r="A15" s="3" t="s">
        <v>15</v>
      </c>
      <c r="B15" s="3" t="s">
        <v>33</v>
      </c>
      <c r="C15" s="3" t="s">
        <v>12</v>
      </c>
      <c r="D15" s="3" t="s">
        <v>25</v>
      </c>
      <c r="E15" s="3" t="s">
        <v>19</v>
      </c>
      <c r="F15" s="3">
        <v>287</v>
      </c>
      <c r="G15" s="4">
        <v>43630</v>
      </c>
      <c r="H15">
        <f t="shared" si="0"/>
        <v>2019</v>
      </c>
      <c r="I15" s="5">
        <v>57941414</v>
      </c>
      <c r="J15" s="3">
        <v>2712</v>
      </c>
      <c r="K15" s="4">
        <v>44158</v>
      </c>
      <c r="L15">
        <f t="shared" si="1"/>
        <v>2020</v>
      </c>
      <c r="M15" s="5">
        <v>51496065</v>
      </c>
    </row>
    <row r="16" spans="1:13" x14ac:dyDescent="0.25">
      <c r="A16" s="3" t="s">
        <v>15</v>
      </c>
      <c r="B16" s="3" t="s">
        <v>33</v>
      </c>
      <c r="C16" s="3" t="s">
        <v>12</v>
      </c>
      <c r="D16" s="3" t="s">
        <v>13</v>
      </c>
      <c r="E16" s="3" t="s">
        <v>23</v>
      </c>
      <c r="F16" s="3">
        <v>562</v>
      </c>
      <c r="G16" s="4">
        <v>43668</v>
      </c>
      <c r="H16">
        <f t="shared" si="0"/>
        <v>2019</v>
      </c>
      <c r="I16" s="5">
        <v>51996855</v>
      </c>
      <c r="J16" s="3">
        <v>1202</v>
      </c>
      <c r="K16" s="4">
        <v>43930</v>
      </c>
      <c r="L16">
        <f t="shared" si="1"/>
        <v>2020</v>
      </c>
      <c r="M16" s="5">
        <v>48611248</v>
      </c>
    </row>
    <row r="17" spans="1:13" x14ac:dyDescent="0.25">
      <c r="A17" s="3" t="s">
        <v>15</v>
      </c>
      <c r="B17" s="3" t="s">
        <v>30</v>
      </c>
      <c r="C17" s="3" t="s">
        <v>12</v>
      </c>
      <c r="D17" s="3" t="s">
        <v>31</v>
      </c>
      <c r="E17" s="3" t="s">
        <v>19</v>
      </c>
      <c r="F17" s="3">
        <v>207</v>
      </c>
      <c r="G17" s="4">
        <v>43696</v>
      </c>
      <c r="H17">
        <f t="shared" si="0"/>
        <v>2019</v>
      </c>
      <c r="I17" s="5">
        <v>43509322</v>
      </c>
      <c r="J17" s="3">
        <v>2941</v>
      </c>
      <c r="K17" s="4">
        <v>44179</v>
      </c>
      <c r="L17">
        <f t="shared" si="1"/>
        <v>2020</v>
      </c>
      <c r="M17" s="5">
        <v>43509322</v>
      </c>
    </row>
    <row r="18" spans="1:13" x14ac:dyDescent="0.25">
      <c r="A18" s="3" t="s">
        <v>15</v>
      </c>
      <c r="B18" s="3" t="s">
        <v>27</v>
      </c>
      <c r="C18" s="3" t="s">
        <v>17</v>
      </c>
      <c r="D18" s="3" t="s">
        <v>34</v>
      </c>
      <c r="E18" s="3" t="s">
        <v>23</v>
      </c>
      <c r="F18" s="3">
        <v>2153</v>
      </c>
      <c r="G18" s="4">
        <v>44068</v>
      </c>
      <c r="H18">
        <f t="shared" si="0"/>
        <v>2020</v>
      </c>
      <c r="I18" s="5">
        <v>42153748</v>
      </c>
      <c r="J18" s="3">
        <v>2359</v>
      </c>
      <c r="K18" s="4">
        <v>44098</v>
      </c>
      <c r="L18">
        <f t="shared" si="1"/>
        <v>2020</v>
      </c>
      <c r="M18" s="5">
        <v>42153748</v>
      </c>
    </row>
    <row r="19" spans="1:13" ht="15.75" customHeight="1" x14ac:dyDescent="0.25">
      <c r="A19" s="3" t="s">
        <v>15</v>
      </c>
      <c r="B19" s="3" t="s">
        <v>24</v>
      </c>
      <c r="C19" s="3" t="s">
        <v>12</v>
      </c>
      <c r="D19" s="3" t="s">
        <v>25</v>
      </c>
      <c r="E19" s="3" t="s">
        <v>19</v>
      </c>
      <c r="F19" s="3">
        <v>283</v>
      </c>
      <c r="G19" s="4">
        <v>43630</v>
      </c>
      <c r="H19">
        <f t="shared" si="0"/>
        <v>2019</v>
      </c>
      <c r="I19" s="5">
        <v>40306584</v>
      </c>
      <c r="J19" s="3">
        <v>516</v>
      </c>
      <c r="K19" s="4">
        <v>43871</v>
      </c>
      <c r="L19">
        <f t="shared" si="1"/>
        <v>2020</v>
      </c>
      <c r="M19" s="5">
        <v>38233281</v>
      </c>
    </row>
    <row r="20" spans="1:13" ht="15.75" customHeight="1" x14ac:dyDescent="0.25">
      <c r="A20" s="3" t="s">
        <v>15</v>
      </c>
      <c r="B20" s="3" t="s">
        <v>30</v>
      </c>
      <c r="C20" s="3" t="s">
        <v>12</v>
      </c>
      <c r="D20" s="3" t="s">
        <v>35</v>
      </c>
      <c r="E20" s="3" t="s">
        <v>19</v>
      </c>
      <c r="F20" s="3">
        <v>116</v>
      </c>
      <c r="G20" s="4">
        <v>43636</v>
      </c>
      <c r="H20">
        <f t="shared" si="0"/>
        <v>2019</v>
      </c>
      <c r="I20" s="5">
        <v>37525795</v>
      </c>
      <c r="J20" s="3">
        <v>2183</v>
      </c>
      <c r="K20" s="4">
        <v>44071</v>
      </c>
      <c r="L20">
        <f t="shared" si="1"/>
        <v>2020</v>
      </c>
      <c r="M20" s="5">
        <v>37525795</v>
      </c>
    </row>
    <row r="21" spans="1:13" ht="15.75" customHeight="1" x14ac:dyDescent="0.25">
      <c r="A21" s="3" t="s">
        <v>15</v>
      </c>
      <c r="B21" s="3" t="s">
        <v>30</v>
      </c>
      <c r="C21" s="3" t="s">
        <v>12</v>
      </c>
      <c r="D21" s="3" t="s">
        <v>35</v>
      </c>
      <c r="E21" s="3" t="s">
        <v>19</v>
      </c>
      <c r="F21" s="3">
        <v>119</v>
      </c>
      <c r="G21" s="4">
        <v>43636</v>
      </c>
      <c r="H21">
        <f t="shared" si="0"/>
        <v>2019</v>
      </c>
      <c r="I21" s="5">
        <v>36950118</v>
      </c>
      <c r="J21" s="3">
        <v>2181</v>
      </c>
      <c r="K21" s="4">
        <v>44071</v>
      </c>
      <c r="L21">
        <f t="shared" si="1"/>
        <v>2020</v>
      </c>
      <c r="M21" s="5">
        <v>36950118</v>
      </c>
    </row>
    <row r="22" spans="1:13" ht="15.75" customHeight="1" x14ac:dyDescent="0.25">
      <c r="A22" s="3" t="s">
        <v>15</v>
      </c>
      <c r="B22" s="3" t="s">
        <v>26</v>
      </c>
      <c r="C22" s="3" t="s">
        <v>12</v>
      </c>
      <c r="D22" s="3" t="s">
        <v>13</v>
      </c>
      <c r="E22" s="3" t="s">
        <v>36</v>
      </c>
      <c r="F22" s="3">
        <v>610</v>
      </c>
      <c r="G22" s="4">
        <v>43321</v>
      </c>
      <c r="H22">
        <f t="shared" si="0"/>
        <v>2018</v>
      </c>
      <c r="I22" s="5">
        <v>36578548</v>
      </c>
      <c r="J22" s="3">
        <v>1940</v>
      </c>
      <c r="K22" s="4">
        <v>44039</v>
      </c>
      <c r="L22">
        <f t="shared" si="1"/>
        <v>2020</v>
      </c>
      <c r="M22" s="5">
        <v>36427726</v>
      </c>
    </row>
    <row r="23" spans="1:13" ht="15.75" customHeight="1" x14ac:dyDescent="0.25">
      <c r="A23" s="3" t="s">
        <v>15</v>
      </c>
      <c r="B23" s="3" t="s">
        <v>20</v>
      </c>
      <c r="C23" s="3" t="s">
        <v>12</v>
      </c>
      <c r="D23" s="3" t="s">
        <v>37</v>
      </c>
      <c r="E23" s="3" t="s">
        <v>19</v>
      </c>
      <c r="F23" s="3">
        <v>178</v>
      </c>
      <c r="G23" s="4">
        <v>43642</v>
      </c>
      <c r="H23">
        <f t="shared" si="0"/>
        <v>2019</v>
      </c>
      <c r="I23" s="5">
        <v>46777951</v>
      </c>
      <c r="J23" s="3">
        <v>703</v>
      </c>
      <c r="K23" s="4">
        <v>43886</v>
      </c>
      <c r="L23">
        <f t="shared" si="1"/>
        <v>2020</v>
      </c>
      <c r="M23" s="5">
        <v>35820741</v>
      </c>
    </row>
    <row r="24" spans="1:13" ht="15.75" customHeight="1" x14ac:dyDescent="0.25">
      <c r="A24" s="3" t="s">
        <v>15</v>
      </c>
      <c r="B24" s="3" t="s">
        <v>30</v>
      </c>
      <c r="C24" s="3" t="s">
        <v>12</v>
      </c>
      <c r="D24" s="3" t="s">
        <v>31</v>
      </c>
      <c r="E24" s="3" t="s">
        <v>19</v>
      </c>
      <c r="F24" s="3">
        <v>158</v>
      </c>
      <c r="G24" s="4">
        <v>43636</v>
      </c>
      <c r="H24">
        <f t="shared" si="0"/>
        <v>2019</v>
      </c>
      <c r="I24" s="5">
        <v>35461878</v>
      </c>
      <c r="J24" s="3">
        <v>2940</v>
      </c>
      <c r="K24" s="4">
        <v>44179</v>
      </c>
      <c r="L24">
        <f t="shared" si="1"/>
        <v>2020</v>
      </c>
      <c r="M24" s="5">
        <v>35461878</v>
      </c>
    </row>
    <row r="25" spans="1:13" ht="15.75" customHeight="1" x14ac:dyDescent="0.25">
      <c r="A25" s="3" t="s">
        <v>15</v>
      </c>
      <c r="B25" s="3" t="s">
        <v>27</v>
      </c>
      <c r="C25" s="3" t="s">
        <v>17</v>
      </c>
      <c r="D25" s="3" t="s">
        <v>18</v>
      </c>
      <c r="E25" s="3" t="s">
        <v>23</v>
      </c>
      <c r="F25" s="3">
        <v>2149</v>
      </c>
      <c r="G25" s="4">
        <v>44068</v>
      </c>
      <c r="H25">
        <f t="shared" si="0"/>
        <v>2020</v>
      </c>
      <c r="I25" s="5">
        <v>31340204</v>
      </c>
      <c r="J25" s="3">
        <v>2360</v>
      </c>
      <c r="K25" s="4">
        <v>44098</v>
      </c>
      <c r="L25">
        <f t="shared" si="1"/>
        <v>2020</v>
      </c>
      <c r="M25" s="5">
        <v>31340204</v>
      </c>
    </row>
    <row r="26" spans="1:13" ht="15.75" customHeight="1" x14ac:dyDescent="0.25">
      <c r="A26" s="3" t="s">
        <v>15</v>
      </c>
      <c r="B26" s="3" t="s">
        <v>33</v>
      </c>
      <c r="C26" s="3" t="s">
        <v>12</v>
      </c>
      <c r="D26" s="3" t="s">
        <v>13</v>
      </c>
      <c r="E26" s="3" t="s">
        <v>23</v>
      </c>
      <c r="F26" s="3">
        <v>664</v>
      </c>
      <c r="G26" s="4">
        <v>43699</v>
      </c>
      <c r="H26">
        <f t="shared" si="0"/>
        <v>2019</v>
      </c>
      <c r="I26" s="5">
        <v>33554903</v>
      </c>
      <c r="J26" s="3">
        <v>1200</v>
      </c>
      <c r="K26" s="4">
        <v>43930</v>
      </c>
      <c r="L26">
        <f t="shared" si="1"/>
        <v>2020</v>
      </c>
      <c r="M26" s="5">
        <v>30823825</v>
      </c>
    </row>
    <row r="27" spans="1:13" ht="15.75" customHeight="1" x14ac:dyDescent="0.25">
      <c r="A27" s="3" t="s">
        <v>15</v>
      </c>
      <c r="B27" s="3" t="s">
        <v>29</v>
      </c>
      <c r="C27" s="3" t="s">
        <v>21</v>
      </c>
      <c r="D27" s="3" t="s">
        <v>38</v>
      </c>
      <c r="E27" s="3" t="s">
        <v>23</v>
      </c>
      <c r="F27" s="3">
        <v>300</v>
      </c>
      <c r="G27" s="4">
        <v>43859</v>
      </c>
      <c r="H27">
        <f t="shared" si="0"/>
        <v>2020</v>
      </c>
      <c r="I27" s="5">
        <v>30720409</v>
      </c>
      <c r="J27" s="3">
        <v>1999</v>
      </c>
      <c r="K27" s="4">
        <v>44043</v>
      </c>
      <c r="L27">
        <f t="shared" si="1"/>
        <v>2020</v>
      </c>
      <c r="M27" s="5">
        <v>30720409</v>
      </c>
    </row>
    <row r="28" spans="1:13" ht="15.75" customHeight="1" x14ac:dyDescent="0.25">
      <c r="A28" s="3" t="s">
        <v>15</v>
      </c>
      <c r="B28" s="3" t="s">
        <v>33</v>
      </c>
      <c r="C28" s="3" t="s">
        <v>12</v>
      </c>
      <c r="D28" s="3" t="s">
        <v>37</v>
      </c>
      <c r="E28" s="3" t="s">
        <v>19</v>
      </c>
      <c r="F28" s="3">
        <v>179</v>
      </c>
      <c r="G28" s="4">
        <v>43642</v>
      </c>
      <c r="H28">
        <f t="shared" si="0"/>
        <v>2019</v>
      </c>
      <c r="I28" s="5">
        <v>34503803</v>
      </c>
      <c r="J28" s="3">
        <v>2711</v>
      </c>
      <c r="K28" s="4">
        <v>44158</v>
      </c>
      <c r="L28">
        <f t="shared" si="1"/>
        <v>2020</v>
      </c>
      <c r="M28" s="5">
        <v>30185576</v>
      </c>
    </row>
    <row r="29" spans="1:13" ht="15.75" customHeight="1" x14ac:dyDescent="0.25">
      <c r="A29" s="3" t="s">
        <v>15</v>
      </c>
      <c r="B29" s="3" t="s">
        <v>29</v>
      </c>
      <c r="C29" s="3" t="s">
        <v>39</v>
      </c>
      <c r="D29" s="3" t="s">
        <v>40</v>
      </c>
      <c r="E29" s="3" t="s">
        <v>36</v>
      </c>
      <c r="F29" s="3">
        <v>587</v>
      </c>
      <c r="G29" s="4">
        <v>43805</v>
      </c>
      <c r="H29">
        <f t="shared" si="0"/>
        <v>2019</v>
      </c>
      <c r="I29" s="5">
        <v>30132078</v>
      </c>
      <c r="J29" s="3">
        <v>1250</v>
      </c>
      <c r="K29" s="4">
        <v>43936</v>
      </c>
      <c r="L29">
        <f t="shared" si="1"/>
        <v>2020</v>
      </c>
      <c r="M29" s="5">
        <v>30132078</v>
      </c>
    </row>
    <row r="30" spans="1:13" ht="15.75" customHeight="1" x14ac:dyDescent="0.25">
      <c r="A30" s="3" t="s">
        <v>15</v>
      </c>
      <c r="B30" s="3" t="s">
        <v>20</v>
      </c>
      <c r="C30" s="3" t="s">
        <v>39</v>
      </c>
      <c r="D30" s="3" t="s">
        <v>40</v>
      </c>
      <c r="E30" s="3" t="s">
        <v>36</v>
      </c>
      <c r="F30" s="3">
        <v>624</v>
      </c>
      <c r="G30" s="4">
        <v>43830</v>
      </c>
      <c r="H30">
        <f t="shared" si="0"/>
        <v>2019</v>
      </c>
      <c r="I30" s="5">
        <v>29573814</v>
      </c>
      <c r="J30" s="3">
        <v>1239</v>
      </c>
      <c r="K30" s="4">
        <v>43936</v>
      </c>
      <c r="L30">
        <f t="shared" si="1"/>
        <v>2020</v>
      </c>
      <c r="M30" s="5">
        <v>29573814</v>
      </c>
    </row>
    <row r="31" spans="1:13" ht="15.75" customHeight="1" x14ac:dyDescent="0.25">
      <c r="A31" s="3" t="s">
        <v>15</v>
      </c>
      <c r="B31" s="3" t="s">
        <v>24</v>
      </c>
      <c r="C31" s="3" t="s">
        <v>12</v>
      </c>
      <c r="D31" s="3" t="s">
        <v>25</v>
      </c>
      <c r="E31" s="3" t="s">
        <v>23</v>
      </c>
      <c r="F31" s="3">
        <v>367</v>
      </c>
      <c r="G31" s="4">
        <v>43677</v>
      </c>
      <c r="H31">
        <f t="shared" si="0"/>
        <v>2019</v>
      </c>
      <c r="I31" s="5">
        <v>32382379</v>
      </c>
      <c r="J31" s="3">
        <v>1542</v>
      </c>
      <c r="K31" s="4">
        <v>43977</v>
      </c>
      <c r="L31">
        <f t="shared" si="1"/>
        <v>2020</v>
      </c>
      <c r="M31" s="5">
        <v>29414105</v>
      </c>
    </row>
    <row r="32" spans="1:13" ht="15.75" customHeight="1" x14ac:dyDescent="0.25">
      <c r="A32" s="3" t="s">
        <v>15</v>
      </c>
      <c r="B32" s="3" t="s">
        <v>33</v>
      </c>
      <c r="C32" s="3" t="s">
        <v>12</v>
      </c>
      <c r="D32" s="3" t="s">
        <v>13</v>
      </c>
      <c r="E32" s="3" t="s">
        <v>19</v>
      </c>
      <c r="F32" s="3">
        <v>701</v>
      </c>
      <c r="G32" s="4">
        <v>43707</v>
      </c>
      <c r="H32">
        <f t="shared" si="0"/>
        <v>2019</v>
      </c>
      <c r="I32" s="5">
        <v>29696482</v>
      </c>
      <c r="J32" s="3">
        <v>2714</v>
      </c>
      <c r="K32" s="4">
        <v>44158</v>
      </c>
      <c r="L32">
        <f t="shared" si="1"/>
        <v>2020</v>
      </c>
      <c r="M32" s="5">
        <v>29204797</v>
      </c>
    </row>
    <row r="33" spans="1:13" ht="15.75" customHeight="1" x14ac:dyDescent="0.25">
      <c r="A33" s="3" t="s">
        <v>15</v>
      </c>
      <c r="B33" s="3" t="s">
        <v>32</v>
      </c>
      <c r="C33" s="3" t="s">
        <v>21</v>
      </c>
      <c r="D33" s="3" t="s">
        <v>41</v>
      </c>
      <c r="E33" s="3" t="s">
        <v>19</v>
      </c>
      <c r="F33" s="3">
        <v>3566</v>
      </c>
      <c r="G33" s="4">
        <v>43830</v>
      </c>
      <c r="H33">
        <f t="shared" si="0"/>
        <v>2019</v>
      </c>
      <c r="I33" s="5">
        <v>38142730</v>
      </c>
      <c r="J33" s="3">
        <v>2699</v>
      </c>
      <c r="K33" s="4">
        <v>44152</v>
      </c>
      <c r="L33">
        <f t="shared" si="1"/>
        <v>2020</v>
      </c>
      <c r="M33" s="5">
        <v>29016433</v>
      </c>
    </row>
    <row r="34" spans="1:13" ht="15.75" customHeight="1" x14ac:dyDescent="0.25">
      <c r="A34" s="3" t="s">
        <v>15</v>
      </c>
      <c r="B34" s="3" t="s">
        <v>24</v>
      </c>
      <c r="C34" s="3" t="s">
        <v>12</v>
      </c>
      <c r="D34" s="3" t="s">
        <v>25</v>
      </c>
      <c r="E34" s="3" t="s">
        <v>23</v>
      </c>
      <c r="F34" s="3">
        <v>376</v>
      </c>
      <c r="G34" s="4">
        <v>43686</v>
      </c>
      <c r="H34">
        <f t="shared" si="0"/>
        <v>2019</v>
      </c>
      <c r="I34" s="5">
        <v>31822937</v>
      </c>
      <c r="J34" s="3">
        <v>804</v>
      </c>
      <c r="K34" s="4">
        <v>43893</v>
      </c>
      <c r="L34">
        <f t="shared" si="1"/>
        <v>2020</v>
      </c>
      <c r="M34" s="5">
        <v>28352802</v>
      </c>
    </row>
    <row r="35" spans="1:13" ht="15.75" customHeight="1" x14ac:dyDescent="0.25">
      <c r="A35" s="3" t="s">
        <v>15</v>
      </c>
      <c r="B35" s="3" t="s">
        <v>29</v>
      </c>
      <c r="C35" s="3" t="s">
        <v>21</v>
      </c>
      <c r="D35" s="3" t="s">
        <v>22</v>
      </c>
      <c r="E35" s="3" t="s">
        <v>19</v>
      </c>
      <c r="F35" s="3">
        <v>3554</v>
      </c>
      <c r="G35" s="4">
        <v>43830</v>
      </c>
      <c r="H35">
        <f t="shared" si="0"/>
        <v>2019</v>
      </c>
      <c r="I35" s="5">
        <v>28747691</v>
      </c>
      <c r="J35" s="3">
        <v>1987</v>
      </c>
      <c r="K35" s="4">
        <v>44043</v>
      </c>
      <c r="L35">
        <f t="shared" si="1"/>
        <v>2020</v>
      </c>
      <c r="M35" s="5">
        <v>27968103</v>
      </c>
    </row>
    <row r="36" spans="1:13" ht="15.75" customHeight="1" x14ac:dyDescent="0.25">
      <c r="A36" s="3" t="s">
        <v>15</v>
      </c>
      <c r="B36" s="3" t="s">
        <v>29</v>
      </c>
      <c r="C36" s="3" t="s">
        <v>39</v>
      </c>
      <c r="D36" s="3" t="s">
        <v>40</v>
      </c>
      <c r="E36" s="3" t="s">
        <v>36</v>
      </c>
      <c r="F36" s="3">
        <v>586</v>
      </c>
      <c r="G36" s="4">
        <v>43805</v>
      </c>
      <c r="H36">
        <f t="shared" si="0"/>
        <v>2019</v>
      </c>
      <c r="I36" s="5">
        <v>27180006</v>
      </c>
      <c r="J36" s="3">
        <v>1251</v>
      </c>
      <c r="K36" s="4">
        <v>43936</v>
      </c>
      <c r="L36">
        <f t="shared" si="1"/>
        <v>2020</v>
      </c>
      <c r="M36" s="5">
        <v>27180006</v>
      </c>
    </row>
    <row r="37" spans="1:13" ht="15.75" customHeight="1" x14ac:dyDescent="0.25">
      <c r="A37" s="3" t="s">
        <v>15</v>
      </c>
      <c r="B37" s="3" t="s">
        <v>20</v>
      </c>
      <c r="C37" s="3" t="s">
        <v>21</v>
      </c>
      <c r="D37" s="3" t="s">
        <v>13</v>
      </c>
      <c r="E37" s="3" t="s">
        <v>23</v>
      </c>
      <c r="F37" s="3">
        <v>290</v>
      </c>
      <c r="G37" s="4">
        <v>43859</v>
      </c>
      <c r="H37">
        <f t="shared" si="0"/>
        <v>2020</v>
      </c>
      <c r="I37" s="5">
        <v>26939167</v>
      </c>
      <c r="J37" s="3">
        <v>2007</v>
      </c>
      <c r="K37" s="4">
        <v>44043</v>
      </c>
      <c r="L37">
        <f t="shared" si="1"/>
        <v>2020</v>
      </c>
      <c r="M37" s="5">
        <v>26939167</v>
      </c>
    </row>
    <row r="38" spans="1:13" ht="15.75" customHeight="1" x14ac:dyDescent="0.25">
      <c r="A38" s="3" t="s">
        <v>15</v>
      </c>
      <c r="B38" s="3" t="s">
        <v>42</v>
      </c>
      <c r="C38" s="3" t="s">
        <v>21</v>
      </c>
      <c r="D38" s="3" t="s">
        <v>22</v>
      </c>
      <c r="E38" s="3" t="s">
        <v>23</v>
      </c>
      <c r="F38" s="3">
        <v>303</v>
      </c>
      <c r="G38" s="4">
        <v>43859</v>
      </c>
      <c r="H38">
        <f t="shared" si="0"/>
        <v>2020</v>
      </c>
      <c r="I38" s="5">
        <v>26007854</v>
      </c>
      <c r="J38" s="3">
        <v>1941</v>
      </c>
      <c r="K38" s="4">
        <v>44039</v>
      </c>
      <c r="L38">
        <f t="shared" si="1"/>
        <v>2020</v>
      </c>
      <c r="M38" s="5">
        <v>26007854</v>
      </c>
    </row>
    <row r="39" spans="1:13" ht="15.75" customHeight="1" x14ac:dyDescent="0.25">
      <c r="A39" s="3" t="s">
        <v>15</v>
      </c>
      <c r="B39" s="3" t="s">
        <v>43</v>
      </c>
      <c r="C39" s="3" t="s">
        <v>17</v>
      </c>
      <c r="D39" s="3" t="s">
        <v>13</v>
      </c>
      <c r="E39" s="3" t="s">
        <v>19</v>
      </c>
      <c r="F39" s="3">
        <v>2120</v>
      </c>
      <c r="G39" s="4">
        <v>44057</v>
      </c>
      <c r="H39">
        <f t="shared" si="0"/>
        <v>2020</v>
      </c>
      <c r="I39" s="5">
        <v>31408812</v>
      </c>
      <c r="J39" s="3">
        <v>2591</v>
      </c>
      <c r="K39" s="4">
        <v>44130</v>
      </c>
      <c r="L39">
        <f t="shared" si="1"/>
        <v>2020</v>
      </c>
      <c r="M39" s="5">
        <v>25701405</v>
      </c>
    </row>
    <row r="40" spans="1:13" ht="15.75" customHeight="1" x14ac:dyDescent="0.25">
      <c r="A40" s="3" t="s">
        <v>15</v>
      </c>
      <c r="B40" s="3" t="s">
        <v>20</v>
      </c>
      <c r="C40" s="3" t="s">
        <v>21</v>
      </c>
      <c r="D40" s="3" t="s">
        <v>22</v>
      </c>
      <c r="E40" s="3" t="s">
        <v>19</v>
      </c>
      <c r="F40" s="3">
        <v>3558</v>
      </c>
      <c r="G40" s="4">
        <v>43830</v>
      </c>
      <c r="H40">
        <f t="shared" si="0"/>
        <v>2019</v>
      </c>
      <c r="I40" s="5">
        <v>25664179</v>
      </c>
      <c r="J40" s="3">
        <v>270</v>
      </c>
      <c r="K40" s="4">
        <v>43858</v>
      </c>
      <c r="L40">
        <f t="shared" si="1"/>
        <v>2020</v>
      </c>
      <c r="M40" s="5">
        <v>25664179</v>
      </c>
    </row>
    <row r="41" spans="1:13" ht="15.75" customHeight="1" x14ac:dyDescent="0.25">
      <c r="A41" s="3" t="s">
        <v>15</v>
      </c>
      <c r="B41" s="3" t="s">
        <v>33</v>
      </c>
      <c r="C41" s="3" t="s">
        <v>12</v>
      </c>
      <c r="D41" s="3" t="s">
        <v>25</v>
      </c>
      <c r="E41" s="3" t="s">
        <v>23</v>
      </c>
      <c r="F41" s="3">
        <v>377</v>
      </c>
      <c r="G41" s="4">
        <v>43686</v>
      </c>
      <c r="H41">
        <f t="shared" si="0"/>
        <v>2019</v>
      </c>
      <c r="I41" s="5">
        <v>27032979</v>
      </c>
      <c r="J41" s="3">
        <v>836</v>
      </c>
      <c r="K41" s="4">
        <v>43895</v>
      </c>
      <c r="L41">
        <f t="shared" si="1"/>
        <v>2020</v>
      </c>
      <c r="M41" s="5">
        <v>25549793</v>
      </c>
    </row>
    <row r="42" spans="1:13" ht="15.75" customHeight="1" x14ac:dyDescent="0.25">
      <c r="A42" s="3" t="s">
        <v>15</v>
      </c>
      <c r="B42" s="3" t="s">
        <v>30</v>
      </c>
      <c r="C42" s="3" t="s">
        <v>12</v>
      </c>
      <c r="D42" s="3" t="s">
        <v>44</v>
      </c>
      <c r="E42" s="3" t="s">
        <v>23</v>
      </c>
      <c r="F42" s="3">
        <v>248</v>
      </c>
      <c r="G42" s="4">
        <v>43678</v>
      </c>
      <c r="H42">
        <f t="shared" si="0"/>
        <v>2019</v>
      </c>
      <c r="I42" s="5">
        <v>41474506</v>
      </c>
      <c r="J42" s="3">
        <v>1534</v>
      </c>
      <c r="K42" s="4">
        <v>43977</v>
      </c>
      <c r="L42">
        <f t="shared" si="1"/>
        <v>2020</v>
      </c>
      <c r="M42" s="5">
        <v>24994371</v>
      </c>
    </row>
    <row r="43" spans="1:13" ht="15.75" customHeight="1" x14ac:dyDescent="0.25">
      <c r="A43" s="3" t="s">
        <v>15</v>
      </c>
      <c r="B43" s="3" t="s">
        <v>20</v>
      </c>
      <c r="C43" s="3" t="s">
        <v>21</v>
      </c>
      <c r="D43" s="3" t="s">
        <v>13</v>
      </c>
      <c r="E43" s="3" t="s">
        <v>19</v>
      </c>
      <c r="F43" s="3">
        <v>3584</v>
      </c>
      <c r="G43" s="4">
        <v>43830</v>
      </c>
      <c r="H43">
        <f t="shared" si="0"/>
        <v>2019</v>
      </c>
      <c r="I43" s="5">
        <v>24756555</v>
      </c>
      <c r="J43" s="3">
        <v>253</v>
      </c>
      <c r="K43" s="4">
        <v>43858</v>
      </c>
      <c r="L43">
        <f t="shared" si="1"/>
        <v>2020</v>
      </c>
      <c r="M43" s="5">
        <v>24756555</v>
      </c>
    </row>
    <row r="44" spans="1:13" ht="15.75" customHeight="1" x14ac:dyDescent="0.25">
      <c r="A44" s="3" t="s">
        <v>15</v>
      </c>
      <c r="B44" s="3" t="s">
        <v>32</v>
      </c>
      <c r="C44" s="3" t="s">
        <v>39</v>
      </c>
      <c r="D44" s="3" t="s">
        <v>40</v>
      </c>
      <c r="E44" s="3" t="s">
        <v>19</v>
      </c>
      <c r="F44" s="3">
        <v>311</v>
      </c>
      <c r="G44" s="4">
        <v>43636</v>
      </c>
      <c r="H44">
        <f t="shared" si="0"/>
        <v>2019</v>
      </c>
      <c r="I44" s="5">
        <v>24091081</v>
      </c>
      <c r="J44" s="3">
        <v>1541</v>
      </c>
      <c r="K44" s="4">
        <v>43977</v>
      </c>
      <c r="L44">
        <f t="shared" si="1"/>
        <v>2020</v>
      </c>
      <c r="M44" s="5">
        <v>24091081</v>
      </c>
    </row>
    <row r="45" spans="1:13" ht="15.75" customHeight="1" x14ac:dyDescent="0.25">
      <c r="A45" s="3" t="s">
        <v>15</v>
      </c>
      <c r="B45" s="3" t="s">
        <v>30</v>
      </c>
      <c r="C45" s="3" t="s">
        <v>12</v>
      </c>
      <c r="D45" s="3" t="s">
        <v>35</v>
      </c>
      <c r="E45" s="3" t="s">
        <v>36</v>
      </c>
      <c r="F45" s="3">
        <v>215</v>
      </c>
      <c r="G45" s="4">
        <v>43815</v>
      </c>
      <c r="H45">
        <f t="shared" si="0"/>
        <v>2019</v>
      </c>
      <c r="I45" s="5">
        <v>23960963</v>
      </c>
      <c r="J45" s="3">
        <v>2002</v>
      </c>
      <c r="K45" s="4">
        <v>44043</v>
      </c>
      <c r="L45">
        <f t="shared" si="1"/>
        <v>2020</v>
      </c>
      <c r="M45" s="5">
        <v>23415604</v>
      </c>
    </row>
    <row r="46" spans="1:13" ht="15.75" customHeight="1" x14ac:dyDescent="0.25">
      <c r="A46" s="3" t="s">
        <v>10</v>
      </c>
      <c r="B46" s="3" t="s">
        <v>30</v>
      </c>
      <c r="C46" s="3" t="s">
        <v>12</v>
      </c>
      <c r="D46" s="3" t="s">
        <v>35</v>
      </c>
      <c r="E46" s="3" t="s">
        <v>14</v>
      </c>
      <c r="F46" s="3">
        <v>114</v>
      </c>
      <c r="G46" s="4">
        <v>43636</v>
      </c>
      <c r="H46">
        <f t="shared" si="0"/>
        <v>2019</v>
      </c>
      <c r="I46" s="5">
        <v>32033608</v>
      </c>
      <c r="J46" s="3">
        <v>1960</v>
      </c>
      <c r="K46" s="4">
        <v>44040</v>
      </c>
      <c r="L46">
        <f t="shared" si="1"/>
        <v>2020</v>
      </c>
      <c r="M46" s="5">
        <v>22558310</v>
      </c>
    </row>
    <row r="47" spans="1:13" ht="15.75" customHeight="1" x14ac:dyDescent="0.25">
      <c r="A47" s="3" t="s">
        <v>15</v>
      </c>
      <c r="B47" s="3" t="s">
        <v>20</v>
      </c>
      <c r="C47" s="3" t="s">
        <v>12</v>
      </c>
      <c r="D47" s="3" t="s">
        <v>37</v>
      </c>
      <c r="E47" s="3" t="s">
        <v>19</v>
      </c>
      <c r="F47" s="3">
        <v>254</v>
      </c>
      <c r="G47" s="4">
        <v>43693</v>
      </c>
      <c r="H47">
        <f t="shared" si="0"/>
        <v>2019</v>
      </c>
      <c r="I47" s="5">
        <v>24713734</v>
      </c>
      <c r="J47" s="3">
        <v>701</v>
      </c>
      <c r="K47" s="4">
        <v>43886</v>
      </c>
      <c r="L47">
        <f t="shared" si="1"/>
        <v>2020</v>
      </c>
      <c r="M47" s="5">
        <v>22144908</v>
      </c>
    </row>
    <row r="48" spans="1:13" ht="15.75" customHeight="1" x14ac:dyDescent="0.25">
      <c r="A48" s="3" t="s">
        <v>15</v>
      </c>
      <c r="B48" s="3" t="s">
        <v>33</v>
      </c>
      <c r="C48" s="3" t="s">
        <v>12</v>
      </c>
      <c r="D48" s="3" t="s">
        <v>37</v>
      </c>
      <c r="E48" s="3" t="s">
        <v>19</v>
      </c>
      <c r="F48" s="3">
        <v>185</v>
      </c>
      <c r="G48" s="4">
        <v>43642</v>
      </c>
      <c r="H48">
        <f t="shared" si="0"/>
        <v>2019</v>
      </c>
      <c r="I48" s="5">
        <v>27285145</v>
      </c>
      <c r="J48" s="3">
        <v>2715</v>
      </c>
      <c r="K48" s="4">
        <v>44158</v>
      </c>
      <c r="L48">
        <f t="shared" si="1"/>
        <v>2020</v>
      </c>
      <c r="M48" s="5">
        <v>21506292</v>
      </c>
    </row>
    <row r="49" spans="1:13" ht="15.75" customHeight="1" x14ac:dyDescent="0.25">
      <c r="A49" s="3" t="s">
        <v>15</v>
      </c>
      <c r="B49" s="3" t="s">
        <v>30</v>
      </c>
      <c r="C49" s="3" t="s">
        <v>12</v>
      </c>
      <c r="D49" s="3" t="s">
        <v>44</v>
      </c>
      <c r="E49" s="3" t="s">
        <v>19</v>
      </c>
      <c r="F49" s="3">
        <v>200</v>
      </c>
      <c r="G49" s="4">
        <v>43633</v>
      </c>
      <c r="H49">
        <f t="shared" si="0"/>
        <v>2019</v>
      </c>
      <c r="I49" s="5">
        <v>21469105</v>
      </c>
      <c r="J49" s="3">
        <v>2356</v>
      </c>
      <c r="K49" s="4">
        <v>44098</v>
      </c>
      <c r="L49">
        <f t="shared" si="1"/>
        <v>2020</v>
      </c>
      <c r="M49" s="5">
        <v>21469105</v>
      </c>
    </row>
    <row r="50" spans="1:13" ht="15.75" customHeight="1" x14ac:dyDescent="0.25">
      <c r="A50" s="3" t="s">
        <v>15</v>
      </c>
      <c r="B50" s="3" t="s">
        <v>29</v>
      </c>
      <c r="C50" s="3" t="s">
        <v>39</v>
      </c>
      <c r="D50" s="3" t="s">
        <v>40</v>
      </c>
      <c r="E50" s="3" t="s">
        <v>36</v>
      </c>
      <c r="F50" s="3">
        <v>625</v>
      </c>
      <c r="G50" s="4">
        <v>43830</v>
      </c>
      <c r="H50">
        <f t="shared" si="0"/>
        <v>2019</v>
      </c>
      <c r="I50" s="5">
        <v>21071783</v>
      </c>
      <c r="J50" s="3">
        <v>1257</v>
      </c>
      <c r="K50" s="4">
        <v>43936</v>
      </c>
      <c r="L50">
        <f t="shared" si="1"/>
        <v>2020</v>
      </c>
      <c r="M50" s="5">
        <v>21071783</v>
      </c>
    </row>
    <row r="51" spans="1:13" ht="15.75" customHeight="1" x14ac:dyDescent="0.25">
      <c r="A51" s="3" t="s">
        <v>15</v>
      </c>
      <c r="B51" s="3" t="s">
        <v>32</v>
      </c>
      <c r="C51" s="3" t="s">
        <v>21</v>
      </c>
      <c r="D51" s="3" t="s">
        <v>13</v>
      </c>
      <c r="E51" s="3" t="s">
        <v>19</v>
      </c>
      <c r="F51" s="3">
        <v>3583</v>
      </c>
      <c r="G51" s="4">
        <v>43830</v>
      </c>
      <c r="H51">
        <f t="shared" si="0"/>
        <v>2019</v>
      </c>
      <c r="I51" s="5">
        <v>20599500</v>
      </c>
      <c r="J51" s="3">
        <v>2834</v>
      </c>
      <c r="K51" s="4">
        <v>44165</v>
      </c>
      <c r="L51">
        <f t="shared" si="1"/>
        <v>2020</v>
      </c>
      <c r="M51" s="5">
        <v>20599500</v>
      </c>
    </row>
    <row r="52" spans="1:13" ht="15.75" customHeight="1" x14ac:dyDescent="0.25">
      <c r="A52" s="3" t="s">
        <v>15</v>
      </c>
      <c r="B52" s="3" t="s">
        <v>45</v>
      </c>
      <c r="C52" s="3" t="s">
        <v>21</v>
      </c>
      <c r="D52" s="3" t="s">
        <v>13</v>
      </c>
      <c r="E52" s="3" t="s">
        <v>19</v>
      </c>
      <c r="F52" s="3">
        <v>3581</v>
      </c>
      <c r="G52" s="4">
        <v>43830</v>
      </c>
      <c r="H52">
        <f t="shared" si="0"/>
        <v>2019</v>
      </c>
      <c r="I52" s="5">
        <v>18912401</v>
      </c>
      <c r="J52" s="3">
        <v>556</v>
      </c>
      <c r="K52" s="4">
        <v>43875</v>
      </c>
      <c r="L52">
        <f t="shared" si="1"/>
        <v>2020</v>
      </c>
      <c r="M52" s="5">
        <v>18912401</v>
      </c>
    </row>
    <row r="53" spans="1:13" ht="15.75" customHeight="1" x14ac:dyDescent="0.25">
      <c r="A53" s="3" t="s">
        <v>15</v>
      </c>
      <c r="B53" s="3" t="s">
        <v>30</v>
      </c>
      <c r="C53" s="3" t="s">
        <v>12</v>
      </c>
      <c r="D53" s="3" t="s">
        <v>35</v>
      </c>
      <c r="E53" s="3" t="s">
        <v>23</v>
      </c>
      <c r="F53" s="3">
        <v>150</v>
      </c>
      <c r="G53" s="4">
        <v>43686</v>
      </c>
      <c r="H53">
        <f t="shared" si="0"/>
        <v>2019</v>
      </c>
      <c r="I53" s="5">
        <v>19576653</v>
      </c>
      <c r="J53" s="3">
        <v>1199</v>
      </c>
      <c r="K53" s="4">
        <v>43930</v>
      </c>
      <c r="L53">
        <f t="shared" si="1"/>
        <v>2020</v>
      </c>
      <c r="M53" s="5">
        <v>18585881</v>
      </c>
    </row>
    <row r="54" spans="1:13" ht="15.75" customHeight="1" x14ac:dyDescent="0.25">
      <c r="A54" s="3" t="s">
        <v>15</v>
      </c>
      <c r="B54" s="3" t="s">
        <v>20</v>
      </c>
      <c r="C54" s="3" t="s">
        <v>21</v>
      </c>
      <c r="D54" s="3" t="s">
        <v>13</v>
      </c>
      <c r="E54" s="3" t="s">
        <v>23</v>
      </c>
      <c r="F54" s="3">
        <v>1795</v>
      </c>
      <c r="G54" s="4">
        <v>44007</v>
      </c>
      <c r="H54">
        <f t="shared" si="0"/>
        <v>2020</v>
      </c>
      <c r="I54" s="5">
        <v>18259093</v>
      </c>
      <c r="J54" s="3">
        <v>2643</v>
      </c>
      <c r="K54" s="4">
        <v>44139</v>
      </c>
      <c r="L54">
        <f t="shared" si="1"/>
        <v>2020</v>
      </c>
      <c r="M54" s="5">
        <v>18259093</v>
      </c>
    </row>
    <row r="55" spans="1:13" ht="15.75" customHeight="1" x14ac:dyDescent="0.25">
      <c r="A55" s="3" t="s">
        <v>15</v>
      </c>
      <c r="B55" s="3" t="s">
        <v>30</v>
      </c>
      <c r="C55" s="3" t="s">
        <v>12</v>
      </c>
      <c r="D55" s="3" t="s">
        <v>44</v>
      </c>
      <c r="E55" s="3" t="s">
        <v>19</v>
      </c>
      <c r="F55" s="3">
        <v>197</v>
      </c>
      <c r="G55" s="4">
        <v>43633</v>
      </c>
      <c r="H55">
        <f t="shared" si="0"/>
        <v>2019</v>
      </c>
      <c r="I55" s="5">
        <v>18078154</v>
      </c>
      <c r="J55" s="3">
        <v>2355</v>
      </c>
      <c r="K55" s="4">
        <v>44098</v>
      </c>
      <c r="L55">
        <f t="shared" si="1"/>
        <v>2020</v>
      </c>
      <c r="M55" s="5">
        <v>18078154</v>
      </c>
    </row>
    <row r="56" spans="1:13" ht="15.75" customHeight="1" x14ac:dyDescent="0.25">
      <c r="A56" s="3" t="s">
        <v>15</v>
      </c>
      <c r="B56" s="3" t="s">
        <v>24</v>
      </c>
      <c r="C56" s="3" t="s">
        <v>12</v>
      </c>
      <c r="D56" s="3" t="s">
        <v>25</v>
      </c>
      <c r="E56" s="3" t="s">
        <v>23</v>
      </c>
      <c r="F56" s="3">
        <v>346</v>
      </c>
      <c r="G56" s="4">
        <v>43657</v>
      </c>
      <c r="H56">
        <f t="shared" si="0"/>
        <v>2019</v>
      </c>
      <c r="I56" s="5">
        <v>18330800</v>
      </c>
      <c r="J56" s="3">
        <v>770</v>
      </c>
      <c r="K56" s="4">
        <v>43893</v>
      </c>
      <c r="L56">
        <f t="shared" si="1"/>
        <v>2020</v>
      </c>
      <c r="M56" s="5">
        <v>17790519</v>
      </c>
    </row>
    <row r="57" spans="1:13" ht="15.75" customHeight="1" x14ac:dyDescent="0.25">
      <c r="A57" s="3" t="s">
        <v>15</v>
      </c>
      <c r="B57" s="3" t="s">
        <v>11</v>
      </c>
      <c r="C57" s="3" t="s">
        <v>12</v>
      </c>
      <c r="D57" s="3" t="s">
        <v>13</v>
      </c>
      <c r="E57" s="3" t="s">
        <v>23</v>
      </c>
      <c r="F57" s="3">
        <v>560</v>
      </c>
      <c r="G57" s="4">
        <v>43668</v>
      </c>
      <c r="H57">
        <f t="shared" si="0"/>
        <v>2019</v>
      </c>
      <c r="I57" s="5">
        <v>23912558</v>
      </c>
      <c r="J57" s="3">
        <v>1299</v>
      </c>
      <c r="K57" s="4">
        <v>43944</v>
      </c>
      <c r="L57">
        <f t="shared" si="1"/>
        <v>2020</v>
      </c>
      <c r="M57" s="5">
        <v>17764386</v>
      </c>
    </row>
    <row r="58" spans="1:13" ht="15.75" customHeight="1" x14ac:dyDescent="0.25">
      <c r="A58" s="3" t="s">
        <v>15</v>
      </c>
      <c r="B58" s="3" t="s">
        <v>29</v>
      </c>
      <c r="C58" s="3" t="s">
        <v>21</v>
      </c>
      <c r="D58" s="3" t="s">
        <v>41</v>
      </c>
      <c r="E58" s="3" t="s">
        <v>19</v>
      </c>
      <c r="F58" s="3">
        <v>3565</v>
      </c>
      <c r="G58" s="4">
        <v>43830</v>
      </c>
      <c r="H58">
        <f t="shared" si="0"/>
        <v>2019</v>
      </c>
      <c r="I58" s="5">
        <v>22072069</v>
      </c>
      <c r="J58" s="3">
        <v>2335</v>
      </c>
      <c r="K58" s="4">
        <v>44095</v>
      </c>
      <c r="L58">
        <f t="shared" si="1"/>
        <v>2020</v>
      </c>
      <c r="M58" s="5">
        <v>17593056</v>
      </c>
    </row>
    <row r="59" spans="1:13" ht="15.75" customHeight="1" x14ac:dyDescent="0.25">
      <c r="A59" s="3" t="s">
        <v>15</v>
      </c>
      <c r="B59" s="3" t="s">
        <v>30</v>
      </c>
      <c r="C59" s="3" t="s">
        <v>12</v>
      </c>
      <c r="D59" s="3" t="s">
        <v>31</v>
      </c>
      <c r="E59" s="3" t="s">
        <v>23</v>
      </c>
      <c r="F59" s="3">
        <v>198</v>
      </c>
      <c r="G59" s="4">
        <v>43685</v>
      </c>
      <c r="H59">
        <f t="shared" si="0"/>
        <v>2019</v>
      </c>
      <c r="I59" s="5">
        <v>17531502</v>
      </c>
      <c r="J59" s="3">
        <v>1198</v>
      </c>
      <c r="K59" s="4">
        <v>43930</v>
      </c>
      <c r="L59">
        <f t="shared" si="1"/>
        <v>2020</v>
      </c>
      <c r="M59" s="5">
        <v>17531502</v>
      </c>
    </row>
    <row r="60" spans="1:13" ht="15.75" customHeight="1" x14ac:dyDescent="0.25">
      <c r="A60" s="3" t="s">
        <v>15</v>
      </c>
      <c r="B60" s="3" t="s">
        <v>45</v>
      </c>
      <c r="C60" s="3" t="s">
        <v>21</v>
      </c>
      <c r="D60" s="3" t="s">
        <v>13</v>
      </c>
      <c r="E60" s="3" t="s">
        <v>23</v>
      </c>
      <c r="F60" s="3">
        <v>287</v>
      </c>
      <c r="G60" s="4">
        <v>43859</v>
      </c>
      <c r="H60">
        <f t="shared" si="0"/>
        <v>2020</v>
      </c>
      <c r="I60" s="5">
        <v>17299318</v>
      </c>
      <c r="J60" s="3">
        <v>1992</v>
      </c>
      <c r="K60" s="4">
        <v>44043</v>
      </c>
      <c r="L60">
        <f t="shared" si="1"/>
        <v>2020</v>
      </c>
      <c r="M60" s="5">
        <v>17299318</v>
      </c>
    </row>
    <row r="61" spans="1:13" ht="15.75" customHeight="1" x14ac:dyDescent="0.25">
      <c r="A61" s="3" t="s">
        <v>15</v>
      </c>
      <c r="B61" s="3" t="s">
        <v>20</v>
      </c>
      <c r="C61" s="3" t="s">
        <v>12</v>
      </c>
      <c r="D61" s="3" t="s">
        <v>40</v>
      </c>
      <c r="E61" s="3" t="s">
        <v>36</v>
      </c>
      <c r="F61" s="3">
        <v>584</v>
      </c>
      <c r="G61" s="4">
        <v>43805</v>
      </c>
      <c r="H61">
        <f t="shared" si="0"/>
        <v>2019</v>
      </c>
      <c r="I61" s="5">
        <v>16433649</v>
      </c>
      <c r="J61" s="3">
        <v>1957</v>
      </c>
      <c r="K61" s="4">
        <v>44040</v>
      </c>
      <c r="L61">
        <f t="shared" si="1"/>
        <v>2020</v>
      </c>
      <c r="M61" s="5">
        <v>16339364</v>
      </c>
    </row>
    <row r="62" spans="1:13" ht="15.75" customHeight="1" x14ac:dyDescent="0.25">
      <c r="A62" s="3" t="s">
        <v>15</v>
      </c>
      <c r="B62" s="3" t="s">
        <v>20</v>
      </c>
      <c r="C62" s="3" t="s">
        <v>21</v>
      </c>
      <c r="D62" s="3" t="s">
        <v>13</v>
      </c>
      <c r="E62" s="3" t="s">
        <v>19</v>
      </c>
      <c r="F62" s="3">
        <v>3043</v>
      </c>
      <c r="G62" s="4">
        <v>43795</v>
      </c>
      <c r="H62">
        <f t="shared" si="0"/>
        <v>2019</v>
      </c>
      <c r="I62" s="5">
        <v>15041476</v>
      </c>
      <c r="J62" s="3">
        <v>3250</v>
      </c>
      <c r="K62" s="4">
        <v>44195</v>
      </c>
      <c r="L62">
        <f t="shared" si="1"/>
        <v>2020</v>
      </c>
      <c r="M62" s="5">
        <v>15041476</v>
      </c>
    </row>
    <row r="63" spans="1:13" ht="15.75" customHeight="1" x14ac:dyDescent="0.25">
      <c r="A63" s="3" t="s">
        <v>15</v>
      </c>
      <c r="B63" s="3" t="s">
        <v>46</v>
      </c>
      <c r="C63" s="3" t="s">
        <v>17</v>
      </c>
      <c r="D63" s="3" t="s">
        <v>13</v>
      </c>
      <c r="E63" s="3" t="s">
        <v>19</v>
      </c>
      <c r="F63" s="3">
        <v>2098</v>
      </c>
      <c r="G63" s="4">
        <v>44057</v>
      </c>
      <c r="H63">
        <f t="shared" si="0"/>
        <v>2020</v>
      </c>
      <c r="I63" s="5">
        <v>14969836</v>
      </c>
      <c r="J63" s="3">
        <v>2716</v>
      </c>
      <c r="K63" s="4">
        <v>44158</v>
      </c>
      <c r="L63">
        <f t="shared" si="1"/>
        <v>2020</v>
      </c>
      <c r="M63" s="5">
        <v>14969836</v>
      </c>
    </row>
    <row r="64" spans="1:13" ht="15.75" customHeight="1" x14ac:dyDescent="0.25">
      <c r="A64" s="3" t="s">
        <v>10</v>
      </c>
      <c r="B64" s="3" t="s">
        <v>30</v>
      </c>
      <c r="C64" s="3" t="s">
        <v>12</v>
      </c>
      <c r="D64" s="3" t="s">
        <v>35</v>
      </c>
      <c r="E64" s="3" t="s">
        <v>14</v>
      </c>
      <c r="F64" s="3">
        <v>115</v>
      </c>
      <c r="G64" s="4">
        <v>43636</v>
      </c>
      <c r="H64">
        <f t="shared" si="0"/>
        <v>2019</v>
      </c>
      <c r="I64" s="5">
        <v>19414541</v>
      </c>
      <c r="J64" s="3">
        <v>1718</v>
      </c>
      <c r="K64" s="4">
        <v>43997</v>
      </c>
      <c r="L64">
        <f t="shared" si="1"/>
        <v>2020</v>
      </c>
      <c r="M64" s="5">
        <v>14578938</v>
      </c>
    </row>
    <row r="65" spans="1:13" ht="15.75" customHeight="1" x14ac:dyDescent="0.25">
      <c r="A65" s="3" t="s">
        <v>15</v>
      </c>
      <c r="B65" s="3" t="s">
        <v>32</v>
      </c>
      <c r="C65" s="3" t="s">
        <v>39</v>
      </c>
      <c r="D65" s="3" t="s">
        <v>40</v>
      </c>
      <c r="E65" s="3" t="s">
        <v>23</v>
      </c>
      <c r="F65" s="3">
        <v>582</v>
      </c>
      <c r="G65" s="4">
        <v>43803</v>
      </c>
      <c r="H65">
        <f t="shared" si="0"/>
        <v>2019</v>
      </c>
      <c r="I65" s="5">
        <v>13954119</v>
      </c>
      <c r="J65" s="3">
        <v>1820</v>
      </c>
      <c r="K65" s="4">
        <v>44012</v>
      </c>
      <c r="L65">
        <f t="shared" si="1"/>
        <v>2020</v>
      </c>
      <c r="M65" s="5">
        <v>13954119</v>
      </c>
    </row>
    <row r="66" spans="1:13" ht="15.75" customHeight="1" x14ac:dyDescent="0.25">
      <c r="A66" s="3" t="s">
        <v>10</v>
      </c>
      <c r="B66" s="3" t="s">
        <v>20</v>
      </c>
      <c r="C66" s="3" t="s">
        <v>12</v>
      </c>
      <c r="D66" s="3" t="s">
        <v>40</v>
      </c>
      <c r="E66" s="3" t="s">
        <v>47</v>
      </c>
      <c r="F66" s="3">
        <v>545</v>
      </c>
      <c r="G66" s="4">
        <v>43794</v>
      </c>
      <c r="H66">
        <f t="shared" si="0"/>
        <v>2019</v>
      </c>
      <c r="I66" s="5">
        <v>12908828</v>
      </c>
      <c r="J66" s="3">
        <v>2551</v>
      </c>
      <c r="K66" s="4">
        <v>44123</v>
      </c>
      <c r="L66">
        <f t="shared" si="1"/>
        <v>2020</v>
      </c>
      <c r="M66" s="5">
        <v>12908828</v>
      </c>
    </row>
    <row r="67" spans="1:13" ht="15.75" customHeight="1" x14ac:dyDescent="0.25">
      <c r="A67" s="3" t="s">
        <v>15</v>
      </c>
      <c r="B67" s="3" t="s">
        <v>33</v>
      </c>
      <c r="C67" s="3" t="s">
        <v>12</v>
      </c>
      <c r="D67" s="3" t="s">
        <v>25</v>
      </c>
      <c r="E67" s="3" t="s">
        <v>23</v>
      </c>
      <c r="F67" s="3">
        <v>347</v>
      </c>
      <c r="G67" s="4">
        <v>43657</v>
      </c>
      <c r="H67">
        <f t="shared" ref="H67:H130" si="2">YEAR(G67)</f>
        <v>2019</v>
      </c>
      <c r="I67" s="5">
        <v>16093113</v>
      </c>
      <c r="J67" s="3">
        <v>834</v>
      </c>
      <c r="K67" s="4">
        <v>43895</v>
      </c>
      <c r="L67">
        <f t="shared" si="1"/>
        <v>2020</v>
      </c>
      <c r="M67" s="5">
        <v>12352653</v>
      </c>
    </row>
    <row r="68" spans="1:13" ht="15.75" customHeight="1" x14ac:dyDescent="0.25">
      <c r="A68" s="3" t="s">
        <v>15</v>
      </c>
      <c r="B68" s="3" t="s">
        <v>48</v>
      </c>
      <c r="C68" s="3" t="s">
        <v>21</v>
      </c>
      <c r="D68" s="3" t="s">
        <v>13</v>
      </c>
      <c r="E68" s="3" t="s">
        <v>19</v>
      </c>
      <c r="F68" s="3">
        <v>3586</v>
      </c>
      <c r="G68" s="4">
        <v>43830</v>
      </c>
      <c r="H68">
        <f t="shared" si="2"/>
        <v>2019</v>
      </c>
      <c r="I68" s="5">
        <v>12345007</v>
      </c>
      <c r="J68" s="3">
        <v>1680</v>
      </c>
      <c r="K68" s="4">
        <v>43993</v>
      </c>
      <c r="L68">
        <f t="shared" ref="L68:L131" si="3">YEAR(K68)</f>
        <v>2020</v>
      </c>
      <c r="M68" s="5">
        <v>12345007</v>
      </c>
    </row>
    <row r="69" spans="1:13" ht="15.75" customHeight="1" x14ac:dyDescent="0.25">
      <c r="A69" s="3" t="s">
        <v>15</v>
      </c>
      <c r="B69" s="3" t="s">
        <v>29</v>
      </c>
      <c r="C69" s="3" t="s">
        <v>21</v>
      </c>
      <c r="D69" s="3" t="s">
        <v>49</v>
      </c>
      <c r="E69" s="3" t="s">
        <v>19</v>
      </c>
      <c r="F69" s="3">
        <v>3592</v>
      </c>
      <c r="G69" s="4">
        <v>43830</v>
      </c>
      <c r="H69">
        <f t="shared" si="2"/>
        <v>2019</v>
      </c>
      <c r="I69" s="5">
        <v>12217284</v>
      </c>
      <c r="J69" s="3">
        <v>1684</v>
      </c>
      <c r="K69" s="4">
        <v>43993</v>
      </c>
      <c r="L69">
        <f t="shared" si="3"/>
        <v>2020</v>
      </c>
      <c r="M69" s="5">
        <v>12217284</v>
      </c>
    </row>
    <row r="70" spans="1:13" ht="15.75" customHeight="1" x14ac:dyDescent="0.25">
      <c r="A70" s="3" t="s">
        <v>15</v>
      </c>
      <c r="B70" s="3" t="s">
        <v>30</v>
      </c>
      <c r="C70" s="3" t="s">
        <v>12</v>
      </c>
      <c r="D70" s="3" t="s">
        <v>44</v>
      </c>
      <c r="E70" s="3" t="s">
        <v>36</v>
      </c>
      <c r="F70" s="3">
        <v>21</v>
      </c>
      <c r="G70" s="4">
        <v>43872</v>
      </c>
      <c r="H70">
        <f t="shared" si="2"/>
        <v>2020</v>
      </c>
      <c r="I70" s="5">
        <v>13123392</v>
      </c>
      <c r="J70" s="3">
        <v>2004</v>
      </c>
      <c r="K70" s="4">
        <v>44043</v>
      </c>
      <c r="L70">
        <f t="shared" si="3"/>
        <v>2020</v>
      </c>
      <c r="M70" s="5">
        <v>12155782</v>
      </c>
    </row>
    <row r="71" spans="1:13" ht="15.75" customHeight="1" x14ac:dyDescent="0.25">
      <c r="A71" s="3" t="s">
        <v>15</v>
      </c>
      <c r="B71" s="3" t="s">
        <v>45</v>
      </c>
      <c r="C71" s="3" t="s">
        <v>21</v>
      </c>
      <c r="D71" s="3" t="s">
        <v>22</v>
      </c>
      <c r="E71" s="3" t="s">
        <v>23</v>
      </c>
      <c r="F71" s="3">
        <v>286</v>
      </c>
      <c r="G71" s="4">
        <v>43859</v>
      </c>
      <c r="H71">
        <f t="shared" si="2"/>
        <v>2020</v>
      </c>
      <c r="I71" s="5">
        <v>11725083</v>
      </c>
      <c r="J71" s="3">
        <v>1993</v>
      </c>
      <c r="K71" s="4">
        <v>44043</v>
      </c>
      <c r="L71">
        <f t="shared" si="3"/>
        <v>2020</v>
      </c>
      <c r="M71" s="5">
        <v>11725083</v>
      </c>
    </row>
    <row r="72" spans="1:13" ht="15.75" customHeight="1" x14ac:dyDescent="0.25">
      <c r="A72" s="3" t="s">
        <v>15</v>
      </c>
      <c r="B72" s="3" t="s">
        <v>33</v>
      </c>
      <c r="C72" s="3" t="s">
        <v>12</v>
      </c>
      <c r="D72" s="3" t="s">
        <v>37</v>
      </c>
      <c r="E72" s="3" t="s">
        <v>19</v>
      </c>
      <c r="F72" s="3">
        <v>256</v>
      </c>
      <c r="G72" s="4">
        <v>43693</v>
      </c>
      <c r="H72">
        <f t="shared" si="2"/>
        <v>2019</v>
      </c>
      <c r="I72" s="5">
        <v>20894459</v>
      </c>
      <c r="J72" s="3">
        <v>3251</v>
      </c>
      <c r="K72" s="4">
        <v>44195</v>
      </c>
      <c r="L72">
        <f t="shared" si="3"/>
        <v>2020</v>
      </c>
      <c r="M72" s="5">
        <v>11616342</v>
      </c>
    </row>
    <row r="73" spans="1:13" ht="15.75" customHeight="1" x14ac:dyDescent="0.25">
      <c r="A73" s="3" t="s">
        <v>15</v>
      </c>
      <c r="B73" s="3" t="s">
        <v>33</v>
      </c>
      <c r="C73" s="3" t="s">
        <v>12</v>
      </c>
      <c r="D73" s="3" t="s">
        <v>13</v>
      </c>
      <c r="E73" s="3" t="s">
        <v>36</v>
      </c>
      <c r="F73" s="3">
        <v>638</v>
      </c>
      <c r="G73" s="4">
        <v>43689</v>
      </c>
      <c r="H73">
        <f t="shared" si="2"/>
        <v>2019</v>
      </c>
      <c r="I73" s="5">
        <v>12245993</v>
      </c>
      <c r="J73" s="3">
        <v>1928</v>
      </c>
      <c r="K73" s="4">
        <v>44039</v>
      </c>
      <c r="L73">
        <f t="shared" si="3"/>
        <v>2020</v>
      </c>
      <c r="M73" s="5">
        <v>11582575</v>
      </c>
    </row>
    <row r="74" spans="1:13" ht="15.75" customHeight="1" x14ac:dyDescent="0.25">
      <c r="A74" s="3" t="s">
        <v>15</v>
      </c>
      <c r="B74" s="3" t="s">
        <v>33</v>
      </c>
      <c r="C74" s="3" t="s">
        <v>12</v>
      </c>
      <c r="D74" s="3" t="s">
        <v>37</v>
      </c>
      <c r="E74" s="3" t="s">
        <v>23</v>
      </c>
      <c r="F74" s="3">
        <v>251</v>
      </c>
      <c r="G74" s="4">
        <v>43691</v>
      </c>
      <c r="H74">
        <f t="shared" si="2"/>
        <v>2019</v>
      </c>
      <c r="I74" s="5">
        <v>11345119</v>
      </c>
      <c r="J74" s="3">
        <v>837</v>
      </c>
      <c r="K74" s="4">
        <v>43895</v>
      </c>
      <c r="L74">
        <f t="shared" si="3"/>
        <v>2020</v>
      </c>
      <c r="M74" s="5">
        <v>11345119</v>
      </c>
    </row>
    <row r="75" spans="1:13" ht="15.75" customHeight="1" x14ac:dyDescent="0.25">
      <c r="A75" s="3" t="s">
        <v>15</v>
      </c>
      <c r="B75" s="3" t="s">
        <v>50</v>
      </c>
      <c r="C75" s="3" t="s">
        <v>21</v>
      </c>
      <c r="D75" s="3" t="s">
        <v>13</v>
      </c>
      <c r="E75" s="3" t="s">
        <v>19</v>
      </c>
      <c r="F75" s="3">
        <v>3582</v>
      </c>
      <c r="G75" s="4">
        <v>43830</v>
      </c>
      <c r="H75">
        <f t="shared" si="2"/>
        <v>2019</v>
      </c>
      <c r="I75" s="5">
        <v>11055348</v>
      </c>
      <c r="J75" s="3">
        <v>1183</v>
      </c>
      <c r="K75" s="4">
        <v>43930</v>
      </c>
      <c r="L75">
        <f t="shared" si="3"/>
        <v>2020</v>
      </c>
      <c r="M75" s="5">
        <v>11055348</v>
      </c>
    </row>
    <row r="76" spans="1:13" ht="15.75" customHeight="1" x14ac:dyDescent="0.25">
      <c r="A76" s="3" t="s">
        <v>10</v>
      </c>
      <c r="B76" s="3" t="s">
        <v>24</v>
      </c>
      <c r="C76" s="3" t="s">
        <v>12</v>
      </c>
      <c r="D76" s="3" t="s">
        <v>25</v>
      </c>
      <c r="E76" s="3" t="s">
        <v>14</v>
      </c>
      <c r="F76" s="3">
        <v>358</v>
      </c>
      <c r="G76" s="4">
        <v>43671</v>
      </c>
      <c r="H76">
        <f t="shared" si="2"/>
        <v>2019</v>
      </c>
      <c r="I76" s="5">
        <v>10758834</v>
      </c>
      <c r="J76" s="3">
        <v>1952</v>
      </c>
      <c r="K76" s="4">
        <v>44040</v>
      </c>
      <c r="L76">
        <f t="shared" si="3"/>
        <v>2020</v>
      </c>
      <c r="M76" s="5">
        <v>10758834</v>
      </c>
    </row>
    <row r="77" spans="1:13" ht="15.75" customHeight="1" x14ac:dyDescent="0.25">
      <c r="A77" s="3" t="s">
        <v>15</v>
      </c>
      <c r="B77" s="3" t="s">
        <v>51</v>
      </c>
      <c r="C77" s="3" t="s">
        <v>21</v>
      </c>
      <c r="D77" s="3" t="s">
        <v>13</v>
      </c>
      <c r="E77" s="3" t="s">
        <v>19</v>
      </c>
      <c r="F77" s="3">
        <v>3579</v>
      </c>
      <c r="G77" s="4">
        <v>43830</v>
      </c>
      <c r="H77">
        <f t="shared" si="2"/>
        <v>2019</v>
      </c>
      <c r="I77" s="5">
        <v>10440595</v>
      </c>
      <c r="J77" s="3">
        <v>1679</v>
      </c>
      <c r="K77" s="4">
        <v>43993</v>
      </c>
      <c r="L77">
        <f t="shared" si="3"/>
        <v>2020</v>
      </c>
      <c r="M77" s="5">
        <v>10440595</v>
      </c>
    </row>
    <row r="78" spans="1:13" ht="15.75" customHeight="1" x14ac:dyDescent="0.25">
      <c r="A78" s="3" t="s">
        <v>15</v>
      </c>
      <c r="B78" s="3" t="s">
        <v>24</v>
      </c>
      <c r="C78" s="3" t="s">
        <v>12</v>
      </c>
      <c r="D78" s="3" t="s">
        <v>25</v>
      </c>
      <c r="E78" s="3" t="s">
        <v>36</v>
      </c>
      <c r="F78" s="3">
        <v>371</v>
      </c>
      <c r="G78" s="4">
        <v>42800</v>
      </c>
      <c r="H78">
        <f t="shared" si="2"/>
        <v>2017</v>
      </c>
      <c r="I78" s="5">
        <v>10286275</v>
      </c>
      <c r="J78" s="3">
        <v>2160</v>
      </c>
      <c r="K78" s="4">
        <v>44068</v>
      </c>
      <c r="L78">
        <f t="shared" si="3"/>
        <v>2020</v>
      </c>
      <c r="M78" s="5">
        <v>10286275</v>
      </c>
    </row>
    <row r="79" spans="1:13" ht="15.75" customHeight="1" x14ac:dyDescent="0.25">
      <c r="A79" s="3" t="s">
        <v>15</v>
      </c>
      <c r="B79" s="3" t="s">
        <v>52</v>
      </c>
      <c r="C79" s="3" t="s">
        <v>12</v>
      </c>
      <c r="D79" s="3" t="s">
        <v>13</v>
      </c>
      <c r="E79" s="3" t="s">
        <v>36</v>
      </c>
      <c r="F79" s="3">
        <v>607</v>
      </c>
      <c r="G79" s="4">
        <v>43321</v>
      </c>
      <c r="H79">
        <f t="shared" si="2"/>
        <v>2018</v>
      </c>
      <c r="I79" s="5">
        <v>9941954</v>
      </c>
      <c r="J79" s="3">
        <v>2000</v>
      </c>
      <c r="K79" s="4">
        <v>44043</v>
      </c>
      <c r="L79">
        <f t="shared" si="3"/>
        <v>2020</v>
      </c>
      <c r="M79" s="5">
        <v>9941954</v>
      </c>
    </row>
    <row r="80" spans="1:13" ht="15.75" customHeight="1" x14ac:dyDescent="0.25">
      <c r="A80" s="3" t="s">
        <v>15</v>
      </c>
      <c r="B80" s="3" t="s">
        <v>11</v>
      </c>
      <c r="C80" s="3" t="s">
        <v>12</v>
      </c>
      <c r="D80" s="3" t="s">
        <v>13</v>
      </c>
      <c r="E80" s="3" t="s">
        <v>36</v>
      </c>
      <c r="F80" s="3">
        <v>646</v>
      </c>
      <c r="G80" s="4">
        <v>43689</v>
      </c>
      <c r="H80">
        <f t="shared" si="2"/>
        <v>2019</v>
      </c>
      <c r="I80" s="5">
        <v>11553157</v>
      </c>
      <c r="J80" s="3">
        <v>2492</v>
      </c>
      <c r="K80" s="4">
        <v>44112</v>
      </c>
      <c r="L80">
        <f t="shared" si="3"/>
        <v>2020</v>
      </c>
      <c r="M80" s="5">
        <v>9913984</v>
      </c>
    </row>
    <row r="81" spans="1:13" ht="15.75" customHeight="1" x14ac:dyDescent="0.25">
      <c r="A81" s="3" t="s">
        <v>15</v>
      </c>
      <c r="B81" s="3" t="s">
        <v>53</v>
      </c>
      <c r="C81" s="3" t="s">
        <v>17</v>
      </c>
      <c r="D81" s="3" t="s">
        <v>54</v>
      </c>
      <c r="E81" s="3" t="s">
        <v>19</v>
      </c>
      <c r="F81" s="3">
        <v>2116</v>
      </c>
      <c r="G81" s="4">
        <v>44057</v>
      </c>
      <c r="H81">
        <f t="shared" si="2"/>
        <v>2020</v>
      </c>
      <c r="I81" s="5">
        <v>9611118</v>
      </c>
      <c r="J81" s="3">
        <v>3047</v>
      </c>
      <c r="K81" s="4">
        <v>44186</v>
      </c>
      <c r="L81">
        <f t="shared" si="3"/>
        <v>2020</v>
      </c>
      <c r="M81" s="5">
        <v>9611118</v>
      </c>
    </row>
    <row r="82" spans="1:13" ht="15.75" customHeight="1" x14ac:dyDescent="0.25">
      <c r="A82" s="3" t="s">
        <v>15</v>
      </c>
      <c r="B82" s="3" t="s">
        <v>29</v>
      </c>
      <c r="C82" s="3" t="s">
        <v>21</v>
      </c>
      <c r="D82" s="3" t="s">
        <v>22</v>
      </c>
      <c r="E82" s="3" t="s">
        <v>23</v>
      </c>
      <c r="F82" s="3">
        <v>266</v>
      </c>
      <c r="G82" s="4">
        <v>43858</v>
      </c>
      <c r="H82">
        <f t="shared" si="2"/>
        <v>2020</v>
      </c>
      <c r="I82" s="5">
        <v>9444190</v>
      </c>
      <c r="J82" s="3">
        <v>1998</v>
      </c>
      <c r="K82" s="4">
        <v>44043</v>
      </c>
      <c r="L82">
        <f t="shared" si="3"/>
        <v>2020</v>
      </c>
      <c r="M82" s="5">
        <v>9444190</v>
      </c>
    </row>
    <row r="83" spans="1:13" ht="15.75" customHeight="1" x14ac:dyDescent="0.25">
      <c r="A83" s="3" t="s">
        <v>15</v>
      </c>
      <c r="B83" s="3" t="s">
        <v>55</v>
      </c>
      <c r="C83" s="3" t="s">
        <v>56</v>
      </c>
      <c r="D83" s="3" t="s">
        <v>25</v>
      </c>
      <c r="E83" s="3" t="s">
        <v>23</v>
      </c>
      <c r="F83" s="3">
        <v>2063</v>
      </c>
      <c r="G83" s="4">
        <v>44053</v>
      </c>
      <c r="H83">
        <f t="shared" si="2"/>
        <v>2020</v>
      </c>
      <c r="I83" s="5">
        <v>9378145</v>
      </c>
      <c r="J83" s="3">
        <v>2255</v>
      </c>
      <c r="K83" s="4">
        <v>44084</v>
      </c>
      <c r="L83">
        <f t="shared" si="3"/>
        <v>2020</v>
      </c>
      <c r="M83" s="5">
        <v>9378145</v>
      </c>
    </row>
    <row r="84" spans="1:13" ht="15.75" customHeight="1" x14ac:dyDescent="0.25">
      <c r="A84" s="3" t="s">
        <v>57</v>
      </c>
      <c r="B84" s="3" t="s">
        <v>20</v>
      </c>
      <c r="C84" s="3" t="s">
        <v>21</v>
      </c>
      <c r="D84" s="3" t="s">
        <v>22</v>
      </c>
      <c r="E84" s="3" t="s">
        <v>58</v>
      </c>
      <c r="F84" s="3">
        <v>2445</v>
      </c>
      <c r="G84" s="4">
        <v>44106</v>
      </c>
      <c r="H84">
        <f t="shared" si="2"/>
        <v>2020</v>
      </c>
      <c r="I84" s="5">
        <v>9045309</v>
      </c>
      <c r="J84" s="3">
        <v>2741</v>
      </c>
      <c r="K84" s="4">
        <v>44160</v>
      </c>
      <c r="L84">
        <f t="shared" si="3"/>
        <v>2020</v>
      </c>
      <c r="M84" s="5">
        <v>9045309</v>
      </c>
    </row>
    <row r="85" spans="1:13" ht="15.75" customHeight="1" x14ac:dyDescent="0.25">
      <c r="A85" s="3" t="s">
        <v>59</v>
      </c>
      <c r="B85" s="3" t="s">
        <v>30</v>
      </c>
      <c r="C85" s="3" t="s">
        <v>12</v>
      </c>
      <c r="D85" s="3" t="s">
        <v>44</v>
      </c>
      <c r="E85" s="3" t="s">
        <v>47</v>
      </c>
      <c r="F85" s="3">
        <v>164</v>
      </c>
      <c r="G85" s="4">
        <v>43601</v>
      </c>
      <c r="H85">
        <f t="shared" si="2"/>
        <v>2019</v>
      </c>
      <c r="I85" s="5">
        <v>8858382</v>
      </c>
      <c r="J85" s="3">
        <v>511</v>
      </c>
      <c r="K85" s="4">
        <v>43871</v>
      </c>
      <c r="L85">
        <f t="shared" si="3"/>
        <v>2020</v>
      </c>
      <c r="M85" s="5">
        <v>8807357</v>
      </c>
    </row>
    <row r="86" spans="1:13" ht="15.75" customHeight="1" x14ac:dyDescent="0.25">
      <c r="A86" s="3" t="s">
        <v>15</v>
      </c>
      <c r="B86" s="3" t="s">
        <v>29</v>
      </c>
      <c r="C86" s="3" t="s">
        <v>21</v>
      </c>
      <c r="D86" s="3" t="s">
        <v>38</v>
      </c>
      <c r="E86" s="3" t="s">
        <v>19</v>
      </c>
      <c r="F86" s="3">
        <v>3570</v>
      </c>
      <c r="G86" s="4">
        <v>43830</v>
      </c>
      <c r="H86">
        <f t="shared" si="2"/>
        <v>2019</v>
      </c>
      <c r="I86" s="5">
        <v>8715946</v>
      </c>
      <c r="J86" s="3">
        <v>1683</v>
      </c>
      <c r="K86" s="4">
        <v>43993</v>
      </c>
      <c r="L86">
        <f t="shared" si="3"/>
        <v>2020</v>
      </c>
      <c r="M86" s="5">
        <v>8715946</v>
      </c>
    </row>
    <row r="87" spans="1:13" ht="15.75" customHeight="1" x14ac:dyDescent="0.25">
      <c r="A87" s="3" t="s">
        <v>57</v>
      </c>
      <c r="B87" s="3" t="s">
        <v>20</v>
      </c>
      <c r="C87" s="3" t="s">
        <v>21</v>
      </c>
      <c r="D87" s="3" t="s">
        <v>13</v>
      </c>
      <c r="E87" s="3" t="s">
        <v>58</v>
      </c>
      <c r="F87" s="3">
        <v>2442</v>
      </c>
      <c r="G87" s="4">
        <v>44106</v>
      </c>
      <c r="H87">
        <f t="shared" si="2"/>
        <v>2020</v>
      </c>
      <c r="I87" s="5">
        <v>8513232</v>
      </c>
      <c r="J87" s="3">
        <v>2738</v>
      </c>
      <c r="K87" s="4">
        <v>44160</v>
      </c>
      <c r="L87">
        <f t="shared" si="3"/>
        <v>2020</v>
      </c>
      <c r="M87" s="5">
        <v>8513232</v>
      </c>
    </row>
    <row r="88" spans="1:13" ht="15.75" customHeight="1" x14ac:dyDescent="0.25">
      <c r="A88" s="3" t="s">
        <v>15</v>
      </c>
      <c r="B88" s="3" t="s">
        <v>33</v>
      </c>
      <c r="C88" s="3" t="s">
        <v>12</v>
      </c>
      <c r="D88" s="3" t="s">
        <v>13</v>
      </c>
      <c r="E88" s="3" t="s">
        <v>23</v>
      </c>
      <c r="F88" s="3">
        <v>661</v>
      </c>
      <c r="G88" s="4">
        <v>43699</v>
      </c>
      <c r="H88">
        <f t="shared" si="2"/>
        <v>2019</v>
      </c>
      <c r="I88" s="5">
        <v>11602804</v>
      </c>
      <c r="J88" s="3">
        <v>835</v>
      </c>
      <c r="K88" s="4">
        <v>43895</v>
      </c>
      <c r="L88">
        <f t="shared" si="3"/>
        <v>2020</v>
      </c>
      <c r="M88" s="5">
        <v>8408510</v>
      </c>
    </row>
    <row r="89" spans="1:13" ht="15.75" customHeight="1" x14ac:dyDescent="0.25">
      <c r="A89" s="3" t="s">
        <v>10</v>
      </c>
      <c r="B89" s="3" t="s">
        <v>30</v>
      </c>
      <c r="C89" s="3" t="s">
        <v>12</v>
      </c>
      <c r="D89" s="3" t="s">
        <v>31</v>
      </c>
      <c r="E89" s="3" t="s">
        <v>14</v>
      </c>
      <c r="F89" s="3">
        <v>162</v>
      </c>
      <c r="G89" s="4">
        <v>43640</v>
      </c>
      <c r="H89">
        <f t="shared" si="2"/>
        <v>2019</v>
      </c>
      <c r="I89" s="5">
        <v>10320925</v>
      </c>
      <c r="J89" s="3">
        <v>1730</v>
      </c>
      <c r="K89" s="4">
        <v>43997</v>
      </c>
      <c r="L89">
        <f t="shared" si="3"/>
        <v>2020</v>
      </c>
      <c r="M89" s="5">
        <v>8372256</v>
      </c>
    </row>
    <row r="90" spans="1:13" ht="15.75" customHeight="1" x14ac:dyDescent="0.25">
      <c r="A90" s="3" t="s">
        <v>15</v>
      </c>
      <c r="B90" s="3" t="s">
        <v>30</v>
      </c>
      <c r="C90" s="3" t="s">
        <v>12</v>
      </c>
      <c r="D90" s="3" t="s">
        <v>35</v>
      </c>
      <c r="E90" s="3" t="s">
        <v>23</v>
      </c>
      <c r="F90" s="3">
        <v>145</v>
      </c>
      <c r="G90" s="4">
        <v>43679</v>
      </c>
      <c r="H90">
        <f t="shared" si="2"/>
        <v>2019</v>
      </c>
      <c r="I90" s="5">
        <v>8212980</v>
      </c>
      <c r="J90" s="3">
        <v>1513</v>
      </c>
      <c r="K90" s="4">
        <v>43966</v>
      </c>
      <c r="L90">
        <f t="shared" si="3"/>
        <v>2020</v>
      </c>
      <c r="M90" s="5">
        <v>8068650</v>
      </c>
    </row>
    <row r="91" spans="1:13" ht="15.75" customHeight="1" x14ac:dyDescent="0.25">
      <c r="A91" s="3" t="s">
        <v>15</v>
      </c>
      <c r="B91" s="3" t="s">
        <v>45</v>
      </c>
      <c r="C91" s="3" t="s">
        <v>21</v>
      </c>
      <c r="D91" s="3" t="s">
        <v>22</v>
      </c>
      <c r="E91" s="3" t="s">
        <v>23</v>
      </c>
      <c r="F91" s="3">
        <v>281</v>
      </c>
      <c r="G91" s="4">
        <v>43859</v>
      </c>
      <c r="H91">
        <f t="shared" si="2"/>
        <v>2020</v>
      </c>
      <c r="I91" s="5">
        <v>7767000</v>
      </c>
      <c r="J91" s="3">
        <v>1991</v>
      </c>
      <c r="K91" s="4">
        <v>44043</v>
      </c>
      <c r="L91">
        <f t="shared" si="3"/>
        <v>2020</v>
      </c>
      <c r="M91" s="5">
        <v>7767000</v>
      </c>
    </row>
    <row r="92" spans="1:13" ht="15.75" customHeight="1" x14ac:dyDescent="0.25">
      <c r="A92" s="3" t="s">
        <v>15</v>
      </c>
      <c r="B92" s="3" t="s">
        <v>26</v>
      </c>
      <c r="C92" s="3" t="s">
        <v>12</v>
      </c>
      <c r="D92" s="3" t="s">
        <v>13</v>
      </c>
      <c r="E92" s="3" t="s">
        <v>36</v>
      </c>
      <c r="F92" s="3">
        <v>608</v>
      </c>
      <c r="G92" s="4">
        <v>43321</v>
      </c>
      <c r="H92">
        <f t="shared" si="2"/>
        <v>2018</v>
      </c>
      <c r="I92" s="5">
        <v>7731622</v>
      </c>
      <c r="J92" s="3">
        <v>1988</v>
      </c>
      <c r="K92" s="4">
        <v>44043</v>
      </c>
      <c r="L92">
        <f t="shared" si="3"/>
        <v>2020</v>
      </c>
      <c r="M92" s="5">
        <v>7671006</v>
      </c>
    </row>
    <row r="93" spans="1:13" ht="15.75" customHeight="1" x14ac:dyDescent="0.25">
      <c r="A93" s="3" t="s">
        <v>10</v>
      </c>
      <c r="B93" s="3" t="s">
        <v>20</v>
      </c>
      <c r="C93" s="3" t="s">
        <v>12</v>
      </c>
      <c r="D93" s="3" t="s">
        <v>40</v>
      </c>
      <c r="E93" s="3" t="s">
        <v>47</v>
      </c>
      <c r="F93" s="3">
        <v>544</v>
      </c>
      <c r="G93" s="4">
        <v>43794</v>
      </c>
      <c r="H93">
        <f t="shared" si="2"/>
        <v>2019</v>
      </c>
      <c r="I93" s="5">
        <v>7475424</v>
      </c>
      <c r="J93" s="3">
        <v>2562</v>
      </c>
      <c r="K93" s="4">
        <v>44123</v>
      </c>
      <c r="L93">
        <f t="shared" si="3"/>
        <v>2020</v>
      </c>
      <c r="M93" s="5">
        <v>7475424</v>
      </c>
    </row>
    <row r="94" spans="1:13" ht="15.75" customHeight="1" x14ac:dyDescent="0.25">
      <c r="A94" s="3" t="s">
        <v>57</v>
      </c>
      <c r="B94" s="3" t="s">
        <v>50</v>
      </c>
      <c r="C94" s="3" t="s">
        <v>21</v>
      </c>
      <c r="D94" s="3" t="s">
        <v>13</v>
      </c>
      <c r="E94" s="3" t="s">
        <v>58</v>
      </c>
      <c r="F94" s="3">
        <v>2475</v>
      </c>
      <c r="G94" s="4">
        <v>44112</v>
      </c>
      <c r="H94">
        <f t="shared" si="2"/>
        <v>2020</v>
      </c>
      <c r="I94" s="5">
        <v>7449078</v>
      </c>
      <c r="J94" s="3">
        <v>2791</v>
      </c>
      <c r="K94" s="4">
        <v>44165</v>
      </c>
      <c r="L94">
        <f t="shared" si="3"/>
        <v>2020</v>
      </c>
      <c r="M94" s="5">
        <v>7449078</v>
      </c>
    </row>
    <row r="95" spans="1:13" ht="15.75" customHeight="1" x14ac:dyDescent="0.25">
      <c r="A95" s="3" t="s">
        <v>59</v>
      </c>
      <c r="B95" s="3" t="s">
        <v>30</v>
      </c>
      <c r="C95" s="3" t="s">
        <v>12</v>
      </c>
      <c r="D95" s="3" t="s">
        <v>35</v>
      </c>
      <c r="E95" s="3" t="s">
        <v>14</v>
      </c>
      <c r="F95" s="3">
        <v>93</v>
      </c>
      <c r="G95" s="4">
        <v>43607</v>
      </c>
      <c r="H95">
        <f t="shared" si="2"/>
        <v>2019</v>
      </c>
      <c r="I95" s="5">
        <v>8808812</v>
      </c>
      <c r="J95" s="3">
        <v>1961</v>
      </c>
      <c r="K95" s="4">
        <v>44040</v>
      </c>
      <c r="L95">
        <f t="shared" si="3"/>
        <v>2020</v>
      </c>
      <c r="M95" s="5">
        <v>7328604</v>
      </c>
    </row>
    <row r="96" spans="1:13" ht="15.75" customHeight="1" x14ac:dyDescent="0.25">
      <c r="A96" s="3" t="s">
        <v>15</v>
      </c>
      <c r="B96" s="3" t="s">
        <v>29</v>
      </c>
      <c r="C96" s="3" t="s">
        <v>21</v>
      </c>
      <c r="D96" s="3" t="s">
        <v>38</v>
      </c>
      <c r="E96" s="3" t="s">
        <v>23</v>
      </c>
      <c r="F96" s="3">
        <v>293</v>
      </c>
      <c r="G96" s="4">
        <v>43859</v>
      </c>
      <c r="H96">
        <f t="shared" si="2"/>
        <v>2020</v>
      </c>
      <c r="I96" s="5">
        <v>7295373</v>
      </c>
      <c r="J96" s="3">
        <v>1994</v>
      </c>
      <c r="K96" s="4">
        <v>44043</v>
      </c>
      <c r="L96">
        <f t="shared" si="3"/>
        <v>2020</v>
      </c>
      <c r="M96" s="5">
        <v>7295373</v>
      </c>
    </row>
    <row r="97" spans="1:13" ht="15.75" customHeight="1" x14ac:dyDescent="0.25">
      <c r="A97" s="3" t="s">
        <v>15</v>
      </c>
      <c r="B97" s="3" t="s">
        <v>46</v>
      </c>
      <c r="C97" s="3" t="s">
        <v>17</v>
      </c>
      <c r="D97" s="3" t="s">
        <v>13</v>
      </c>
      <c r="E97" s="3" t="s">
        <v>23</v>
      </c>
      <c r="F97" s="3">
        <v>2150</v>
      </c>
      <c r="G97" s="4">
        <v>44068</v>
      </c>
      <c r="H97">
        <f t="shared" si="2"/>
        <v>2020</v>
      </c>
      <c r="I97" s="5">
        <v>7154842</v>
      </c>
      <c r="J97" s="3">
        <v>2814</v>
      </c>
      <c r="K97" s="4">
        <v>44165</v>
      </c>
      <c r="L97">
        <f t="shared" si="3"/>
        <v>2020</v>
      </c>
      <c r="M97" s="5">
        <v>7154842</v>
      </c>
    </row>
    <row r="98" spans="1:13" ht="15.75" customHeight="1" x14ac:dyDescent="0.25">
      <c r="A98" s="3" t="s">
        <v>15</v>
      </c>
      <c r="B98" s="3" t="s">
        <v>29</v>
      </c>
      <c r="C98" s="3" t="s">
        <v>21</v>
      </c>
      <c r="D98" s="3" t="s">
        <v>49</v>
      </c>
      <c r="E98" s="3" t="s">
        <v>23</v>
      </c>
      <c r="F98" s="3">
        <v>280</v>
      </c>
      <c r="G98" s="4">
        <v>43859</v>
      </c>
      <c r="H98">
        <f t="shared" si="2"/>
        <v>2020</v>
      </c>
      <c r="I98" s="5">
        <v>7138220</v>
      </c>
      <c r="J98" s="3">
        <v>1996</v>
      </c>
      <c r="K98" s="4">
        <v>44043</v>
      </c>
      <c r="L98">
        <f t="shared" si="3"/>
        <v>2020</v>
      </c>
      <c r="M98" s="5">
        <v>7138220</v>
      </c>
    </row>
    <row r="99" spans="1:13" ht="15.75" customHeight="1" x14ac:dyDescent="0.25">
      <c r="A99" s="3" t="s">
        <v>15</v>
      </c>
      <c r="B99" s="3" t="s">
        <v>11</v>
      </c>
      <c r="C99" s="3" t="s">
        <v>12</v>
      </c>
      <c r="D99" s="3" t="s">
        <v>13</v>
      </c>
      <c r="E99" s="3" t="s">
        <v>36</v>
      </c>
      <c r="F99" s="3">
        <v>644</v>
      </c>
      <c r="G99" s="4">
        <v>43689</v>
      </c>
      <c r="H99">
        <f t="shared" si="2"/>
        <v>2019</v>
      </c>
      <c r="I99" s="5">
        <v>9166231</v>
      </c>
      <c r="J99" s="3">
        <v>1935</v>
      </c>
      <c r="K99" s="4">
        <v>44039</v>
      </c>
      <c r="L99">
        <f t="shared" si="3"/>
        <v>2020</v>
      </c>
      <c r="M99" s="5">
        <v>7029863</v>
      </c>
    </row>
    <row r="100" spans="1:13" ht="15.75" customHeight="1" x14ac:dyDescent="0.25">
      <c r="A100" s="3" t="s">
        <v>57</v>
      </c>
      <c r="B100" s="3" t="s">
        <v>50</v>
      </c>
      <c r="C100" s="3" t="s">
        <v>21</v>
      </c>
      <c r="D100" s="3" t="s">
        <v>13</v>
      </c>
      <c r="E100" s="3" t="s">
        <v>58</v>
      </c>
      <c r="F100" s="3">
        <v>2474</v>
      </c>
      <c r="G100" s="4">
        <v>44112</v>
      </c>
      <c r="H100">
        <f t="shared" si="2"/>
        <v>2020</v>
      </c>
      <c r="I100" s="5">
        <v>6917001</v>
      </c>
      <c r="J100" s="3">
        <v>2788</v>
      </c>
      <c r="K100" s="4">
        <v>44165</v>
      </c>
      <c r="L100">
        <f t="shared" si="3"/>
        <v>2020</v>
      </c>
      <c r="M100" s="5">
        <v>6917001</v>
      </c>
    </row>
    <row r="101" spans="1:13" ht="15.75" customHeight="1" x14ac:dyDescent="0.25">
      <c r="A101" s="3" t="s">
        <v>15</v>
      </c>
      <c r="B101" s="3" t="s">
        <v>27</v>
      </c>
      <c r="C101" s="3" t="s">
        <v>17</v>
      </c>
      <c r="D101" s="3" t="s">
        <v>13</v>
      </c>
      <c r="E101" s="3" t="s">
        <v>23</v>
      </c>
      <c r="F101" s="3">
        <v>2157</v>
      </c>
      <c r="G101" s="4">
        <v>44068</v>
      </c>
      <c r="H101">
        <f t="shared" si="2"/>
        <v>2020</v>
      </c>
      <c r="I101" s="5">
        <v>6876111</v>
      </c>
      <c r="J101" s="3">
        <v>2361</v>
      </c>
      <c r="K101" s="4">
        <v>44098</v>
      </c>
      <c r="L101">
        <f t="shared" si="3"/>
        <v>2020</v>
      </c>
      <c r="M101" s="5">
        <v>6876111</v>
      </c>
    </row>
    <row r="102" spans="1:13" ht="15.75" customHeight="1" x14ac:dyDescent="0.25">
      <c r="A102" s="3" t="s">
        <v>15</v>
      </c>
      <c r="B102" s="3" t="s">
        <v>60</v>
      </c>
      <c r="C102" s="3" t="s">
        <v>21</v>
      </c>
      <c r="D102" s="3" t="s">
        <v>22</v>
      </c>
      <c r="E102" s="3" t="s">
        <v>23</v>
      </c>
      <c r="F102" s="3">
        <v>292</v>
      </c>
      <c r="G102" s="4">
        <v>43859</v>
      </c>
      <c r="H102">
        <f t="shared" si="2"/>
        <v>2020</v>
      </c>
      <c r="I102" s="5">
        <v>6655705</v>
      </c>
      <c r="J102" s="3">
        <v>1976</v>
      </c>
      <c r="K102" s="4">
        <v>44043</v>
      </c>
      <c r="L102">
        <f t="shared" si="3"/>
        <v>2020</v>
      </c>
      <c r="M102" s="5">
        <v>6655705</v>
      </c>
    </row>
    <row r="103" spans="1:13" ht="15.75" customHeight="1" x14ac:dyDescent="0.25">
      <c r="A103" s="3" t="s">
        <v>15</v>
      </c>
      <c r="B103" s="3" t="s">
        <v>30</v>
      </c>
      <c r="C103" s="3" t="s">
        <v>12</v>
      </c>
      <c r="D103" s="3" t="s">
        <v>31</v>
      </c>
      <c r="E103" s="3" t="s">
        <v>36</v>
      </c>
      <c r="F103" s="3">
        <v>38</v>
      </c>
      <c r="G103" s="4">
        <v>43874</v>
      </c>
      <c r="H103">
        <f t="shared" si="2"/>
        <v>2020</v>
      </c>
      <c r="I103" s="5">
        <v>6739457</v>
      </c>
      <c r="J103" s="3">
        <v>2013</v>
      </c>
      <c r="K103" s="4">
        <v>44043</v>
      </c>
      <c r="L103">
        <f t="shared" si="3"/>
        <v>2020</v>
      </c>
      <c r="M103" s="5">
        <v>6392391</v>
      </c>
    </row>
    <row r="104" spans="1:13" ht="15.75" customHeight="1" x14ac:dyDescent="0.25">
      <c r="A104" s="3" t="s">
        <v>15</v>
      </c>
      <c r="B104" s="3" t="s">
        <v>42</v>
      </c>
      <c r="C104" s="3" t="s">
        <v>21</v>
      </c>
      <c r="D104" s="3" t="s">
        <v>22</v>
      </c>
      <c r="E104" s="3" t="s">
        <v>23</v>
      </c>
      <c r="F104" s="3">
        <v>264</v>
      </c>
      <c r="G104" s="4">
        <v>43858</v>
      </c>
      <c r="H104">
        <f t="shared" si="2"/>
        <v>2020</v>
      </c>
      <c r="I104" s="5">
        <v>6078158</v>
      </c>
      <c r="J104" s="3">
        <v>1699</v>
      </c>
      <c r="K104" s="4">
        <v>43993</v>
      </c>
      <c r="L104">
        <f t="shared" si="3"/>
        <v>2020</v>
      </c>
      <c r="M104" s="5">
        <v>6078158</v>
      </c>
    </row>
    <row r="105" spans="1:13" ht="15.75" customHeight="1" x14ac:dyDescent="0.25">
      <c r="A105" s="3" t="s">
        <v>15</v>
      </c>
      <c r="B105" s="3" t="s">
        <v>60</v>
      </c>
      <c r="C105" s="3" t="s">
        <v>21</v>
      </c>
      <c r="D105" s="3" t="s">
        <v>13</v>
      </c>
      <c r="E105" s="3" t="s">
        <v>19</v>
      </c>
      <c r="F105" s="3">
        <v>3585</v>
      </c>
      <c r="G105" s="4">
        <v>43830</v>
      </c>
      <c r="H105">
        <f t="shared" si="2"/>
        <v>2019</v>
      </c>
      <c r="I105" s="5">
        <v>6048469</v>
      </c>
      <c r="J105" s="3">
        <v>351</v>
      </c>
      <c r="K105" s="4">
        <v>43861</v>
      </c>
      <c r="L105">
        <f t="shared" si="3"/>
        <v>2020</v>
      </c>
      <c r="M105" s="5">
        <v>6048469</v>
      </c>
    </row>
    <row r="106" spans="1:13" ht="15.75" customHeight="1" x14ac:dyDescent="0.25">
      <c r="A106" s="3" t="s">
        <v>15</v>
      </c>
      <c r="B106" s="3" t="s">
        <v>61</v>
      </c>
      <c r="C106" s="3" t="s">
        <v>21</v>
      </c>
      <c r="D106" s="3" t="s">
        <v>13</v>
      </c>
      <c r="E106" s="3" t="s">
        <v>19</v>
      </c>
      <c r="F106" s="3">
        <v>3580</v>
      </c>
      <c r="G106" s="4">
        <v>43830</v>
      </c>
      <c r="H106">
        <f t="shared" si="2"/>
        <v>2019</v>
      </c>
      <c r="I106" s="5">
        <v>6048040</v>
      </c>
      <c r="J106" s="3">
        <v>1695</v>
      </c>
      <c r="K106" s="4">
        <v>43993</v>
      </c>
      <c r="L106">
        <f t="shared" si="3"/>
        <v>2020</v>
      </c>
      <c r="M106" s="5">
        <v>6048040</v>
      </c>
    </row>
    <row r="107" spans="1:13" ht="15.75" customHeight="1" x14ac:dyDescent="0.25">
      <c r="A107" s="3" t="s">
        <v>15</v>
      </c>
      <c r="B107" s="3" t="s">
        <v>20</v>
      </c>
      <c r="C107" s="3" t="s">
        <v>12</v>
      </c>
      <c r="D107" s="3" t="s">
        <v>37</v>
      </c>
      <c r="E107" s="3" t="s">
        <v>23</v>
      </c>
      <c r="F107" s="3">
        <v>102</v>
      </c>
      <c r="G107" s="4">
        <v>43958</v>
      </c>
      <c r="H107">
        <f t="shared" si="2"/>
        <v>2020</v>
      </c>
      <c r="I107" s="5">
        <v>5936737</v>
      </c>
      <c r="J107" s="3">
        <v>2567</v>
      </c>
      <c r="K107" s="4">
        <v>44125</v>
      </c>
      <c r="L107">
        <f t="shared" si="3"/>
        <v>2020</v>
      </c>
      <c r="M107" s="5">
        <v>5936737</v>
      </c>
    </row>
    <row r="108" spans="1:13" ht="15.75" customHeight="1" x14ac:dyDescent="0.25">
      <c r="A108" s="3" t="s">
        <v>15</v>
      </c>
      <c r="B108" s="3" t="s">
        <v>30</v>
      </c>
      <c r="C108" s="3" t="s">
        <v>12</v>
      </c>
      <c r="D108" s="3" t="s">
        <v>44</v>
      </c>
      <c r="E108" s="3" t="s">
        <v>19</v>
      </c>
      <c r="F108" s="3">
        <v>257</v>
      </c>
      <c r="G108" s="4">
        <v>43691</v>
      </c>
      <c r="H108">
        <f t="shared" si="2"/>
        <v>2019</v>
      </c>
      <c r="I108" s="5">
        <v>6139332</v>
      </c>
      <c r="J108" s="3">
        <v>1762</v>
      </c>
      <c r="K108" s="4">
        <v>44004</v>
      </c>
      <c r="L108">
        <f t="shared" si="3"/>
        <v>2020</v>
      </c>
      <c r="M108" s="5">
        <v>5857092</v>
      </c>
    </row>
    <row r="109" spans="1:13" ht="15.75" customHeight="1" x14ac:dyDescent="0.25">
      <c r="A109" s="3" t="s">
        <v>15</v>
      </c>
      <c r="B109" s="3" t="s">
        <v>51</v>
      </c>
      <c r="C109" s="3" t="s">
        <v>17</v>
      </c>
      <c r="D109" s="3" t="s">
        <v>13</v>
      </c>
      <c r="E109" s="3" t="s">
        <v>14</v>
      </c>
      <c r="F109" s="3">
        <v>129</v>
      </c>
      <c r="G109" s="4">
        <v>43851</v>
      </c>
      <c r="H109">
        <f t="shared" si="2"/>
        <v>2020</v>
      </c>
      <c r="I109" s="5">
        <f>115.5*49673</f>
        <v>5737231.5</v>
      </c>
      <c r="J109" s="3">
        <v>1950</v>
      </c>
      <c r="K109" s="4">
        <v>44071</v>
      </c>
      <c r="L109">
        <f t="shared" si="3"/>
        <v>2020</v>
      </c>
      <c r="M109" s="5">
        <f>116*50272</f>
        <v>5831552</v>
      </c>
    </row>
    <row r="110" spans="1:13" ht="15.75" customHeight="1" x14ac:dyDescent="0.25">
      <c r="A110" s="3" t="s">
        <v>10</v>
      </c>
      <c r="B110" s="3" t="s">
        <v>30</v>
      </c>
      <c r="C110" s="3" t="s">
        <v>12</v>
      </c>
      <c r="D110" s="3" t="s">
        <v>35</v>
      </c>
      <c r="E110" s="3" t="s">
        <v>19</v>
      </c>
      <c r="F110" s="3">
        <v>118</v>
      </c>
      <c r="G110" s="4">
        <v>43636</v>
      </c>
      <c r="H110">
        <f t="shared" si="2"/>
        <v>2019</v>
      </c>
      <c r="I110" s="5">
        <v>5692476</v>
      </c>
      <c r="J110" s="3">
        <v>2182</v>
      </c>
      <c r="K110" s="4">
        <v>44071</v>
      </c>
      <c r="L110">
        <f t="shared" si="3"/>
        <v>2020</v>
      </c>
      <c r="M110" s="5">
        <v>5692476</v>
      </c>
    </row>
    <row r="111" spans="1:13" ht="15.75" customHeight="1" x14ac:dyDescent="0.25">
      <c r="A111" s="3" t="s">
        <v>10</v>
      </c>
      <c r="B111" s="3" t="s">
        <v>20</v>
      </c>
      <c r="C111" s="3" t="s">
        <v>12</v>
      </c>
      <c r="D111" s="3" t="s">
        <v>37</v>
      </c>
      <c r="E111" s="3" t="s">
        <v>47</v>
      </c>
      <c r="F111" s="3">
        <v>224</v>
      </c>
      <c r="G111" s="4">
        <v>43668</v>
      </c>
      <c r="H111">
        <f t="shared" si="2"/>
        <v>2019</v>
      </c>
      <c r="I111" s="5">
        <v>5651053</v>
      </c>
      <c r="J111" s="3">
        <v>2559</v>
      </c>
      <c r="K111" s="4">
        <v>44123</v>
      </c>
      <c r="L111">
        <f t="shared" si="3"/>
        <v>2020</v>
      </c>
      <c r="M111" s="5">
        <v>5651053</v>
      </c>
    </row>
    <row r="112" spans="1:13" ht="15.75" customHeight="1" x14ac:dyDescent="0.25">
      <c r="A112" s="3" t="s">
        <v>10</v>
      </c>
      <c r="B112" s="3" t="s">
        <v>30</v>
      </c>
      <c r="C112" s="3" t="s">
        <v>12</v>
      </c>
      <c r="D112" s="3" t="s">
        <v>44</v>
      </c>
      <c r="E112" s="3" t="s">
        <v>14</v>
      </c>
      <c r="F112" s="3">
        <v>241</v>
      </c>
      <c r="G112" s="4">
        <v>43672</v>
      </c>
      <c r="H112">
        <f t="shared" si="2"/>
        <v>2019</v>
      </c>
      <c r="I112" s="5">
        <v>6006052</v>
      </c>
      <c r="J112" s="3">
        <v>2067</v>
      </c>
      <c r="K112" s="4">
        <v>44053</v>
      </c>
      <c r="L112">
        <f t="shared" si="3"/>
        <v>2020</v>
      </c>
      <c r="M112" s="5">
        <v>5631930</v>
      </c>
    </row>
    <row r="113" spans="1:13" ht="15.75" customHeight="1" x14ac:dyDescent="0.25">
      <c r="A113" s="3" t="s">
        <v>59</v>
      </c>
      <c r="B113" s="3" t="s">
        <v>32</v>
      </c>
      <c r="C113" s="3" t="s">
        <v>39</v>
      </c>
      <c r="D113" s="3" t="s">
        <v>40</v>
      </c>
      <c r="E113" s="3" t="s">
        <v>47</v>
      </c>
      <c r="F113" s="3">
        <v>247</v>
      </c>
      <c r="G113" s="4">
        <v>43605</v>
      </c>
      <c r="H113">
        <f t="shared" si="2"/>
        <v>2019</v>
      </c>
      <c r="I113" s="5">
        <v>5621468</v>
      </c>
      <c r="J113" s="3">
        <v>470</v>
      </c>
      <c r="K113" s="4">
        <v>43868</v>
      </c>
      <c r="L113">
        <f t="shared" si="3"/>
        <v>2020</v>
      </c>
      <c r="M113" s="5">
        <v>5405708</v>
      </c>
    </row>
    <row r="114" spans="1:13" ht="15.75" customHeight="1" x14ac:dyDescent="0.25">
      <c r="A114" s="3" t="s">
        <v>15</v>
      </c>
      <c r="B114" s="3" t="s">
        <v>60</v>
      </c>
      <c r="C114" s="3" t="s">
        <v>21</v>
      </c>
      <c r="D114" s="3" t="s">
        <v>22</v>
      </c>
      <c r="E114" s="3" t="s">
        <v>19</v>
      </c>
      <c r="F114" s="3">
        <v>3559</v>
      </c>
      <c r="G114" s="4">
        <v>43830</v>
      </c>
      <c r="H114">
        <f t="shared" si="2"/>
        <v>2019</v>
      </c>
      <c r="I114" s="5">
        <v>5265020</v>
      </c>
      <c r="J114" s="3">
        <v>352</v>
      </c>
      <c r="K114" s="4">
        <v>43861</v>
      </c>
      <c r="L114">
        <f t="shared" si="3"/>
        <v>2020</v>
      </c>
      <c r="M114" s="5">
        <v>5265020</v>
      </c>
    </row>
    <row r="115" spans="1:13" ht="15.75" customHeight="1" x14ac:dyDescent="0.25">
      <c r="A115" s="3" t="s">
        <v>15</v>
      </c>
      <c r="B115" s="3" t="s">
        <v>45</v>
      </c>
      <c r="C115" s="3" t="s">
        <v>21</v>
      </c>
      <c r="D115" s="3" t="s">
        <v>13</v>
      </c>
      <c r="E115" s="3" t="s">
        <v>19</v>
      </c>
      <c r="F115" s="3">
        <v>3062</v>
      </c>
      <c r="G115" s="4">
        <v>43795</v>
      </c>
      <c r="H115">
        <f t="shared" si="2"/>
        <v>2019</v>
      </c>
      <c r="I115" s="5">
        <v>5219605</v>
      </c>
      <c r="J115" s="3">
        <v>3254</v>
      </c>
      <c r="K115" s="4">
        <v>44195</v>
      </c>
      <c r="L115">
        <f t="shared" si="3"/>
        <v>2020</v>
      </c>
      <c r="M115" s="5">
        <v>5219605</v>
      </c>
    </row>
    <row r="116" spans="1:13" ht="15.75" customHeight="1" x14ac:dyDescent="0.25">
      <c r="A116" s="3" t="s">
        <v>57</v>
      </c>
      <c r="B116" s="3" t="s">
        <v>60</v>
      </c>
      <c r="C116" s="3" t="s">
        <v>21</v>
      </c>
      <c r="D116" s="3" t="s">
        <v>22</v>
      </c>
      <c r="E116" s="3" t="s">
        <v>58</v>
      </c>
      <c r="F116" s="3">
        <v>2483</v>
      </c>
      <c r="G116" s="4">
        <v>44112</v>
      </c>
      <c r="H116">
        <f t="shared" si="2"/>
        <v>2020</v>
      </c>
      <c r="I116" s="5">
        <v>5054731</v>
      </c>
      <c r="J116" s="3">
        <v>2816</v>
      </c>
      <c r="K116" s="4">
        <v>44165</v>
      </c>
      <c r="L116">
        <f t="shared" si="3"/>
        <v>2020</v>
      </c>
      <c r="M116" s="5">
        <v>5054731</v>
      </c>
    </row>
    <row r="117" spans="1:13" ht="15.75" customHeight="1" x14ac:dyDescent="0.25">
      <c r="A117" s="3" t="s">
        <v>15</v>
      </c>
      <c r="B117" s="3" t="s">
        <v>11</v>
      </c>
      <c r="C117" s="3" t="s">
        <v>12</v>
      </c>
      <c r="D117" s="3" t="s">
        <v>13</v>
      </c>
      <c r="E117" s="3" t="s">
        <v>36</v>
      </c>
      <c r="F117" s="3">
        <v>645</v>
      </c>
      <c r="G117" s="4">
        <v>43689</v>
      </c>
      <c r="H117">
        <f t="shared" si="2"/>
        <v>2019</v>
      </c>
      <c r="I117" s="5">
        <v>4977342</v>
      </c>
      <c r="J117" s="3">
        <v>2001</v>
      </c>
      <c r="K117" s="4">
        <v>44043</v>
      </c>
      <c r="L117">
        <f t="shared" si="3"/>
        <v>2020</v>
      </c>
      <c r="M117" s="5">
        <v>4977342</v>
      </c>
    </row>
    <row r="118" spans="1:13" ht="15.75" customHeight="1" x14ac:dyDescent="0.25">
      <c r="A118" s="3" t="s">
        <v>59</v>
      </c>
      <c r="B118" s="3" t="s">
        <v>30</v>
      </c>
      <c r="C118" s="3" t="s">
        <v>12</v>
      </c>
      <c r="D118" s="3" t="s">
        <v>44</v>
      </c>
      <c r="E118" s="3" t="s">
        <v>14</v>
      </c>
      <c r="F118" s="3">
        <v>163</v>
      </c>
      <c r="G118" s="4">
        <v>43601</v>
      </c>
      <c r="H118">
        <f t="shared" si="2"/>
        <v>2019</v>
      </c>
      <c r="I118" s="5">
        <v>5890683</v>
      </c>
      <c r="J118" s="3">
        <v>2215</v>
      </c>
      <c r="K118" s="4">
        <v>44074</v>
      </c>
      <c r="L118">
        <f t="shared" si="3"/>
        <v>2020</v>
      </c>
      <c r="M118" s="5">
        <v>4975151</v>
      </c>
    </row>
    <row r="119" spans="1:13" ht="15.75" customHeight="1" x14ac:dyDescent="0.25">
      <c r="A119" s="3" t="s">
        <v>15</v>
      </c>
      <c r="B119" s="3" t="s">
        <v>61</v>
      </c>
      <c r="C119" s="3" t="s">
        <v>21</v>
      </c>
      <c r="D119" s="3" t="s">
        <v>13</v>
      </c>
      <c r="E119" s="3" t="s">
        <v>23</v>
      </c>
      <c r="F119" s="3">
        <v>285</v>
      </c>
      <c r="G119" s="4">
        <v>43859</v>
      </c>
      <c r="H119">
        <f t="shared" si="2"/>
        <v>2020</v>
      </c>
      <c r="I119" s="5">
        <v>9497187</v>
      </c>
      <c r="J119" s="3">
        <v>1812</v>
      </c>
      <c r="K119" s="4">
        <v>44012</v>
      </c>
      <c r="L119">
        <f t="shared" si="3"/>
        <v>2020</v>
      </c>
      <c r="M119" s="5">
        <v>4897371</v>
      </c>
    </row>
    <row r="120" spans="1:13" ht="15.75" customHeight="1" x14ac:dyDescent="0.25">
      <c r="A120" s="3" t="s">
        <v>15</v>
      </c>
      <c r="B120" s="3" t="s">
        <v>30</v>
      </c>
      <c r="C120" s="3" t="s">
        <v>12</v>
      </c>
      <c r="D120" s="3" t="s">
        <v>35</v>
      </c>
      <c r="E120" s="3" t="s">
        <v>36</v>
      </c>
      <c r="F120" s="3">
        <v>17</v>
      </c>
      <c r="G120" s="4">
        <v>43872</v>
      </c>
      <c r="H120">
        <f t="shared" si="2"/>
        <v>2020</v>
      </c>
      <c r="I120" s="5">
        <v>4878324</v>
      </c>
      <c r="J120" s="3">
        <v>1793</v>
      </c>
      <c r="K120" s="4">
        <v>44007</v>
      </c>
      <c r="L120">
        <f t="shared" si="3"/>
        <v>2020</v>
      </c>
      <c r="M120" s="5">
        <v>4878324</v>
      </c>
    </row>
    <row r="121" spans="1:13" ht="15.75" customHeight="1" x14ac:dyDescent="0.25">
      <c r="A121" s="3" t="s">
        <v>10</v>
      </c>
      <c r="B121" s="3" t="s">
        <v>30</v>
      </c>
      <c r="C121" s="3" t="s">
        <v>12</v>
      </c>
      <c r="D121" s="3" t="s">
        <v>31</v>
      </c>
      <c r="E121" s="3" t="s">
        <v>19</v>
      </c>
      <c r="F121" s="3">
        <v>206</v>
      </c>
      <c r="G121" s="4">
        <v>43691</v>
      </c>
      <c r="H121">
        <f t="shared" si="2"/>
        <v>2019</v>
      </c>
      <c r="I121" s="5">
        <v>4805897</v>
      </c>
      <c r="J121" s="3">
        <v>2247</v>
      </c>
      <c r="K121" s="4">
        <v>44081</v>
      </c>
      <c r="L121">
        <f t="shared" si="3"/>
        <v>2020</v>
      </c>
      <c r="M121" s="5">
        <v>4805897</v>
      </c>
    </row>
    <row r="122" spans="1:13" ht="15.75" customHeight="1" x14ac:dyDescent="0.25">
      <c r="A122" s="3" t="s">
        <v>15</v>
      </c>
      <c r="B122" s="3" t="s">
        <v>52</v>
      </c>
      <c r="C122" s="3" t="s">
        <v>12</v>
      </c>
      <c r="D122" s="3" t="s">
        <v>13</v>
      </c>
      <c r="E122" s="3" t="s">
        <v>36</v>
      </c>
      <c r="F122" s="3">
        <v>615</v>
      </c>
      <c r="G122" s="4">
        <v>43321</v>
      </c>
      <c r="H122">
        <f t="shared" si="2"/>
        <v>2018</v>
      </c>
      <c r="I122" s="5">
        <v>4744742</v>
      </c>
      <c r="J122" s="3">
        <v>1949</v>
      </c>
      <c r="K122" s="4">
        <v>44040</v>
      </c>
      <c r="L122">
        <f t="shared" si="3"/>
        <v>2020</v>
      </c>
      <c r="M122" s="5">
        <v>4704172</v>
      </c>
    </row>
    <row r="123" spans="1:13" ht="15.75" customHeight="1" x14ac:dyDescent="0.25">
      <c r="A123" s="3" t="s">
        <v>15</v>
      </c>
      <c r="B123" s="3" t="s">
        <v>48</v>
      </c>
      <c r="C123" s="3" t="s">
        <v>21</v>
      </c>
      <c r="D123" s="3" t="s">
        <v>13</v>
      </c>
      <c r="E123" s="3" t="s">
        <v>23</v>
      </c>
      <c r="F123" s="3">
        <v>275</v>
      </c>
      <c r="G123" s="4">
        <v>43859</v>
      </c>
      <c r="H123">
        <f t="shared" si="2"/>
        <v>2020</v>
      </c>
      <c r="I123" s="5">
        <v>4623328</v>
      </c>
      <c r="J123" s="3">
        <v>2014</v>
      </c>
      <c r="K123" s="4">
        <v>44043</v>
      </c>
      <c r="L123">
        <f t="shared" si="3"/>
        <v>2020</v>
      </c>
      <c r="M123" s="5">
        <v>4623328</v>
      </c>
    </row>
    <row r="124" spans="1:13" ht="15.75" customHeight="1" x14ac:dyDescent="0.25">
      <c r="A124" s="3" t="s">
        <v>15</v>
      </c>
      <c r="B124" s="3" t="s">
        <v>61</v>
      </c>
      <c r="C124" s="3" t="s">
        <v>21</v>
      </c>
      <c r="D124" s="3" t="s">
        <v>22</v>
      </c>
      <c r="E124" s="3" t="s">
        <v>19</v>
      </c>
      <c r="F124" s="3">
        <v>3057</v>
      </c>
      <c r="G124" s="4">
        <v>43795</v>
      </c>
      <c r="H124">
        <f t="shared" si="2"/>
        <v>2019</v>
      </c>
      <c r="I124" s="5">
        <v>4613145</v>
      </c>
      <c r="J124" s="3">
        <v>2833</v>
      </c>
      <c r="K124" s="4">
        <v>44165</v>
      </c>
      <c r="L124">
        <f t="shared" si="3"/>
        <v>2020</v>
      </c>
      <c r="M124" s="5">
        <v>4613145</v>
      </c>
    </row>
    <row r="125" spans="1:13" ht="15.75" customHeight="1" x14ac:dyDescent="0.25">
      <c r="A125" s="3" t="s">
        <v>59</v>
      </c>
      <c r="B125" s="3" t="s">
        <v>20</v>
      </c>
      <c r="C125" s="3" t="s">
        <v>39</v>
      </c>
      <c r="D125" s="3" t="s">
        <v>40</v>
      </c>
      <c r="E125" s="3" t="s">
        <v>47</v>
      </c>
      <c r="F125" s="3">
        <v>244</v>
      </c>
      <c r="G125" s="4">
        <v>43605</v>
      </c>
      <c r="H125">
        <f t="shared" si="2"/>
        <v>2019</v>
      </c>
      <c r="I125" s="5">
        <v>4542173</v>
      </c>
      <c r="J125" s="3">
        <v>2125</v>
      </c>
      <c r="K125" s="4">
        <v>44057</v>
      </c>
      <c r="L125">
        <f t="shared" si="3"/>
        <v>2020</v>
      </c>
      <c r="M125" s="5">
        <v>4542173</v>
      </c>
    </row>
    <row r="126" spans="1:13" ht="15.75" customHeight="1" x14ac:dyDescent="0.25">
      <c r="A126" s="3" t="s">
        <v>15</v>
      </c>
      <c r="B126" s="3" t="s">
        <v>60</v>
      </c>
      <c r="C126" s="3" t="s">
        <v>21</v>
      </c>
      <c r="D126" s="3" t="s">
        <v>13</v>
      </c>
      <c r="E126" s="3" t="s">
        <v>23</v>
      </c>
      <c r="F126" s="3">
        <v>274</v>
      </c>
      <c r="G126" s="4">
        <v>43858</v>
      </c>
      <c r="H126">
        <f t="shared" si="2"/>
        <v>2020</v>
      </c>
      <c r="I126" s="5">
        <v>4442760</v>
      </c>
      <c r="J126" s="3">
        <v>1977</v>
      </c>
      <c r="K126" s="4">
        <v>44043</v>
      </c>
      <c r="L126">
        <f t="shared" si="3"/>
        <v>2020</v>
      </c>
      <c r="M126" s="5">
        <v>4442760</v>
      </c>
    </row>
    <row r="127" spans="1:13" ht="15.75" customHeight="1" x14ac:dyDescent="0.25">
      <c r="A127" s="3" t="s">
        <v>10</v>
      </c>
      <c r="B127" s="3" t="s">
        <v>30</v>
      </c>
      <c r="C127" s="3" t="s">
        <v>12</v>
      </c>
      <c r="D127" s="3" t="s">
        <v>31</v>
      </c>
      <c r="E127" s="3" t="s">
        <v>19</v>
      </c>
      <c r="F127" s="3">
        <v>162</v>
      </c>
      <c r="G127" s="4">
        <v>43636</v>
      </c>
      <c r="H127">
        <f t="shared" si="2"/>
        <v>2019</v>
      </c>
      <c r="I127" s="5">
        <v>4390172</v>
      </c>
      <c r="J127" s="3">
        <v>2246</v>
      </c>
      <c r="K127" s="4">
        <v>44081</v>
      </c>
      <c r="L127">
        <f t="shared" si="3"/>
        <v>2020</v>
      </c>
      <c r="M127" s="5">
        <v>4390172</v>
      </c>
    </row>
    <row r="128" spans="1:13" ht="15.75" customHeight="1" x14ac:dyDescent="0.25">
      <c r="A128" s="3" t="s">
        <v>57</v>
      </c>
      <c r="B128" s="3" t="s">
        <v>42</v>
      </c>
      <c r="C128" s="3" t="s">
        <v>21</v>
      </c>
      <c r="D128" s="3" t="s">
        <v>22</v>
      </c>
      <c r="E128" s="3" t="s">
        <v>58</v>
      </c>
      <c r="F128" s="3">
        <v>2434</v>
      </c>
      <c r="G128" s="4">
        <v>44106</v>
      </c>
      <c r="H128">
        <f t="shared" si="2"/>
        <v>2020</v>
      </c>
      <c r="I128" s="5">
        <v>4256616</v>
      </c>
      <c r="J128" s="3">
        <v>2790</v>
      </c>
      <c r="K128" s="4">
        <v>44165</v>
      </c>
      <c r="L128">
        <f t="shared" si="3"/>
        <v>2020</v>
      </c>
      <c r="M128" s="5">
        <v>4256616</v>
      </c>
    </row>
    <row r="129" spans="1:13" ht="15.75" customHeight="1" x14ac:dyDescent="0.25">
      <c r="A129" s="3" t="s">
        <v>15</v>
      </c>
      <c r="B129" s="3" t="s">
        <v>61</v>
      </c>
      <c r="C129" s="3" t="s">
        <v>21</v>
      </c>
      <c r="D129" s="3" t="s">
        <v>13</v>
      </c>
      <c r="E129" s="3" t="s">
        <v>19</v>
      </c>
      <c r="F129" s="3">
        <v>3064</v>
      </c>
      <c r="G129" s="4">
        <v>43795</v>
      </c>
      <c r="H129">
        <f t="shared" si="2"/>
        <v>2019</v>
      </c>
      <c r="I129" s="5">
        <v>4232326</v>
      </c>
      <c r="J129" s="3">
        <v>3248</v>
      </c>
      <c r="K129" s="4">
        <v>44195</v>
      </c>
      <c r="L129">
        <f t="shared" si="3"/>
        <v>2020</v>
      </c>
      <c r="M129" s="5">
        <v>4232326</v>
      </c>
    </row>
    <row r="130" spans="1:13" ht="15.75" customHeight="1" x14ac:dyDescent="0.25">
      <c r="A130" s="3" t="s">
        <v>59</v>
      </c>
      <c r="B130" s="3" t="s">
        <v>30</v>
      </c>
      <c r="C130" s="3" t="s">
        <v>12</v>
      </c>
      <c r="D130" s="3" t="s">
        <v>44</v>
      </c>
      <c r="E130" s="3" t="s">
        <v>19</v>
      </c>
      <c r="F130" s="3">
        <v>199</v>
      </c>
      <c r="G130" s="4">
        <v>43633</v>
      </c>
      <c r="H130">
        <f t="shared" si="2"/>
        <v>2019</v>
      </c>
      <c r="I130" s="5">
        <v>4140201</v>
      </c>
      <c r="J130" s="3">
        <v>1720</v>
      </c>
      <c r="K130" s="4">
        <v>43997</v>
      </c>
      <c r="L130">
        <f t="shared" si="3"/>
        <v>2020</v>
      </c>
      <c r="M130" s="5">
        <v>4140201</v>
      </c>
    </row>
    <row r="131" spans="1:13" ht="15.75" customHeight="1" x14ac:dyDescent="0.25">
      <c r="A131" s="3" t="s">
        <v>59</v>
      </c>
      <c r="B131" s="3" t="s">
        <v>20</v>
      </c>
      <c r="C131" s="3" t="s">
        <v>12</v>
      </c>
      <c r="D131" s="3" t="s">
        <v>37</v>
      </c>
      <c r="E131" s="3" t="s">
        <v>47</v>
      </c>
      <c r="F131" s="3">
        <v>124</v>
      </c>
      <c r="G131" s="4">
        <v>43605</v>
      </c>
      <c r="H131">
        <f t="shared" ref="H131:H194" si="4">YEAR(G131)</f>
        <v>2019</v>
      </c>
      <c r="I131" s="5">
        <v>4059628</v>
      </c>
      <c r="J131" s="3">
        <v>2180</v>
      </c>
      <c r="K131" s="4">
        <v>44071</v>
      </c>
      <c r="L131">
        <f t="shared" si="3"/>
        <v>2020</v>
      </c>
      <c r="M131" s="5">
        <v>4059628</v>
      </c>
    </row>
    <row r="132" spans="1:13" ht="15.75" customHeight="1" x14ac:dyDescent="0.25">
      <c r="A132" s="3" t="s">
        <v>15</v>
      </c>
      <c r="B132" s="3" t="s">
        <v>46</v>
      </c>
      <c r="C132" s="3" t="s">
        <v>17</v>
      </c>
      <c r="D132" s="3" t="s">
        <v>13</v>
      </c>
      <c r="E132" s="3" t="s">
        <v>14</v>
      </c>
      <c r="F132" s="3">
        <v>981</v>
      </c>
      <c r="G132" s="4">
        <v>43907</v>
      </c>
      <c r="H132">
        <f t="shared" si="4"/>
        <v>2020</v>
      </c>
      <c r="I132" s="5">
        <f>84.35*50021</f>
        <v>4219271.3499999996</v>
      </c>
      <c r="J132" s="3">
        <v>3244</v>
      </c>
      <c r="K132" s="4">
        <v>44195</v>
      </c>
      <c r="L132">
        <f t="shared" ref="L132:L195" si="5">YEAR(K132)</f>
        <v>2020</v>
      </c>
      <c r="M132" s="5">
        <f>79*51029</f>
        <v>4031291</v>
      </c>
    </row>
    <row r="133" spans="1:13" ht="15.75" customHeight="1" x14ac:dyDescent="0.25">
      <c r="A133" s="3" t="s">
        <v>15</v>
      </c>
      <c r="B133" s="3" t="s">
        <v>62</v>
      </c>
      <c r="C133" s="3" t="s">
        <v>17</v>
      </c>
      <c r="D133" s="3" t="s">
        <v>13</v>
      </c>
      <c r="E133" s="3" t="s">
        <v>19</v>
      </c>
      <c r="F133" s="3">
        <v>2103</v>
      </c>
      <c r="G133" s="4">
        <v>44057</v>
      </c>
      <c r="H133">
        <f t="shared" si="4"/>
        <v>2020</v>
      </c>
      <c r="I133" s="5">
        <v>3939817</v>
      </c>
      <c r="J133" s="3">
        <v>2550</v>
      </c>
      <c r="K133" s="4">
        <v>44123</v>
      </c>
      <c r="L133">
        <f t="shared" si="5"/>
        <v>2020</v>
      </c>
      <c r="M133" s="5">
        <v>3939817</v>
      </c>
    </row>
    <row r="134" spans="1:13" ht="15.75" customHeight="1" x14ac:dyDescent="0.25">
      <c r="A134" s="3" t="s">
        <v>15</v>
      </c>
      <c r="B134" s="3" t="s">
        <v>51</v>
      </c>
      <c r="C134" s="3" t="s">
        <v>21</v>
      </c>
      <c r="D134" s="3" t="s">
        <v>13</v>
      </c>
      <c r="E134" s="3" t="s">
        <v>23</v>
      </c>
      <c r="F134" s="3">
        <v>278</v>
      </c>
      <c r="G134" s="4">
        <v>43859</v>
      </c>
      <c r="H134">
        <f t="shared" si="4"/>
        <v>2020</v>
      </c>
      <c r="I134" s="5">
        <v>3916564</v>
      </c>
      <c r="J134" s="3">
        <v>2022</v>
      </c>
      <c r="K134" s="4">
        <v>44043</v>
      </c>
      <c r="L134">
        <f t="shared" si="5"/>
        <v>2020</v>
      </c>
      <c r="M134" s="5">
        <v>3916564</v>
      </c>
    </row>
    <row r="135" spans="1:13" ht="15.75" customHeight="1" x14ac:dyDescent="0.25">
      <c r="A135" s="3" t="s">
        <v>10</v>
      </c>
      <c r="B135" s="3" t="s">
        <v>20</v>
      </c>
      <c r="C135" s="3" t="s">
        <v>12</v>
      </c>
      <c r="D135" s="3" t="s">
        <v>37</v>
      </c>
      <c r="E135" s="3" t="s">
        <v>47</v>
      </c>
      <c r="F135" s="3">
        <v>225</v>
      </c>
      <c r="G135" s="4">
        <v>43668</v>
      </c>
      <c r="H135">
        <f t="shared" si="4"/>
        <v>2019</v>
      </c>
      <c r="I135" s="5">
        <v>3878510</v>
      </c>
      <c r="J135" s="3">
        <v>2560</v>
      </c>
      <c r="K135" s="4">
        <v>44123</v>
      </c>
      <c r="L135">
        <f t="shared" si="5"/>
        <v>2020</v>
      </c>
      <c r="M135" s="5">
        <v>3878510</v>
      </c>
    </row>
    <row r="136" spans="1:13" ht="15.75" customHeight="1" x14ac:dyDescent="0.25">
      <c r="A136" s="3" t="s">
        <v>59</v>
      </c>
      <c r="B136" s="3" t="s">
        <v>30</v>
      </c>
      <c r="C136" s="3" t="s">
        <v>12</v>
      </c>
      <c r="D136" s="3" t="s">
        <v>44</v>
      </c>
      <c r="E136" s="3" t="s">
        <v>19</v>
      </c>
      <c r="F136" s="3">
        <v>196</v>
      </c>
      <c r="G136" s="4">
        <v>43633</v>
      </c>
      <c r="H136">
        <f t="shared" si="4"/>
        <v>2019</v>
      </c>
      <c r="I136" s="5">
        <v>3831577</v>
      </c>
      <c r="J136" s="3">
        <v>1722</v>
      </c>
      <c r="K136" s="4">
        <v>43997</v>
      </c>
      <c r="L136">
        <f t="shared" si="5"/>
        <v>2020</v>
      </c>
      <c r="M136" s="5">
        <v>3831577</v>
      </c>
    </row>
    <row r="137" spans="1:13" ht="15.75" customHeight="1" x14ac:dyDescent="0.25">
      <c r="A137" s="3" t="s">
        <v>57</v>
      </c>
      <c r="B137" s="3" t="s">
        <v>60</v>
      </c>
      <c r="C137" s="3" t="s">
        <v>21</v>
      </c>
      <c r="D137" s="3" t="s">
        <v>13</v>
      </c>
      <c r="E137" s="3" t="s">
        <v>58</v>
      </c>
      <c r="F137" s="3">
        <v>2486</v>
      </c>
      <c r="G137" s="4">
        <v>44112</v>
      </c>
      <c r="H137">
        <f t="shared" si="4"/>
        <v>2020</v>
      </c>
      <c r="I137" s="5">
        <v>3724539</v>
      </c>
      <c r="J137" s="3">
        <v>2830</v>
      </c>
      <c r="K137" s="4">
        <v>44165</v>
      </c>
      <c r="L137">
        <f t="shared" si="5"/>
        <v>2020</v>
      </c>
      <c r="M137" s="5">
        <v>3724539</v>
      </c>
    </row>
    <row r="138" spans="1:13" ht="15.75" customHeight="1" x14ac:dyDescent="0.25">
      <c r="A138" s="3" t="s">
        <v>10</v>
      </c>
      <c r="B138" s="3" t="s">
        <v>30</v>
      </c>
      <c r="C138" s="3" t="s">
        <v>12</v>
      </c>
      <c r="D138" s="3" t="s">
        <v>35</v>
      </c>
      <c r="E138" s="3" t="s">
        <v>14</v>
      </c>
      <c r="F138" s="3">
        <v>113</v>
      </c>
      <c r="G138" s="4">
        <v>43636</v>
      </c>
      <c r="H138">
        <f t="shared" si="4"/>
        <v>2019</v>
      </c>
      <c r="I138" s="5">
        <v>4207806</v>
      </c>
      <c r="J138" s="3">
        <v>2214</v>
      </c>
      <c r="K138" s="4">
        <v>44074</v>
      </c>
      <c r="L138">
        <f t="shared" si="5"/>
        <v>2020</v>
      </c>
      <c r="M138" s="5">
        <v>3630230</v>
      </c>
    </row>
    <row r="139" spans="1:13" ht="15.75" customHeight="1" x14ac:dyDescent="0.25">
      <c r="A139" s="3" t="s">
        <v>10</v>
      </c>
      <c r="B139" s="3" t="s">
        <v>30</v>
      </c>
      <c r="C139" s="3" t="s">
        <v>12</v>
      </c>
      <c r="D139" s="3" t="s">
        <v>44</v>
      </c>
      <c r="E139" s="3" t="s">
        <v>19</v>
      </c>
      <c r="F139" s="3">
        <v>201</v>
      </c>
      <c r="G139" s="4">
        <v>43633</v>
      </c>
      <c r="H139">
        <f t="shared" si="4"/>
        <v>2019</v>
      </c>
      <c r="I139" s="5">
        <v>3623418</v>
      </c>
      <c r="J139" s="3">
        <v>1719</v>
      </c>
      <c r="K139" s="4">
        <v>43997</v>
      </c>
      <c r="L139">
        <f t="shared" si="5"/>
        <v>2020</v>
      </c>
      <c r="M139" s="5">
        <v>3623418</v>
      </c>
    </row>
    <row r="140" spans="1:13" ht="15.75" customHeight="1" x14ac:dyDescent="0.25">
      <c r="A140" s="3" t="s">
        <v>15</v>
      </c>
      <c r="B140" s="3" t="s">
        <v>32</v>
      </c>
      <c r="C140" s="3" t="s">
        <v>21</v>
      </c>
      <c r="D140" s="3" t="s">
        <v>13</v>
      </c>
      <c r="E140" s="3" t="s">
        <v>23</v>
      </c>
      <c r="F140" s="3">
        <v>277</v>
      </c>
      <c r="G140" s="4">
        <v>43859</v>
      </c>
      <c r="H140">
        <f t="shared" si="4"/>
        <v>2020</v>
      </c>
      <c r="I140" s="5">
        <v>19528841</v>
      </c>
      <c r="J140" s="3">
        <v>1818</v>
      </c>
      <c r="K140" s="4">
        <v>44012</v>
      </c>
      <c r="L140">
        <f t="shared" si="5"/>
        <v>2020</v>
      </c>
      <c r="M140" s="5">
        <v>3597070</v>
      </c>
    </row>
    <row r="141" spans="1:13" ht="15.75" customHeight="1" x14ac:dyDescent="0.25">
      <c r="A141" s="3" t="s">
        <v>15</v>
      </c>
      <c r="B141" s="3" t="s">
        <v>46</v>
      </c>
      <c r="C141" s="3" t="s">
        <v>17</v>
      </c>
      <c r="D141" s="3" t="s">
        <v>13</v>
      </c>
      <c r="E141" s="3" t="s">
        <v>14</v>
      </c>
      <c r="F141" s="3">
        <v>168</v>
      </c>
      <c r="G141" s="4">
        <v>43851</v>
      </c>
      <c r="H141">
        <f t="shared" si="4"/>
        <v>2020</v>
      </c>
      <c r="I141" s="5">
        <f>68.25*49673</f>
        <v>3390182.25</v>
      </c>
      <c r="J141" s="3">
        <v>2621</v>
      </c>
      <c r="K141" s="4">
        <v>44134</v>
      </c>
      <c r="L141">
        <f t="shared" si="5"/>
        <v>2020</v>
      </c>
      <c r="M141" s="5">
        <f>68*50372</f>
        <v>3425296</v>
      </c>
    </row>
    <row r="142" spans="1:13" ht="15.75" customHeight="1" x14ac:dyDescent="0.25">
      <c r="A142" s="3" t="s">
        <v>59</v>
      </c>
      <c r="B142" s="3" t="s">
        <v>20</v>
      </c>
      <c r="C142" s="3" t="s">
        <v>12</v>
      </c>
      <c r="D142" s="3" t="s">
        <v>37</v>
      </c>
      <c r="E142" s="3" t="s">
        <v>47</v>
      </c>
      <c r="F142" s="3">
        <v>123</v>
      </c>
      <c r="G142" s="4">
        <v>43605</v>
      </c>
      <c r="H142">
        <f t="shared" si="4"/>
        <v>2019</v>
      </c>
      <c r="I142" s="5">
        <v>3339934</v>
      </c>
      <c r="J142" s="3">
        <v>2179</v>
      </c>
      <c r="K142" s="4">
        <v>44071</v>
      </c>
      <c r="L142">
        <f t="shared" si="5"/>
        <v>2020</v>
      </c>
      <c r="M142" s="5">
        <v>3339934</v>
      </c>
    </row>
    <row r="143" spans="1:13" ht="15.75" customHeight="1" x14ac:dyDescent="0.25">
      <c r="A143" s="3" t="s">
        <v>15</v>
      </c>
      <c r="B143" s="3" t="s">
        <v>45</v>
      </c>
      <c r="C143" s="3" t="s">
        <v>21</v>
      </c>
      <c r="D143" s="3" t="s">
        <v>22</v>
      </c>
      <c r="E143" s="3" t="s">
        <v>19</v>
      </c>
      <c r="F143" s="3">
        <v>3556</v>
      </c>
      <c r="G143" s="4">
        <v>43830</v>
      </c>
      <c r="H143">
        <f t="shared" si="4"/>
        <v>2019</v>
      </c>
      <c r="I143" s="5">
        <v>3313324</v>
      </c>
      <c r="J143" s="3">
        <v>558</v>
      </c>
      <c r="K143" s="4">
        <v>43875</v>
      </c>
      <c r="L143">
        <f t="shared" si="5"/>
        <v>2020</v>
      </c>
      <c r="M143" s="5">
        <v>3313324</v>
      </c>
    </row>
    <row r="144" spans="1:13" ht="15.75" customHeight="1" x14ac:dyDescent="0.25">
      <c r="A144" s="3" t="s">
        <v>59</v>
      </c>
      <c r="B144" s="3" t="s">
        <v>20</v>
      </c>
      <c r="C144" s="3" t="s">
        <v>12</v>
      </c>
      <c r="D144" s="3" t="s">
        <v>40</v>
      </c>
      <c r="E144" s="3" t="s">
        <v>47</v>
      </c>
      <c r="F144" s="3">
        <v>242</v>
      </c>
      <c r="G144" s="4">
        <v>43601</v>
      </c>
      <c r="H144">
        <f t="shared" si="4"/>
        <v>2019</v>
      </c>
      <c r="I144" s="5">
        <v>3329246</v>
      </c>
      <c r="J144" s="3">
        <v>2124</v>
      </c>
      <c r="K144" s="4">
        <v>44057</v>
      </c>
      <c r="L144">
        <f t="shared" si="5"/>
        <v>2020</v>
      </c>
      <c r="M144" s="5">
        <v>3226710</v>
      </c>
    </row>
    <row r="145" spans="1:13" ht="15.75" customHeight="1" x14ac:dyDescent="0.25">
      <c r="A145" s="3" t="s">
        <v>57</v>
      </c>
      <c r="B145" s="3" t="s">
        <v>60</v>
      </c>
      <c r="C145" s="3" t="s">
        <v>21</v>
      </c>
      <c r="D145" s="3" t="s">
        <v>13</v>
      </c>
      <c r="E145" s="3" t="s">
        <v>58</v>
      </c>
      <c r="F145" s="3">
        <v>2485</v>
      </c>
      <c r="G145" s="4">
        <v>44112</v>
      </c>
      <c r="H145">
        <f t="shared" si="4"/>
        <v>2020</v>
      </c>
      <c r="I145" s="5">
        <v>3192462</v>
      </c>
      <c r="J145" s="3">
        <v>2831</v>
      </c>
      <c r="K145" s="4">
        <v>44165</v>
      </c>
      <c r="L145">
        <f t="shared" si="5"/>
        <v>2020</v>
      </c>
      <c r="M145" s="5">
        <v>3192462</v>
      </c>
    </row>
    <row r="146" spans="1:13" ht="15.75" customHeight="1" x14ac:dyDescent="0.25">
      <c r="A146" s="3" t="s">
        <v>57</v>
      </c>
      <c r="B146" s="3" t="s">
        <v>51</v>
      </c>
      <c r="C146" s="3" t="s">
        <v>21</v>
      </c>
      <c r="D146" s="3" t="s">
        <v>13</v>
      </c>
      <c r="E146" s="3" t="s">
        <v>58</v>
      </c>
      <c r="F146" s="3">
        <v>2438</v>
      </c>
      <c r="G146" s="4">
        <v>44106</v>
      </c>
      <c r="H146">
        <f t="shared" si="4"/>
        <v>2020</v>
      </c>
      <c r="I146" s="5">
        <v>3192462</v>
      </c>
      <c r="J146" s="3">
        <v>2812</v>
      </c>
      <c r="K146" s="4">
        <v>44165</v>
      </c>
      <c r="L146">
        <f t="shared" si="5"/>
        <v>2020</v>
      </c>
      <c r="M146" s="5">
        <v>3192462</v>
      </c>
    </row>
    <row r="147" spans="1:13" ht="15.75" customHeight="1" x14ac:dyDescent="0.25">
      <c r="A147" s="3" t="s">
        <v>15</v>
      </c>
      <c r="B147" s="3" t="s">
        <v>11</v>
      </c>
      <c r="C147" s="3" t="s">
        <v>12</v>
      </c>
      <c r="D147" s="3" t="s">
        <v>13</v>
      </c>
      <c r="E147" s="3" t="s">
        <v>36</v>
      </c>
      <c r="F147" s="3">
        <v>558</v>
      </c>
      <c r="G147" s="4">
        <v>43301</v>
      </c>
      <c r="H147">
        <f t="shared" si="4"/>
        <v>2018</v>
      </c>
      <c r="I147" s="5">
        <v>3529827</v>
      </c>
      <c r="J147" s="3">
        <v>2018</v>
      </c>
      <c r="K147" s="4">
        <v>44043</v>
      </c>
      <c r="L147">
        <f t="shared" si="5"/>
        <v>2020</v>
      </c>
      <c r="M147" s="5">
        <v>3166498</v>
      </c>
    </row>
    <row r="148" spans="1:13" ht="15.75" customHeight="1" x14ac:dyDescent="0.25">
      <c r="A148" s="3" t="s">
        <v>59</v>
      </c>
      <c r="B148" s="3" t="s">
        <v>20</v>
      </c>
      <c r="C148" s="3" t="s">
        <v>12</v>
      </c>
      <c r="D148" s="3" t="s">
        <v>37</v>
      </c>
      <c r="E148" s="3" t="s">
        <v>47</v>
      </c>
      <c r="F148" s="3">
        <v>122</v>
      </c>
      <c r="G148" s="4">
        <v>43605</v>
      </c>
      <c r="H148">
        <f t="shared" si="4"/>
        <v>2019</v>
      </c>
      <c r="I148" s="5">
        <v>3154788</v>
      </c>
      <c r="J148" s="3">
        <v>2178</v>
      </c>
      <c r="K148" s="4">
        <v>44071</v>
      </c>
      <c r="L148">
        <f t="shared" si="5"/>
        <v>2020</v>
      </c>
      <c r="M148" s="5">
        <v>3154788</v>
      </c>
    </row>
    <row r="149" spans="1:13" ht="15.75" customHeight="1" x14ac:dyDescent="0.25">
      <c r="A149" s="3" t="s">
        <v>59</v>
      </c>
      <c r="B149" s="3" t="s">
        <v>20</v>
      </c>
      <c r="C149" s="3" t="s">
        <v>39</v>
      </c>
      <c r="D149" s="3" t="s">
        <v>40</v>
      </c>
      <c r="E149" s="3" t="s">
        <v>47</v>
      </c>
      <c r="F149" s="3">
        <v>245</v>
      </c>
      <c r="G149" s="4">
        <v>43605</v>
      </c>
      <c r="H149">
        <f t="shared" si="4"/>
        <v>2019</v>
      </c>
      <c r="I149" s="5">
        <v>3093559</v>
      </c>
      <c r="J149" s="3">
        <v>2126</v>
      </c>
      <c r="K149" s="4">
        <v>44057</v>
      </c>
      <c r="L149">
        <f t="shared" si="5"/>
        <v>2020</v>
      </c>
      <c r="M149" s="5">
        <v>3093559</v>
      </c>
    </row>
    <row r="150" spans="1:13" ht="15.75" customHeight="1" x14ac:dyDescent="0.25">
      <c r="A150" s="3" t="s">
        <v>15</v>
      </c>
      <c r="B150" s="3" t="s">
        <v>61</v>
      </c>
      <c r="C150" s="3" t="s">
        <v>21</v>
      </c>
      <c r="D150" s="3" t="s">
        <v>22</v>
      </c>
      <c r="E150" s="3" t="s">
        <v>23</v>
      </c>
      <c r="F150" s="3">
        <v>284</v>
      </c>
      <c r="G150" s="4">
        <v>43859</v>
      </c>
      <c r="H150">
        <f t="shared" si="4"/>
        <v>2020</v>
      </c>
      <c r="I150" s="5">
        <v>3521200</v>
      </c>
      <c r="J150" s="3">
        <v>1700</v>
      </c>
      <c r="K150" s="4">
        <v>43993</v>
      </c>
      <c r="L150">
        <f t="shared" si="5"/>
        <v>2020</v>
      </c>
      <c r="M150" s="5">
        <v>3070800</v>
      </c>
    </row>
    <row r="151" spans="1:13" ht="15.75" customHeight="1" x14ac:dyDescent="0.25">
      <c r="A151" s="3" t="s">
        <v>15</v>
      </c>
      <c r="B151" s="3" t="s">
        <v>33</v>
      </c>
      <c r="C151" s="3" t="s">
        <v>12</v>
      </c>
      <c r="D151" s="3" t="s">
        <v>13</v>
      </c>
      <c r="E151" s="3" t="s">
        <v>36</v>
      </c>
      <c r="F151" s="3">
        <v>308</v>
      </c>
      <c r="G151" s="4">
        <v>43243</v>
      </c>
      <c r="H151">
        <f t="shared" si="4"/>
        <v>2018</v>
      </c>
      <c r="I151" s="5">
        <v>3287859</v>
      </c>
      <c r="J151" s="3">
        <v>1984</v>
      </c>
      <c r="K151" s="4">
        <v>44043</v>
      </c>
      <c r="L151">
        <f t="shared" si="5"/>
        <v>2020</v>
      </c>
      <c r="M151" s="5">
        <v>3027181</v>
      </c>
    </row>
    <row r="152" spans="1:13" ht="15.75" customHeight="1" x14ac:dyDescent="0.25">
      <c r="A152" s="3" t="s">
        <v>10</v>
      </c>
      <c r="B152" s="3" t="s">
        <v>30</v>
      </c>
      <c r="C152" s="3" t="s">
        <v>12</v>
      </c>
      <c r="D152" s="3" t="s">
        <v>31</v>
      </c>
      <c r="E152" s="3" t="s">
        <v>19</v>
      </c>
      <c r="F152" s="3">
        <v>159</v>
      </c>
      <c r="G152" s="4">
        <v>43636</v>
      </c>
      <c r="H152">
        <f t="shared" si="4"/>
        <v>2019</v>
      </c>
      <c r="I152" s="5">
        <v>3024999</v>
      </c>
      <c r="J152" s="3">
        <v>2244</v>
      </c>
      <c r="K152" s="4">
        <v>44081</v>
      </c>
      <c r="L152">
        <f t="shared" si="5"/>
        <v>2020</v>
      </c>
      <c r="M152" s="5">
        <v>3024999</v>
      </c>
    </row>
    <row r="153" spans="1:13" ht="15.75" customHeight="1" x14ac:dyDescent="0.25">
      <c r="A153" s="3" t="s">
        <v>15</v>
      </c>
      <c r="B153" s="3" t="s">
        <v>29</v>
      </c>
      <c r="C153" s="3" t="s">
        <v>21</v>
      </c>
      <c r="D153" s="3" t="s">
        <v>41</v>
      </c>
      <c r="E153" s="3" t="s">
        <v>23</v>
      </c>
      <c r="F153" s="3">
        <v>294</v>
      </c>
      <c r="G153" s="4">
        <v>43859</v>
      </c>
      <c r="H153">
        <f t="shared" si="4"/>
        <v>2020</v>
      </c>
      <c r="I153" s="5">
        <v>3020168</v>
      </c>
      <c r="J153" s="3">
        <v>2016</v>
      </c>
      <c r="K153" s="4">
        <v>44043</v>
      </c>
      <c r="L153">
        <f t="shared" si="5"/>
        <v>2020</v>
      </c>
      <c r="M153" s="5">
        <v>3020168</v>
      </c>
    </row>
    <row r="154" spans="1:13" ht="15.75" customHeight="1" x14ac:dyDescent="0.25">
      <c r="A154" s="3" t="s">
        <v>15</v>
      </c>
      <c r="B154" s="3" t="s">
        <v>61</v>
      </c>
      <c r="C154" s="3" t="s">
        <v>21</v>
      </c>
      <c r="D154" s="3" t="s">
        <v>22</v>
      </c>
      <c r="E154" s="3" t="s">
        <v>23</v>
      </c>
      <c r="F154" s="3">
        <v>282</v>
      </c>
      <c r="G154" s="4">
        <v>43859</v>
      </c>
      <c r="H154">
        <f t="shared" si="4"/>
        <v>2020</v>
      </c>
      <c r="I154" s="5">
        <v>3230504</v>
      </c>
      <c r="J154" s="3">
        <v>1811</v>
      </c>
      <c r="K154" s="4">
        <v>44012</v>
      </c>
      <c r="L154">
        <f t="shared" si="5"/>
        <v>2020</v>
      </c>
      <c r="M154" s="5">
        <v>2943444</v>
      </c>
    </row>
    <row r="155" spans="1:13" ht="15.75" customHeight="1" x14ac:dyDescent="0.25">
      <c r="A155" s="3" t="s">
        <v>15</v>
      </c>
      <c r="B155" s="3" t="s">
        <v>11</v>
      </c>
      <c r="C155" s="3" t="s">
        <v>12</v>
      </c>
      <c r="D155" s="3" t="s">
        <v>13</v>
      </c>
      <c r="E155" s="3" t="s">
        <v>36</v>
      </c>
      <c r="F155" s="3">
        <v>643</v>
      </c>
      <c r="G155" s="4">
        <v>43689</v>
      </c>
      <c r="H155">
        <f t="shared" si="4"/>
        <v>2019</v>
      </c>
      <c r="I155" s="5">
        <v>4230568</v>
      </c>
      <c r="J155" s="3">
        <v>2020</v>
      </c>
      <c r="K155" s="4">
        <v>44043</v>
      </c>
      <c r="L155">
        <f t="shared" si="5"/>
        <v>2020</v>
      </c>
      <c r="M155" s="5">
        <v>2934136</v>
      </c>
    </row>
    <row r="156" spans="1:13" ht="15.75" customHeight="1" x14ac:dyDescent="0.25">
      <c r="A156" s="3" t="s">
        <v>15</v>
      </c>
      <c r="B156" s="3" t="s">
        <v>63</v>
      </c>
      <c r="C156" s="3" t="s">
        <v>17</v>
      </c>
      <c r="D156" s="3" t="s">
        <v>13</v>
      </c>
      <c r="E156" s="3" t="s">
        <v>19</v>
      </c>
      <c r="F156" s="3">
        <v>2101</v>
      </c>
      <c r="G156" s="4">
        <v>44057</v>
      </c>
      <c r="H156">
        <f t="shared" si="4"/>
        <v>2020</v>
      </c>
      <c r="I156" s="5">
        <v>2865925</v>
      </c>
      <c r="J156" s="3">
        <v>3050</v>
      </c>
      <c r="K156" s="4">
        <v>44186</v>
      </c>
      <c r="L156">
        <f t="shared" si="5"/>
        <v>2020</v>
      </c>
      <c r="M156" s="5">
        <v>2865925</v>
      </c>
    </row>
    <row r="157" spans="1:13" ht="15.75" customHeight="1" x14ac:dyDescent="0.25">
      <c r="A157" s="3" t="s">
        <v>15</v>
      </c>
      <c r="B157" s="3" t="s">
        <v>11</v>
      </c>
      <c r="C157" s="3" t="s">
        <v>12</v>
      </c>
      <c r="D157" s="3" t="s">
        <v>13</v>
      </c>
      <c r="E157" s="3" t="s">
        <v>36</v>
      </c>
      <c r="F157" s="3">
        <v>106</v>
      </c>
      <c r="G157" s="4">
        <v>43888</v>
      </c>
      <c r="H157">
        <f t="shared" si="4"/>
        <v>2020</v>
      </c>
      <c r="I157" s="5">
        <v>2865703</v>
      </c>
      <c r="J157" s="3">
        <v>1479</v>
      </c>
      <c r="K157" s="4">
        <v>43966</v>
      </c>
      <c r="L157">
        <f t="shared" si="5"/>
        <v>2020</v>
      </c>
      <c r="M157" s="5">
        <v>2865703</v>
      </c>
    </row>
    <row r="158" spans="1:13" ht="15.75" customHeight="1" x14ac:dyDescent="0.25">
      <c r="A158" s="3" t="s">
        <v>15</v>
      </c>
      <c r="B158" s="3" t="s">
        <v>48</v>
      </c>
      <c r="C158" s="3" t="s">
        <v>12</v>
      </c>
      <c r="D158" s="3" t="s">
        <v>13</v>
      </c>
      <c r="E158" s="3" t="s">
        <v>36</v>
      </c>
      <c r="F158" s="3">
        <v>635</v>
      </c>
      <c r="G158" s="4">
        <v>43689</v>
      </c>
      <c r="H158">
        <f t="shared" si="4"/>
        <v>2019</v>
      </c>
      <c r="I158" s="5">
        <v>2851760</v>
      </c>
      <c r="J158" s="3">
        <v>1934</v>
      </c>
      <c r="K158" s="4">
        <v>44039</v>
      </c>
      <c r="L158">
        <f t="shared" si="5"/>
        <v>2020</v>
      </c>
      <c r="M158" s="5">
        <v>2768404</v>
      </c>
    </row>
    <row r="159" spans="1:13" ht="15.75" customHeight="1" x14ac:dyDescent="0.25">
      <c r="A159" s="3" t="s">
        <v>57</v>
      </c>
      <c r="B159" s="3" t="s">
        <v>50</v>
      </c>
      <c r="C159" s="3" t="s">
        <v>21</v>
      </c>
      <c r="D159" s="3" t="s">
        <v>13</v>
      </c>
      <c r="E159" s="3" t="s">
        <v>58</v>
      </c>
      <c r="F159" s="3">
        <v>2473</v>
      </c>
      <c r="G159" s="4">
        <v>44112</v>
      </c>
      <c r="H159">
        <f t="shared" si="4"/>
        <v>2020</v>
      </c>
      <c r="I159" s="5">
        <v>2660385</v>
      </c>
      <c r="J159" s="3">
        <v>2789</v>
      </c>
      <c r="K159" s="4">
        <v>44165</v>
      </c>
      <c r="L159">
        <f t="shared" si="5"/>
        <v>2020</v>
      </c>
      <c r="M159" s="5">
        <v>2660385</v>
      </c>
    </row>
    <row r="160" spans="1:13" ht="15.75" customHeight="1" x14ac:dyDescent="0.25">
      <c r="A160" s="3" t="s">
        <v>15</v>
      </c>
      <c r="B160" s="3" t="s">
        <v>43</v>
      </c>
      <c r="C160" s="3" t="s">
        <v>17</v>
      </c>
      <c r="D160" s="3" t="s">
        <v>13</v>
      </c>
      <c r="E160" s="3" t="s">
        <v>14</v>
      </c>
      <c r="F160" s="3">
        <v>131</v>
      </c>
      <c r="G160" s="4">
        <v>43851</v>
      </c>
      <c r="H160">
        <f t="shared" si="4"/>
        <v>2020</v>
      </c>
      <c r="I160" s="5">
        <f>52.5*49673</f>
        <v>2607832.5</v>
      </c>
      <c r="J160" s="3">
        <v>2582</v>
      </c>
      <c r="K160" s="4">
        <v>44130</v>
      </c>
      <c r="L160">
        <f t="shared" si="5"/>
        <v>2020</v>
      </c>
      <c r="M160" s="5">
        <f>52*50372</f>
        <v>2619344</v>
      </c>
    </row>
    <row r="161" spans="1:13" ht="15.75" customHeight="1" x14ac:dyDescent="0.25">
      <c r="A161" s="3" t="s">
        <v>15</v>
      </c>
      <c r="B161" s="3" t="s">
        <v>32</v>
      </c>
      <c r="C161" s="3" t="s">
        <v>21</v>
      </c>
      <c r="D161" s="3" t="s">
        <v>41</v>
      </c>
      <c r="E161" s="3" t="s">
        <v>23</v>
      </c>
      <c r="F161" s="3">
        <v>296</v>
      </c>
      <c r="G161" s="4">
        <v>43859</v>
      </c>
      <c r="H161">
        <f t="shared" si="4"/>
        <v>2020</v>
      </c>
      <c r="I161" s="5">
        <v>2577711</v>
      </c>
      <c r="J161" s="3">
        <v>1687</v>
      </c>
      <c r="K161" s="4">
        <v>43993</v>
      </c>
      <c r="L161">
        <f t="shared" si="5"/>
        <v>2020</v>
      </c>
      <c r="M161" s="5">
        <v>2577711</v>
      </c>
    </row>
    <row r="162" spans="1:13" ht="15.75" customHeight="1" x14ac:dyDescent="0.25">
      <c r="A162" s="3" t="s">
        <v>15</v>
      </c>
      <c r="B162" s="3" t="s">
        <v>33</v>
      </c>
      <c r="C162" s="3" t="s">
        <v>12</v>
      </c>
      <c r="D162" s="3" t="s">
        <v>25</v>
      </c>
      <c r="E162" s="3" t="s">
        <v>36</v>
      </c>
      <c r="F162" s="3">
        <v>71</v>
      </c>
      <c r="G162" s="4">
        <v>43879</v>
      </c>
      <c r="H162">
        <f t="shared" si="4"/>
        <v>2020</v>
      </c>
      <c r="I162" s="5">
        <v>3733698</v>
      </c>
      <c r="J162" s="3">
        <v>1912</v>
      </c>
      <c r="K162" s="4">
        <v>44033</v>
      </c>
      <c r="L162">
        <f t="shared" si="5"/>
        <v>2020</v>
      </c>
      <c r="M162" s="5">
        <v>2555265</v>
      </c>
    </row>
    <row r="163" spans="1:13" ht="15.75" customHeight="1" x14ac:dyDescent="0.25">
      <c r="A163" s="3" t="s">
        <v>15</v>
      </c>
      <c r="B163" s="3" t="s">
        <v>33</v>
      </c>
      <c r="C163" s="3" t="s">
        <v>12</v>
      </c>
      <c r="D163" s="3" t="s">
        <v>13</v>
      </c>
      <c r="E163" s="3" t="s">
        <v>36</v>
      </c>
      <c r="F163" s="3">
        <v>101</v>
      </c>
      <c r="G163" s="4">
        <v>43886</v>
      </c>
      <c r="H163">
        <f t="shared" si="4"/>
        <v>2020</v>
      </c>
      <c r="I163" s="5">
        <v>2464535</v>
      </c>
      <c r="J163" s="3">
        <v>1476</v>
      </c>
      <c r="K163" s="4">
        <v>43966</v>
      </c>
      <c r="L163">
        <f t="shared" si="5"/>
        <v>2020</v>
      </c>
      <c r="M163" s="5">
        <v>2464535</v>
      </c>
    </row>
    <row r="164" spans="1:13" ht="15.75" customHeight="1" x14ac:dyDescent="0.25">
      <c r="A164" s="3" t="s">
        <v>15</v>
      </c>
      <c r="B164" s="3" t="s">
        <v>60</v>
      </c>
      <c r="C164" s="3" t="s">
        <v>21</v>
      </c>
      <c r="D164" s="3" t="s">
        <v>22</v>
      </c>
      <c r="E164" s="3" t="s">
        <v>23</v>
      </c>
      <c r="F164" s="3">
        <v>265</v>
      </c>
      <c r="G164" s="4">
        <v>43858</v>
      </c>
      <c r="H164">
        <f t="shared" si="4"/>
        <v>2020</v>
      </c>
      <c r="I164" s="5">
        <v>2431947</v>
      </c>
      <c r="J164" s="3">
        <v>1979</v>
      </c>
      <c r="K164" s="4">
        <v>44043</v>
      </c>
      <c r="L164">
        <f t="shared" si="5"/>
        <v>2020</v>
      </c>
      <c r="M164" s="5">
        <v>2431947</v>
      </c>
    </row>
    <row r="165" spans="1:13" ht="15.75" customHeight="1" x14ac:dyDescent="0.25">
      <c r="A165" s="3" t="s">
        <v>15</v>
      </c>
      <c r="B165" s="3" t="s">
        <v>51</v>
      </c>
      <c r="C165" s="3" t="s">
        <v>21</v>
      </c>
      <c r="D165" s="3" t="s">
        <v>13</v>
      </c>
      <c r="E165" s="3" t="s">
        <v>23</v>
      </c>
      <c r="F165" s="3">
        <v>301</v>
      </c>
      <c r="G165" s="4">
        <v>43859</v>
      </c>
      <c r="H165">
        <f t="shared" si="4"/>
        <v>2020</v>
      </c>
      <c r="I165" s="5">
        <v>2414459</v>
      </c>
      <c r="J165" s="3">
        <v>2005</v>
      </c>
      <c r="K165" s="4">
        <v>44043</v>
      </c>
      <c r="L165">
        <f t="shared" si="5"/>
        <v>2020</v>
      </c>
      <c r="M165" s="5">
        <v>2414459</v>
      </c>
    </row>
    <row r="166" spans="1:13" ht="15.75" customHeight="1" x14ac:dyDescent="0.25">
      <c r="A166" s="3" t="s">
        <v>15</v>
      </c>
      <c r="B166" s="3" t="s">
        <v>26</v>
      </c>
      <c r="C166" s="3" t="s">
        <v>12</v>
      </c>
      <c r="D166" s="3" t="s">
        <v>13</v>
      </c>
      <c r="E166" s="3" t="s">
        <v>23</v>
      </c>
      <c r="F166" s="3">
        <v>563</v>
      </c>
      <c r="G166" s="4">
        <v>43668</v>
      </c>
      <c r="H166">
        <f t="shared" si="4"/>
        <v>2019</v>
      </c>
      <c r="I166" s="5">
        <v>2408716</v>
      </c>
      <c r="J166" s="3">
        <v>1549</v>
      </c>
      <c r="K166" s="4">
        <v>43977</v>
      </c>
      <c r="L166">
        <f t="shared" si="5"/>
        <v>2020</v>
      </c>
      <c r="M166" s="5">
        <v>2408716</v>
      </c>
    </row>
    <row r="167" spans="1:13" ht="15.75" customHeight="1" x14ac:dyDescent="0.25">
      <c r="A167" s="3" t="s">
        <v>15</v>
      </c>
      <c r="B167" s="3" t="s">
        <v>60</v>
      </c>
      <c r="C167" s="3" t="s">
        <v>21</v>
      </c>
      <c r="D167" s="3" t="s">
        <v>13</v>
      </c>
      <c r="E167" s="3" t="s">
        <v>23</v>
      </c>
      <c r="F167" s="3">
        <v>291</v>
      </c>
      <c r="G167" s="4">
        <v>43859</v>
      </c>
      <c r="H167">
        <f t="shared" si="4"/>
        <v>2020</v>
      </c>
      <c r="I167" s="5">
        <v>2407326</v>
      </c>
      <c r="J167" s="3">
        <v>1978</v>
      </c>
      <c r="K167" s="4">
        <v>44043</v>
      </c>
      <c r="L167">
        <f t="shared" si="5"/>
        <v>2020</v>
      </c>
      <c r="M167" s="5">
        <v>2407326</v>
      </c>
    </row>
    <row r="168" spans="1:13" ht="15.75" customHeight="1" x14ac:dyDescent="0.25">
      <c r="A168" s="3" t="s">
        <v>15</v>
      </c>
      <c r="B168" s="3" t="s">
        <v>61</v>
      </c>
      <c r="C168" s="3" t="s">
        <v>21</v>
      </c>
      <c r="D168" s="3" t="s">
        <v>22</v>
      </c>
      <c r="E168" s="3" t="s">
        <v>19</v>
      </c>
      <c r="F168" s="3">
        <v>3555</v>
      </c>
      <c r="G168" s="4">
        <v>43830</v>
      </c>
      <c r="H168">
        <f t="shared" si="4"/>
        <v>2019</v>
      </c>
      <c r="I168" s="5">
        <v>5911442</v>
      </c>
      <c r="J168" s="3">
        <v>1696</v>
      </c>
      <c r="K168" s="4">
        <v>43993</v>
      </c>
      <c r="L168">
        <f t="shared" si="5"/>
        <v>2020</v>
      </c>
      <c r="M168" s="5">
        <v>2298506</v>
      </c>
    </row>
    <row r="169" spans="1:13" ht="15.75" customHeight="1" x14ac:dyDescent="0.25">
      <c r="A169" s="3" t="s">
        <v>15</v>
      </c>
      <c r="B169" s="3" t="s">
        <v>30</v>
      </c>
      <c r="C169" s="3" t="s">
        <v>12</v>
      </c>
      <c r="D169" s="3" t="s">
        <v>44</v>
      </c>
      <c r="E169" s="3" t="s">
        <v>58</v>
      </c>
      <c r="F169" s="3">
        <v>32</v>
      </c>
      <c r="G169" s="4">
        <v>43885</v>
      </c>
      <c r="H169">
        <f t="shared" si="4"/>
        <v>2020</v>
      </c>
      <c r="I169" s="5">
        <v>2285463</v>
      </c>
      <c r="J169" s="3">
        <v>1287</v>
      </c>
      <c r="K169" s="4">
        <v>43944</v>
      </c>
      <c r="L169">
        <f t="shared" si="5"/>
        <v>2020</v>
      </c>
      <c r="M169" s="5">
        <v>2285463</v>
      </c>
    </row>
    <row r="170" spans="1:13" ht="15.75" customHeight="1" x14ac:dyDescent="0.25">
      <c r="A170" s="3" t="s">
        <v>10</v>
      </c>
      <c r="B170" s="3" t="s">
        <v>50</v>
      </c>
      <c r="C170" s="3" t="s">
        <v>21</v>
      </c>
      <c r="D170" s="3" t="s">
        <v>13</v>
      </c>
      <c r="E170" s="3" t="s">
        <v>19</v>
      </c>
      <c r="F170" s="3">
        <v>3573</v>
      </c>
      <c r="G170" s="4">
        <v>43830</v>
      </c>
      <c r="H170">
        <f t="shared" si="4"/>
        <v>2019</v>
      </c>
      <c r="I170" s="5">
        <v>2228509</v>
      </c>
      <c r="J170" s="3">
        <v>1184</v>
      </c>
      <c r="K170" s="4">
        <v>43930</v>
      </c>
      <c r="L170">
        <f t="shared" si="5"/>
        <v>2020</v>
      </c>
      <c r="M170" s="5">
        <v>2228509</v>
      </c>
    </row>
    <row r="171" spans="1:13" ht="15.75" customHeight="1" x14ac:dyDescent="0.25">
      <c r="A171" s="3" t="s">
        <v>15</v>
      </c>
      <c r="B171" s="3" t="s">
        <v>50</v>
      </c>
      <c r="C171" s="3" t="s">
        <v>21</v>
      </c>
      <c r="D171" s="3" t="s">
        <v>13</v>
      </c>
      <c r="E171" s="3" t="s">
        <v>23</v>
      </c>
      <c r="F171" s="3">
        <v>283</v>
      </c>
      <c r="G171" s="4">
        <v>43859</v>
      </c>
      <c r="H171">
        <f t="shared" si="4"/>
        <v>2020</v>
      </c>
      <c r="I171" s="5">
        <v>3999821</v>
      </c>
      <c r="J171" s="3">
        <v>1858</v>
      </c>
      <c r="K171" s="4">
        <v>44021</v>
      </c>
      <c r="L171">
        <f t="shared" si="5"/>
        <v>2020</v>
      </c>
      <c r="M171" s="5">
        <v>1919250</v>
      </c>
    </row>
    <row r="172" spans="1:13" ht="15.75" customHeight="1" x14ac:dyDescent="0.25">
      <c r="A172" s="3" t="s">
        <v>15</v>
      </c>
      <c r="B172" s="3" t="s">
        <v>43</v>
      </c>
      <c r="C172" s="3" t="s">
        <v>17</v>
      </c>
      <c r="D172" s="3" t="s">
        <v>13</v>
      </c>
      <c r="E172" s="3" t="s">
        <v>14</v>
      </c>
      <c r="F172" s="3">
        <v>765</v>
      </c>
      <c r="G172" s="4">
        <v>43893</v>
      </c>
      <c r="H172">
        <f t="shared" si="4"/>
        <v>2020</v>
      </c>
      <c r="I172" s="5">
        <f>42*50021</f>
        <v>2100882</v>
      </c>
      <c r="J172" s="3">
        <v>3245</v>
      </c>
      <c r="K172" s="4">
        <v>44195</v>
      </c>
      <c r="L172">
        <f t="shared" si="5"/>
        <v>2020</v>
      </c>
      <c r="M172" s="5">
        <f>37*51029</f>
        <v>1888073</v>
      </c>
    </row>
    <row r="173" spans="1:13" ht="15.75" customHeight="1" x14ac:dyDescent="0.25">
      <c r="A173" s="3" t="s">
        <v>15</v>
      </c>
      <c r="B173" s="3" t="s">
        <v>20</v>
      </c>
      <c r="C173" s="3" t="s">
        <v>12</v>
      </c>
      <c r="D173" s="3" t="s">
        <v>37</v>
      </c>
      <c r="E173" s="3" t="s">
        <v>58</v>
      </c>
      <c r="F173" s="3">
        <v>203</v>
      </c>
      <c r="G173" s="4">
        <v>43656</v>
      </c>
      <c r="H173">
        <f t="shared" si="4"/>
        <v>2019</v>
      </c>
      <c r="I173" s="5">
        <v>1868136</v>
      </c>
      <c r="J173" s="3">
        <v>256</v>
      </c>
      <c r="K173" s="4">
        <v>43858</v>
      </c>
      <c r="L173">
        <f t="shared" si="5"/>
        <v>2020</v>
      </c>
      <c r="M173" s="5">
        <v>1868136</v>
      </c>
    </row>
    <row r="174" spans="1:13" ht="15.75" customHeight="1" x14ac:dyDescent="0.25">
      <c r="A174" s="3" t="s">
        <v>15</v>
      </c>
      <c r="B174" s="3" t="s">
        <v>29</v>
      </c>
      <c r="C174" s="3" t="s">
        <v>21</v>
      </c>
      <c r="D174" s="3" t="s">
        <v>49</v>
      </c>
      <c r="E174" s="3" t="s">
        <v>23</v>
      </c>
      <c r="F174" s="3">
        <v>298</v>
      </c>
      <c r="G174" s="4">
        <v>43859</v>
      </c>
      <c r="H174">
        <f t="shared" si="4"/>
        <v>2020</v>
      </c>
      <c r="I174" s="5">
        <v>1791537</v>
      </c>
      <c r="J174" s="3">
        <v>1997</v>
      </c>
      <c r="K174" s="4">
        <v>44043</v>
      </c>
      <c r="L174">
        <f t="shared" si="5"/>
        <v>2020</v>
      </c>
      <c r="M174" s="5">
        <v>1791537</v>
      </c>
    </row>
    <row r="175" spans="1:13" ht="15.75" customHeight="1" x14ac:dyDescent="0.25">
      <c r="A175" s="3" t="s">
        <v>15</v>
      </c>
      <c r="B175" s="3" t="s">
        <v>50</v>
      </c>
      <c r="C175" s="3" t="s">
        <v>21</v>
      </c>
      <c r="D175" s="3" t="s">
        <v>13</v>
      </c>
      <c r="E175" s="3" t="s">
        <v>19</v>
      </c>
      <c r="F175" s="3">
        <v>3048</v>
      </c>
      <c r="G175" s="4">
        <v>43795</v>
      </c>
      <c r="H175">
        <f t="shared" si="4"/>
        <v>2019</v>
      </c>
      <c r="I175" s="5">
        <v>1785408</v>
      </c>
      <c r="J175" s="3">
        <v>115</v>
      </c>
      <c r="K175" s="4">
        <v>43847</v>
      </c>
      <c r="L175">
        <f t="shared" si="5"/>
        <v>2020</v>
      </c>
      <c r="M175" s="5">
        <v>1785408</v>
      </c>
    </row>
    <row r="176" spans="1:13" ht="15.75" customHeight="1" x14ac:dyDescent="0.25">
      <c r="A176" s="3" t="s">
        <v>15</v>
      </c>
      <c r="B176" s="3" t="s">
        <v>48</v>
      </c>
      <c r="C176" s="3" t="s">
        <v>21</v>
      </c>
      <c r="D176" s="3" t="s">
        <v>13</v>
      </c>
      <c r="E176" s="3" t="s">
        <v>23</v>
      </c>
      <c r="F176" s="3">
        <v>302</v>
      </c>
      <c r="G176" s="4">
        <v>43859</v>
      </c>
      <c r="H176">
        <f t="shared" si="4"/>
        <v>2020</v>
      </c>
      <c r="I176" s="5">
        <v>8227053</v>
      </c>
      <c r="J176" s="3">
        <v>1933</v>
      </c>
      <c r="K176" s="4">
        <v>44039</v>
      </c>
      <c r="L176">
        <f t="shared" si="5"/>
        <v>2020</v>
      </c>
      <c r="M176" s="5">
        <v>1763660</v>
      </c>
    </row>
    <row r="177" spans="1:13" ht="15.75" customHeight="1" x14ac:dyDescent="0.25">
      <c r="A177" s="3" t="s">
        <v>15</v>
      </c>
      <c r="B177" s="3" t="s">
        <v>16</v>
      </c>
      <c r="C177" s="3" t="s">
        <v>17</v>
      </c>
      <c r="D177" s="3" t="s">
        <v>13</v>
      </c>
      <c r="E177" s="3" t="s">
        <v>64</v>
      </c>
      <c r="F177" s="3">
        <v>688</v>
      </c>
      <c r="G177" s="4">
        <v>43886</v>
      </c>
      <c r="H177">
        <f t="shared" si="4"/>
        <v>2020</v>
      </c>
      <c r="I177" s="5">
        <v>1763020</v>
      </c>
      <c r="J177" s="3">
        <v>1756</v>
      </c>
      <c r="K177" s="4">
        <v>44004</v>
      </c>
      <c r="L177">
        <f t="shared" si="5"/>
        <v>2020</v>
      </c>
      <c r="M177" s="5">
        <v>1763020</v>
      </c>
    </row>
    <row r="178" spans="1:13" ht="15.75" customHeight="1" x14ac:dyDescent="0.25">
      <c r="A178" s="3" t="s">
        <v>59</v>
      </c>
      <c r="B178" s="3" t="s">
        <v>20</v>
      </c>
      <c r="C178" s="3" t="s">
        <v>12</v>
      </c>
      <c r="D178" s="3" t="s">
        <v>37</v>
      </c>
      <c r="E178" s="3" t="s">
        <v>19</v>
      </c>
      <c r="F178" s="3">
        <v>253</v>
      </c>
      <c r="G178" s="4">
        <v>43693</v>
      </c>
      <c r="H178">
        <f t="shared" si="4"/>
        <v>2019</v>
      </c>
      <c r="I178" s="5">
        <v>1734210</v>
      </c>
      <c r="J178" s="3">
        <v>92</v>
      </c>
      <c r="K178" s="4">
        <v>43847</v>
      </c>
      <c r="L178">
        <f t="shared" si="5"/>
        <v>2020</v>
      </c>
      <c r="M178" s="5">
        <v>1734210</v>
      </c>
    </row>
    <row r="179" spans="1:13" ht="15.75" customHeight="1" x14ac:dyDescent="0.25">
      <c r="A179" s="3" t="s">
        <v>15</v>
      </c>
      <c r="B179" s="3" t="s">
        <v>51</v>
      </c>
      <c r="C179" s="3" t="s">
        <v>21</v>
      </c>
      <c r="D179" s="3" t="s">
        <v>13</v>
      </c>
      <c r="E179" s="3" t="s">
        <v>19</v>
      </c>
      <c r="F179" s="3">
        <v>3065</v>
      </c>
      <c r="G179" s="4">
        <v>43795</v>
      </c>
      <c r="H179">
        <f t="shared" si="4"/>
        <v>2019</v>
      </c>
      <c r="I179" s="5">
        <v>1731671</v>
      </c>
      <c r="J179" s="3">
        <v>114</v>
      </c>
      <c r="K179" s="4">
        <v>43847</v>
      </c>
      <c r="L179">
        <f t="shared" si="5"/>
        <v>2020</v>
      </c>
      <c r="M179" s="5">
        <v>1731671</v>
      </c>
    </row>
    <row r="180" spans="1:13" ht="15.75" customHeight="1" x14ac:dyDescent="0.25">
      <c r="A180" s="3" t="s">
        <v>15</v>
      </c>
      <c r="B180" s="3" t="s">
        <v>52</v>
      </c>
      <c r="C180" s="3" t="s">
        <v>12</v>
      </c>
      <c r="D180" s="3" t="s">
        <v>13</v>
      </c>
      <c r="E180" s="3" t="s">
        <v>36</v>
      </c>
      <c r="F180" s="3">
        <v>616</v>
      </c>
      <c r="G180" s="4">
        <v>43321</v>
      </c>
      <c r="H180">
        <f t="shared" si="4"/>
        <v>2018</v>
      </c>
      <c r="I180" s="5">
        <v>1776474</v>
      </c>
      <c r="J180" s="3">
        <v>1187</v>
      </c>
      <c r="K180" s="4">
        <v>43930</v>
      </c>
      <c r="L180">
        <f t="shared" si="5"/>
        <v>2020</v>
      </c>
      <c r="M180" s="5">
        <v>1705835</v>
      </c>
    </row>
    <row r="181" spans="1:13" ht="15.75" customHeight="1" x14ac:dyDescent="0.25">
      <c r="A181" s="3" t="s">
        <v>10</v>
      </c>
      <c r="B181" s="3" t="s">
        <v>51</v>
      </c>
      <c r="C181" s="3" t="s">
        <v>21</v>
      </c>
      <c r="D181" s="3" t="s">
        <v>13</v>
      </c>
      <c r="E181" s="3" t="s">
        <v>19</v>
      </c>
      <c r="F181" s="3">
        <v>3575</v>
      </c>
      <c r="G181" s="4">
        <v>43830</v>
      </c>
      <c r="H181">
        <f t="shared" si="4"/>
        <v>2019</v>
      </c>
      <c r="I181" s="5">
        <v>1696268</v>
      </c>
      <c r="J181" s="3">
        <v>554</v>
      </c>
      <c r="K181" s="4">
        <v>43875</v>
      </c>
      <c r="L181">
        <f t="shared" si="5"/>
        <v>2020</v>
      </c>
      <c r="M181" s="5">
        <v>1696268</v>
      </c>
    </row>
    <row r="182" spans="1:13" ht="15.75" customHeight="1" x14ac:dyDescent="0.25">
      <c r="A182" s="3" t="s">
        <v>15</v>
      </c>
      <c r="B182" s="3" t="s">
        <v>61</v>
      </c>
      <c r="C182" s="3" t="s">
        <v>21</v>
      </c>
      <c r="D182" s="3" t="s">
        <v>13</v>
      </c>
      <c r="E182" s="3" t="s">
        <v>23</v>
      </c>
      <c r="F182" s="3">
        <v>263</v>
      </c>
      <c r="G182" s="4">
        <v>43858</v>
      </c>
      <c r="H182">
        <f t="shared" si="4"/>
        <v>2020</v>
      </c>
      <c r="I182" s="5">
        <v>2003557</v>
      </c>
      <c r="J182" s="3">
        <v>1701</v>
      </c>
      <c r="K182" s="4">
        <v>43993</v>
      </c>
      <c r="L182">
        <f t="shared" si="5"/>
        <v>2020</v>
      </c>
      <c r="M182" s="5">
        <v>1669631</v>
      </c>
    </row>
    <row r="183" spans="1:13" ht="15.75" customHeight="1" x14ac:dyDescent="0.25">
      <c r="A183" s="3" t="s">
        <v>59</v>
      </c>
      <c r="B183" s="3" t="s">
        <v>20</v>
      </c>
      <c r="C183" s="3" t="s">
        <v>39</v>
      </c>
      <c r="D183" s="3" t="s">
        <v>40</v>
      </c>
      <c r="E183" s="3" t="s">
        <v>47</v>
      </c>
      <c r="F183" s="3">
        <v>246</v>
      </c>
      <c r="G183" s="4">
        <v>43605</v>
      </c>
      <c r="H183">
        <f t="shared" si="4"/>
        <v>2019</v>
      </c>
      <c r="I183" s="5">
        <v>2085699</v>
      </c>
      <c r="J183" s="3">
        <v>2568</v>
      </c>
      <c r="K183" s="4">
        <v>44125</v>
      </c>
      <c r="L183">
        <f t="shared" si="5"/>
        <v>2020</v>
      </c>
      <c r="M183" s="5">
        <v>1664381</v>
      </c>
    </row>
    <row r="184" spans="1:13" ht="15.75" customHeight="1" x14ac:dyDescent="0.25">
      <c r="A184" s="3" t="s">
        <v>59</v>
      </c>
      <c r="B184" s="3" t="s">
        <v>29</v>
      </c>
      <c r="C184" s="3" t="s">
        <v>39</v>
      </c>
      <c r="D184" s="3" t="s">
        <v>40</v>
      </c>
      <c r="E184" s="3" t="s">
        <v>65</v>
      </c>
      <c r="F184" s="3">
        <v>447</v>
      </c>
      <c r="G184" s="4">
        <v>43734</v>
      </c>
      <c r="H184">
        <f t="shared" si="4"/>
        <v>2019</v>
      </c>
      <c r="I184" s="5">
        <v>1649172</v>
      </c>
      <c r="J184" s="3">
        <v>359</v>
      </c>
      <c r="K184" s="4">
        <v>43861</v>
      </c>
      <c r="L184">
        <f t="shared" si="5"/>
        <v>2020</v>
      </c>
      <c r="M184" s="5">
        <v>1649172</v>
      </c>
    </row>
    <row r="185" spans="1:13" ht="15.75" customHeight="1" x14ac:dyDescent="0.25">
      <c r="A185" s="3" t="s">
        <v>15</v>
      </c>
      <c r="B185" s="3" t="s">
        <v>24</v>
      </c>
      <c r="C185" s="3" t="s">
        <v>12</v>
      </c>
      <c r="D185" s="3" t="s">
        <v>25</v>
      </c>
      <c r="E185" s="3" t="s">
        <v>36</v>
      </c>
      <c r="F185" s="3">
        <v>72</v>
      </c>
      <c r="G185" s="4">
        <v>43879</v>
      </c>
      <c r="H185">
        <f t="shared" si="4"/>
        <v>2020</v>
      </c>
      <c r="I185" s="5">
        <v>2018754</v>
      </c>
      <c r="J185" s="3">
        <v>1953</v>
      </c>
      <c r="K185" s="4">
        <v>44040</v>
      </c>
      <c r="L185">
        <f t="shared" si="5"/>
        <v>2020</v>
      </c>
      <c r="M185" s="5">
        <v>1640362</v>
      </c>
    </row>
    <row r="186" spans="1:13" ht="15.75" customHeight="1" x14ac:dyDescent="0.25">
      <c r="A186" s="3" t="s">
        <v>10</v>
      </c>
      <c r="B186" s="3" t="s">
        <v>30</v>
      </c>
      <c r="C186" s="3" t="s">
        <v>12</v>
      </c>
      <c r="D186" s="3" t="s">
        <v>44</v>
      </c>
      <c r="E186" s="3" t="s">
        <v>19</v>
      </c>
      <c r="F186" s="3">
        <v>198</v>
      </c>
      <c r="G186" s="4">
        <v>43633</v>
      </c>
      <c r="H186">
        <f t="shared" si="4"/>
        <v>2019</v>
      </c>
      <c r="I186" s="5">
        <v>1636759</v>
      </c>
      <c r="J186" s="3">
        <v>1721</v>
      </c>
      <c r="K186" s="4">
        <v>43997</v>
      </c>
      <c r="L186">
        <f t="shared" si="5"/>
        <v>2020</v>
      </c>
      <c r="M186" s="5">
        <v>1636759</v>
      </c>
    </row>
    <row r="187" spans="1:13" ht="15.75" customHeight="1" x14ac:dyDescent="0.25">
      <c r="A187" s="3" t="s">
        <v>57</v>
      </c>
      <c r="B187" s="3" t="s">
        <v>51</v>
      </c>
      <c r="C187" s="3" t="s">
        <v>21</v>
      </c>
      <c r="D187" s="3" t="s">
        <v>13</v>
      </c>
      <c r="E187" s="3" t="s">
        <v>58</v>
      </c>
      <c r="F187" s="3">
        <v>2437</v>
      </c>
      <c r="G187" s="4">
        <v>44106</v>
      </c>
      <c r="H187">
        <f t="shared" si="4"/>
        <v>2020</v>
      </c>
      <c r="I187" s="5">
        <v>1596231</v>
      </c>
      <c r="J187" s="3">
        <v>2813</v>
      </c>
      <c r="K187" s="4">
        <v>44165</v>
      </c>
      <c r="L187">
        <f t="shared" si="5"/>
        <v>2020</v>
      </c>
      <c r="M187" s="5">
        <v>1596231</v>
      </c>
    </row>
    <row r="188" spans="1:13" ht="15.75" customHeight="1" x14ac:dyDescent="0.25">
      <c r="A188" s="3" t="s">
        <v>10</v>
      </c>
      <c r="B188" s="3" t="s">
        <v>32</v>
      </c>
      <c r="C188" s="3" t="s">
        <v>39</v>
      </c>
      <c r="D188" s="3" t="s">
        <v>40</v>
      </c>
      <c r="E188" s="3" t="s">
        <v>19</v>
      </c>
      <c r="F188" s="3">
        <v>387</v>
      </c>
      <c r="G188" s="4">
        <v>43696</v>
      </c>
      <c r="H188">
        <f t="shared" si="4"/>
        <v>2019</v>
      </c>
      <c r="I188" s="5">
        <v>1567494</v>
      </c>
      <c r="J188" s="3">
        <v>1603</v>
      </c>
      <c r="K188" s="4">
        <v>43980</v>
      </c>
      <c r="L188">
        <f t="shared" si="5"/>
        <v>2020</v>
      </c>
      <c r="M188" s="5">
        <v>1567494</v>
      </c>
    </row>
    <row r="189" spans="1:13" ht="15.75" customHeight="1" x14ac:dyDescent="0.25">
      <c r="A189" s="3" t="s">
        <v>59</v>
      </c>
      <c r="B189" s="3" t="s">
        <v>24</v>
      </c>
      <c r="C189" s="3" t="s">
        <v>12</v>
      </c>
      <c r="D189" s="3" t="s">
        <v>25</v>
      </c>
      <c r="E189" s="3" t="s">
        <v>19</v>
      </c>
      <c r="F189" s="3">
        <v>382</v>
      </c>
      <c r="G189" s="4">
        <v>43689</v>
      </c>
      <c r="H189">
        <f t="shared" si="4"/>
        <v>2019</v>
      </c>
      <c r="I189" s="5">
        <v>1562918</v>
      </c>
      <c r="J189" s="3">
        <v>514</v>
      </c>
      <c r="K189" s="4">
        <v>43871</v>
      </c>
      <c r="L189">
        <f t="shared" si="5"/>
        <v>2020</v>
      </c>
      <c r="M189" s="5">
        <v>1562918</v>
      </c>
    </row>
    <row r="190" spans="1:13" ht="15.75" customHeight="1" x14ac:dyDescent="0.25">
      <c r="A190" s="3" t="s">
        <v>59</v>
      </c>
      <c r="B190" s="3" t="s">
        <v>32</v>
      </c>
      <c r="C190" s="3" t="s">
        <v>39</v>
      </c>
      <c r="D190" s="3" t="s">
        <v>40</v>
      </c>
      <c r="E190" s="3" t="s">
        <v>19</v>
      </c>
      <c r="F190" s="3">
        <v>389</v>
      </c>
      <c r="G190" s="4">
        <v>43696</v>
      </c>
      <c r="H190">
        <f t="shared" si="4"/>
        <v>2019</v>
      </c>
      <c r="I190" s="5">
        <v>1522772</v>
      </c>
      <c r="J190" s="3">
        <v>1604</v>
      </c>
      <c r="K190" s="4">
        <v>43980</v>
      </c>
      <c r="L190">
        <f t="shared" si="5"/>
        <v>2020</v>
      </c>
      <c r="M190" s="5">
        <v>1522772</v>
      </c>
    </row>
    <row r="191" spans="1:13" ht="15.75" customHeight="1" x14ac:dyDescent="0.25">
      <c r="A191" s="3" t="s">
        <v>59</v>
      </c>
      <c r="B191" s="3" t="s">
        <v>52</v>
      </c>
      <c r="C191" s="3" t="s">
        <v>12</v>
      </c>
      <c r="D191" s="3" t="s">
        <v>13</v>
      </c>
      <c r="E191" s="3" t="s">
        <v>65</v>
      </c>
      <c r="F191" s="3">
        <v>112</v>
      </c>
      <c r="G191" s="4">
        <v>43893</v>
      </c>
      <c r="H191">
        <f t="shared" si="4"/>
        <v>2020</v>
      </c>
      <c r="I191" s="5">
        <v>1465615</v>
      </c>
      <c r="J191" s="3">
        <v>1786</v>
      </c>
      <c r="K191" s="4">
        <v>44007</v>
      </c>
      <c r="L191">
        <f t="shared" si="5"/>
        <v>2020</v>
      </c>
      <c r="M191" s="5">
        <v>1465615</v>
      </c>
    </row>
    <row r="192" spans="1:13" ht="15.75" customHeight="1" x14ac:dyDescent="0.25">
      <c r="A192" s="3" t="s">
        <v>59</v>
      </c>
      <c r="B192" s="3" t="s">
        <v>52</v>
      </c>
      <c r="C192" s="3" t="s">
        <v>12</v>
      </c>
      <c r="D192" s="3" t="s">
        <v>13</v>
      </c>
      <c r="E192" s="3" t="s">
        <v>65</v>
      </c>
      <c r="F192" s="3">
        <v>110</v>
      </c>
      <c r="G192" s="4">
        <v>43893</v>
      </c>
      <c r="H192">
        <f t="shared" si="4"/>
        <v>2020</v>
      </c>
      <c r="I192" s="5">
        <v>1385582</v>
      </c>
      <c r="J192" s="3">
        <v>1787</v>
      </c>
      <c r="K192" s="4">
        <v>44007</v>
      </c>
      <c r="L192">
        <f t="shared" si="5"/>
        <v>2020</v>
      </c>
      <c r="M192" s="5">
        <v>1385582</v>
      </c>
    </row>
    <row r="193" spans="1:13" ht="15.75" customHeight="1" x14ac:dyDescent="0.25">
      <c r="A193" s="3" t="s">
        <v>59</v>
      </c>
      <c r="B193" s="3" t="s">
        <v>16</v>
      </c>
      <c r="C193" s="3" t="s">
        <v>17</v>
      </c>
      <c r="D193" s="3" t="s">
        <v>18</v>
      </c>
      <c r="E193" s="3" t="s">
        <v>19</v>
      </c>
      <c r="F193" s="3">
        <v>2106</v>
      </c>
      <c r="G193" s="4">
        <v>44057</v>
      </c>
      <c r="H193">
        <f t="shared" si="4"/>
        <v>2020</v>
      </c>
      <c r="I193" s="5">
        <v>1353351</v>
      </c>
      <c r="J193" s="3">
        <v>2362</v>
      </c>
      <c r="K193" s="4">
        <v>44098</v>
      </c>
      <c r="L193">
        <f t="shared" si="5"/>
        <v>2020</v>
      </c>
      <c r="M193" s="5">
        <v>1353351</v>
      </c>
    </row>
    <row r="194" spans="1:13" ht="15.75" customHeight="1" x14ac:dyDescent="0.25">
      <c r="A194" s="3" t="s">
        <v>15</v>
      </c>
      <c r="B194" s="3" t="s">
        <v>32</v>
      </c>
      <c r="C194" s="3" t="s">
        <v>39</v>
      </c>
      <c r="D194" s="3" t="s">
        <v>40</v>
      </c>
      <c r="E194" s="3" t="s">
        <v>58</v>
      </c>
      <c r="F194" s="3">
        <v>50</v>
      </c>
      <c r="G194" s="4">
        <v>43887</v>
      </c>
      <c r="H194">
        <f t="shared" si="4"/>
        <v>2020</v>
      </c>
      <c r="I194" s="5">
        <v>1343733</v>
      </c>
      <c r="J194" s="3">
        <v>1816</v>
      </c>
      <c r="K194" s="4">
        <v>44012</v>
      </c>
      <c r="L194">
        <f t="shared" si="5"/>
        <v>2020</v>
      </c>
      <c r="M194" s="5">
        <v>1343733</v>
      </c>
    </row>
    <row r="195" spans="1:13" ht="15.75" customHeight="1" x14ac:dyDescent="0.25">
      <c r="A195" s="3" t="s">
        <v>57</v>
      </c>
      <c r="B195" s="3" t="s">
        <v>20</v>
      </c>
      <c r="C195" s="3" t="s">
        <v>21</v>
      </c>
      <c r="D195" s="3" t="s">
        <v>22</v>
      </c>
      <c r="E195" s="3" t="s">
        <v>58</v>
      </c>
      <c r="F195" s="3">
        <v>2433</v>
      </c>
      <c r="G195" s="4">
        <v>44106</v>
      </c>
      <c r="H195">
        <f t="shared" ref="H195:H258" si="6">YEAR(G195)</f>
        <v>2020</v>
      </c>
      <c r="I195" s="5">
        <v>1330192</v>
      </c>
      <c r="J195" s="3">
        <v>2742</v>
      </c>
      <c r="K195" s="4">
        <v>44160</v>
      </c>
      <c r="L195">
        <f t="shared" si="5"/>
        <v>2020</v>
      </c>
      <c r="M195" s="5">
        <v>1330192</v>
      </c>
    </row>
    <row r="196" spans="1:13" ht="15.75" customHeight="1" x14ac:dyDescent="0.25">
      <c r="A196" s="3" t="s">
        <v>59</v>
      </c>
      <c r="B196" s="3" t="s">
        <v>45</v>
      </c>
      <c r="C196" s="3" t="s">
        <v>21</v>
      </c>
      <c r="D196" s="3" t="s">
        <v>13</v>
      </c>
      <c r="E196" s="3" t="s">
        <v>19</v>
      </c>
      <c r="F196" s="3">
        <v>3063</v>
      </c>
      <c r="G196" s="4">
        <v>43795</v>
      </c>
      <c r="H196">
        <f t="shared" si="6"/>
        <v>2019</v>
      </c>
      <c r="I196" s="5">
        <v>1319477</v>
      </c>
      <c r="J196" s="3">
        <v>3255</v>
      </c>
      <c r="K196" s="4">
        <v>44195</v>
      </c>
      <c r="L196">
        <f t="shared" ref="L196:L259" si="7">YEAR(K196)</f>
        <v>2020</v>
      </c>
      <c r="M196" s="5">
        <v>1319477</v>
      </c>
    </row>
    <row r="197" spans="1:13" ht="15.75" customHeight="1" x14ac:dyDescent="0.25">
      <c r="A197" s="3" t="s">
        <v>15</v>
      </c>
      <c r="B197" s="3" t="s">
        <v>20</v>
      </c>
      <c r="C197" s="3" t="s">
        <v>12</v>
      </c>
      <c r="D197" s="3" t="s">
        <v>37</v>
      </c>
      <c r="E197" s="3" t="s">
        <v>58</v>
      </c>
      <c r="F197" s="3">
        <v>204</v>
      </c>
      <c r="G197" s="4">
        <v>43656</v>
      </c>
      <c r="H197">
        <f t="shared" si="6"/>
        <v>2019</v>
      </c>
      <c r="I197" s="5">
        <v>1306255</v>
      </c>
      <c r="J197" s="3">
        <v>255</v>
      </c>
      <c r="K197" s="4">
        <v>43858</v>
      </c>
      <c r="L197">
        <f t="shared" si="7"/>
        <v>2020</v>
      </c>
      <c r="M197" s="5">
        <v>1306255</v>
      </c>
    </row>
    <row r="198" spans="1:13" ht="15.75" customHeight="1" x14ac:dyDescent="0.25">
      <c r="A198" s="3" t="s">
        <v>15</v>
      </c>
      <c r="B198" s="3" t="s">
        <v>20</v>
      </c>
      <c r="C198" s="3" t="s">
        <v>12</v>
      </c>
      <c r="D198" s="3" t="s">
        <v>37</v>
      </c>
      <c r="E198" s="3" t="s">
        <v>58</v>
      </c>
      <c r="F198" s="3">
        <v>6</v>
      </c>
      <c r="G198" s="4">
        <v>43843</v>
      </c>
      <c r="H198">
        <f t="shared" si="6"/>
        <v>2020</v>
      </c>
      <c r="I198" s="5">
        <v>1277127</v>
      </c>
      <c r="J198" s="3">
        <v>1750</v>
      </c>
      <c r="K198" s="4">
        <v>44004</v>
      </c>
      <c r="L198">
        <f t="shared" si="7"/>
        <v>2020</v>
      </c>
      <c r="M198" s="5">
        <v>1277127</v>
      </c>
    </row>
    <row r="199" spans="1:13" ht="15.75" customHeight="1" x14ac:dyDescent="0.25">
      <c r="A199" s="3" t="s">
        <v>15</v>
      </c>
      <c r="B199" s="3" t="s">
        <v>24</v>
      </c>
      <c r="C199" s="3" t="s">
        <v>12</v>
      </c>
      <c r="D199" s="3" t="s">
        <v>25</v>
      </c>
      <c r="E199" s="3" t="s">
        <v>58</v>
      </c>
      <c r="F199" s="3">
        <v>51</v>
      </c>
      <c r="G199" s="4">
        <v>43846</v>
      </c>
      <c r="H199">
        <f t="shared" si="6"/>
        <v>2020</v>
      </c>
      <c r="I199" s="5">
        <v>1277127</v>
      </c>
      <c r="J199" s="3">
        <v>1508</v>
      </c>
      <c r="K199" s="4">
        <v>43966</v>
      </c>
      <c r="L199">
        <f t="shared" si="7"/>
        <v>2020</v>
      </c>
      <c r="M199" s="5">
        <v>1277127</v>
      </c>
    </row>
    <row r="200" spans="1:13" ht="15.75" customHeight="1" x14ac:dyDescent="0.25">
      <c r="A200" s="3" t="s">
        <v>15</v>
      </c>
      <c r="B200" s="3" t="s">
        <v>30</v>
      </c>
      <c r="C200" s="3" t="s">
        <v>12</v>
      </c>
      <c r="D200" s="3" t="s">
        <v>31</v>
      </c>
      <c r="E200" s="3" t="s">
        <v>58</v>
      </c>
      <c r="F200" s="3">
        <v>8</v>
      </c>
      <c r="G200" s="4">
        <v>43843</v>
      </c>
      <c r="H200">
        <f t="shared" si="6"/>
        <v>2020</v>
      </c>
      <c r="I200" s="5">
        <v>1277127</v>
      </c>
      <c r="J200" s="3">
        <v>1060</v>
      </c>
      <c r="K200" s="4">
        <v>43916</v>
      </c>
      <c r="L200">
        <f t="shared" si="7"/>
        <v>2020</v>
      </c>
      <c r="M200" s="5">
        <v>1277127</v>
      </c>
    </row>
    <row r="201" spans="1:13" ht="15.75" customHeight="1" x14ac:dyDescent="0.25">
      <c r="A201" s="3" t="s">
        <v>15</v>
      </c>
      <c r="B201" s="3" t="s">
        <v>52</v>
      </c>
      <c r="C201" s="3" t="s">
        <v>12</v>
      </c>
      <c r="D201" s="3" t="s">
        <v>13</v>
      </c>
      <c r="E201" s="3" t="s">
        <v>58</v>
      </c>
      <c r="F201" s="3">
        <v>522</v>
      </c>
      <c r="G201" s="4">
        <v>43655</v>
      </c>
      <c r="H201">
        <f t="shared" si="6"/>
        <v>2019</v>
      </c>
      <c r="I201" s="5">
        <v>1263222</v>
      </c>
      <c r="J201" s="3">
        <v>512</v>
      </c>
      <c r="K201" s="4">
        <v>43871</v>
      </c>
      <c r="L201">
        <f t="shared" si="7"/>
        <v>2020</v>
      </c>
      <c r="M201" s="5">
        <v>1263222</v>
      </c>
    </row>
    <row r="202" spans="1:13" ht="15.75" customHeight="1" x14ac:dyDescent="0.25">
      <c r="A202" s="3" t="s">
        <v>10</v>
      </c>
      <c r="B202" s="3" t="s">
        <v>29</v>
      </c>
      <c r="C202" s="3" t="s">
        <v>21</v>
      </c>
      <c r="D202" s="3" t="s">
        <v>41</v>
      </c>
      <c r="E202" s="3" t="s">
        <v>19</v>
      </c>
      <c r="F202" s="3">
        <v>3563</v>
      </c>
      <c r="G202" s="4">
        <v>43830</v>
      </c>
      <c r="H202">
        <f t="shared" si="6"/>
        <v>2019</v>
      </c>
      <c r="I202" s="5">
        <v>1260881</v>
      </c>
      <c r="J202" s="3">
        <v>349</v>
      </c>
      <c r="K202" s="4">
        <v>43861</v>
      </c>
      <c r="L202">
        <f t="shared" si="7"/>
        <v>2020</v>
      </c>
      <c r="M202" s="5">
        <v>1260881</v>
      </c>
    </row>
    <row r="203" spans="1:13" ht="15.75" customHeight="1" x14ac:dyDescent="0.25">
      <c r="A203" s="3" t="s">
        <v>15</v>
      </c>
      <c r="B203" s="3" t="s">
        <v>52</v>
      </c>
      <c r="C203" s="3" t="s">
        <v>12</v>
      </c>
      <c r="D203" s="3" t="s">
        <v>13</v>
      </c>
      <c r="E203" s="3" t="s">
        <v>36</v>
      </c>
      <c r="F203" s="3">
        <v>100</v>
      </c>
      <c r="G203" s="4">
        <v>43886</v>
      </c>
      <c r="H203">
        <f t="shared" si="6"/>
        <v>2020</v>
      </c>
      <c r="I203" s="5">
        <v>1241086</v>
      </c>
      <c r="J203" s="3">
        <v>1478</v>
      </c>
      <c r="K203" s="4">
        <v>43966</v>
      </c>
      <c r="L203">
        <f t="shared" si="7"/>
        <v>2020</v>
      </c>
      <c r="M203" s="5">
        <v>1241086</v>
      </c>
    </row>
    <row r="204" spans="1:13" ht="15.75" customHeight="1" x14ac:dyDescent="0.25">
      <c r="A204" s="3" t="s">
        <v>59</v>
      </c>
      <c r="B204" s="3" t="s">
        <v>30</v>
      </c>
      <c r="C204" s="3" t="s">
        <v>12</v>
      </c>
      <c r="D204" s="3" t="s">
        <v>31</v>
      </c>
      <c r="E204" s="3" t="s">
        <v>19</v>
      </c>
      <c r="F204" s="3">
        <v>160</v>
      </c>
      <c r="G204" s="4">
        <v>43636</v>
      </c>
      <c r="H204">
        <f t="shared" si="6"/>
        <v>2019</v>
      </c>
      <c r="I204" s="5">
        <v>1227188</v>
      </c>
      <c r="J204" s="3">
        <v>2245</v>
      </c>
      <c r="K204" s="4">
        <v>44081</v>
      </c>
      <c r="L204">
        <f t="shared" si="7"/>
        <v>2020</v>
      </c>
      <c r="M204" s="5">
        <v>1227188</v>
      </c>
    </row>
    <row r="205" spans="1:13" ht="15.75" customHeight="1" x14ac:dyDescent="0.25">
      <c r="A205" s="3" t="s">
        <v>59</v>
      </c>
      <c r="B205" s="3" t="s">
        <v>20</v>
      </c>
      <c r="C205" s="3" t="s">
        <v>12</v>
      </c>
      <c r="D205" s="3" t="s">
        <v>37</v>
      </c>
      <c r="E205" s="3" t="s">
        <v>19</v>
      </c>
      <c r="F205" s="3">
        <v>176</v>
      </c>
      <c r="G205" s="4">
        <v>43642</v>
      </c>
      <c r="H205">
        <f t="shared" si="6"/>
        <v>2019</v>
      </c>
      <c r="I205" s="5">
        <v>1562540</v>
      </c>
      <c r="J205" s="3">
        <v>704</v>
      </c>
      <c r="K205" s="4">
        <v>43886</v>
      </c>
      <c r="L205">
        <f t="shared" si="7"/>
        <v>2020</v>
      </c>
      <c r="M205" s="5">
        <v>1194035</v>
      </c>
    </row>
    <row r="206" spans="1:13" ht="15.75" customHeight="1" x14ac:dyDescent="0.25">
      <c r="A206" s="3" t="s">
        <v>59</v>
      </c>
      <c r="B206" s="3" t="s">
        <v>52</v>
      </c>
      <c r="C206" s="3" t="s">
        <v>12</v>
      </c>
      <c r="D206" s="3" t="s">
        <v>13</v>
      </c>
      <c r="E206" s="3" t="s">
        <v>65</v>
      </c>
      <c r="F206" s="3">
        <v>791</v>
      </c>
      <c r="G206" s="4">
        <v>43754</v>
      </c>
      <c r="H206">
        <f t="shared" si="6"/>
        <v>2019</v>
      </c>
      <c r="I206" s="5">
        <v>1117498</v>
      </c>
      <c r="J206" s="3">
        <v>346</v>
      </c>
      <c r="K206" s="4">
        <v>43861</v>
      </c>
      <c r="L206">
        <f t="shared" si="7"/>
        <v>2020</v>
      </c>
      <c r="M206" s="5">
        <v>1117498</v>
      </c>
    </row>
    <row r="207" spans="1:13" ht="15.75" customHeight="1" x14ac:dyDescent="0.25">
      <c r="A207" s="3" t="s">
        <v>10</v>
      </c>
      <c r="B207" s="3" t="s">
        <v>52</v>
      </c>
      <c r="C207" s="3" t="s">
        <v>12</v>
      </c>
      <c r="D207" s="3" t="s">
        <v>13</v>
      </c>
      <c r="E207" s="3" t="s">
        <v>65</v>
      </c>
      <c r="F207" s="3">
        <v>707</v>
      </c>
      <c r="G207" s="4">
        <v>43707</v>
      </c>
      <c r="H207">
        <f t="shared" si="6"/>
        <v>2019</v>
      </c>
      <c r="I207" s="5">
        <v>1115274</v>
      </c>
      <c r="J207" s="3">
        <v>267</v>
      </c>
      <c r="K207" s="4">
        <v>43858</v>
      </c>
      <c r="L207">
        <f t="shared" si="7"/>
        <v>2020</v>
      </c>
      <c r="M207" s="5">
        <v>1115274</v>
      </c>
    </row>
    <row r="208" spans="1:13" ht="15.75" customHeight="1" x14ac:dyDescent="0.25">
      <c r="A208" s="3" t="s">
        <v>15</v>
      </c>
      <c r="B208" s="3" t="s">
        <v>55</v>
      </c>
      <c r="C208" s="3" t="s">
        <v>56</v>
      </c>
      <c r="D208" s="3" t="s">
        <v>25</v>
      </c>
      <c r="E208" s="3" t="s">
        <v>19</v>
      </c>
      <c r="F208" s="3">
        <v>2065</v>
      </c>
      <c r="G208" s="4">
        <v>44053</v>
      </c>
      <c r="H208">
        <f t="shared" si="6"/>
        <v>2020</v>
      </c>
      <c r="I208" s="5">
        <v>1101712</v>
      </c>
      <c r="J208" s="3">
        <v>2256</v>
      </c>
      <c r="K208" s="4">
        <v>44084</v>
      </c>
      <c r="L208">
        <f t="shared" si="7"/>
        <v>2020</v>
      </c>
      <c r="M208" s="5">
        <v>1101712</v>
      </c>
    </row>
    <row r="209" spans="1:13" ht="15.75" customHeight="1" x14ac:dyDescent="0.25">
      <c r="A209" s="3" t="s">
        <v>59</v>
      </c>
      <c r="B209" s="3" t="s">
        <v>30</v>
      </c>
      <c r="C209" s="3" t="s">
        <v>12</v>
      </c>
      <c r="D209" s="3" t="s">
        <v>31</v>
      </c>
      <c r="E209" s="3" t="s">
        <v>19</v>
      </c>
      <c r="F209" s="3">
        <v>205</v>
      </c>
      <c r="G209" s="4">
        <v>43691</v>
      </c>
      <c r="H209">
        <f t="shared" si="6"/>
        <v>2019</v>
      </c>
      <c r="I209" s="5">
        <v>1097162</v>
      </c>
      <c r="J209" s="3">
        <v>2248</v>
      </c>
      <c r="K209" s="4">
        <v>44081</v>
      </c>
      <c r="L209">
        <f t="shared" si="7"/>
        <v>2020</v>
      </c>
      <c r="M209" s="5">
        <v>1097162</v>
      </c>
    </row>
    <row r="210" spans="1:13" ht="15.75" customHeight="1" x14ac:dyDescent="0.25">
      <c r="A210" s="3" t="s">
        <v>15</v>
      </c>
      <c r="B210" s="3" t="s">
        <v>52</v>
      </c>
      <c r="C210" s="3" t="s">
        <v>12</v>
      </c>
      <c r="D210" s="3" t="s">
        <v>13</v>
      </c>
      <c r="E210" s="3" t="s">
        <v>23</v>
      </c>
      <c r="F210" s="3">
        <v>662</v>
      </c>
      <c r="G210" s="4">
        <v>43699</v>
      </c>
      <c r="H210">
        <f t="shared" si="6"/>
        <v>2019</v>
      </c>
      <c r="I210" s="5">
        <v>1090535</v>
      </c>
      <c r="J210" s="3">
        <v>1186</v>
      </c>
      <c r="K210" s="4">
        <v>43930</v>
      </c>
      <c r="L210">
        <f t="shared" si="7"/>
        <v>2020</v>
      </c>
      <c r="M210" s="5">
        <v>1090535</v>
      </c>
    </row>
    <row r="211" spans="1:13" ht="15.75" customHeight="1" x14ac:dyDescent="0.25">
      <c r="A211" s="3" t="s">
        <v>15</v>
      </c>
      <c r="B211" s="3" t="s">
        <v>62</v>
      </c>
      <c r="C211" s="3" t="s">
        <v>17</v>
      </c>
      <c r="D211" s="3" t="s">
        <v>13</v>
      </c>
      <c r="E211" s="3" t="s">
        <v>14</v>
      </c>
      <c r="F211" s="3">
        <v>123</v>
      </c>
      <c r="G211" s="4">
        <v>43851</v>
      </c>
      <c r="H211">
        <f t="shared" si="6"/>
        <v>2020</v>
      </c>
      <c r="I211" s="5">
        <f>21*49673</f>
        <v>1043133</v>
      </c>
      <c r="J211" s="3">
        <v>2549</v>
      </c>
      <c r="K211" s="4">
        <v>44124</v>
      </c>
      <c r="L211">
        <f t="shared" si="7"/>
        <v>2020</v>
      </c>
      <c r="M211" s="5">
        <f>21*50372</f>
        <v>1057812</v>
      </c>
    </row>
    <row r="212" spans="1:13" ht="15.75" customHeight="1" x14ac:dyDescent="0.25">
      <c r="A212" s="3" t="s">
        <v>15</v>
      </c>
      <c r="B212" s="3" t="s">
        <v>33</v>
      </c>
      <c r="C212" s="3" t="s">
        <v>12</v>
      </c>
      <c r="D212" s="3" t="s">
        <v>37</v>
      </c>
      <c r="E212" s="3" t="s">
        <v>36</v>
      </c>
      <c r="F212" s="3">
        <v>34</v>
      </c>
      <c r="G212" s="4">
        <v>43875</v>
      </c>
      <c r="H212">
        <f t="shared" si="6"/>
        <v>2020</v>
      </c>
      <c r="I212" s="5">
        <v>1051641</v>
      </c>
      <c r="J212" s="3">
        <v>2017</v>
      </c>
      <c r="K212" s="4">
        <v>44043</v>
      </c>
      <c r="L212">
        <f t="shared" si="7"/>
        <v>2020</v>
      </c>
      <c r="M212" s="5">
        <v>1051641</v>
      </c>
    </row>
    <row r="213" spans="1:13" ht="15.75" customHeight="1" x14ac:dyDescent="0.25">
      <c r="A213" s="3" t="s">
        <v>15</v>
      </c>
      <c r="B213" s="3" t="s">
        <v>48</v>
      </c>
      <c r="C213" s="3" t="s">
        <v>12</v>
      </c>
      <c r="D213" s="3" t="s">
        <v>13</v>
      </c>
      <c r="E213" s="3" t="s">
        <v>36</v>
      </c>
      <c r="F213" s="3">
        <v>70</v>
      </c>
      <c r="G213" s="4">
        <v>43158</v>
      </c>
      <c r="H213">
        <f t="shared" si="6"/>
        <v>2018</v>
      </c>
      <c r="I213" s="5">
        <v>1015214</v>
      </c>
      <c r="J213" s="3">
        <v>1496</v>
      </c>
      <c r="K213" s="4">
        <v>43966</v>
      </c>
      <c r="L213">
        <f t="shared" si="7"/>
        <v>2020</v>
      </c>
      <c r="M213" s="5">
        <v>1015214</v>
      </c>
    </row>
    <row r="214" spans="1:13" ht="15.75" customHeight="1" x14ac:dyDescent="0.25">
      <c r="A214" s="3" t="s">
        <v>15</v>
      </c>
      <c r="B214" s="3" t="s">
        <v>63</v>
      </c>
      <c r="C214" s="3" t="s">
        <v>17</v>
      </c>
      <c r="D214" s="3" t="s">
        <v>13</v>
      </c>
      <c r="E214" s="3" t="s">
        <v>64</v>
      </c>
      <c r="F214" s="3">
        <v>684</v>
      </c>
      <c r="G214" s="4">
        <v>43886</v>
      </c>
      <c r="H214">
        <f t="shared" si="6"/>
        <v>2020</v>
      </c>
      <c r="I214" s="5">
        <v>1007440</v>
      </c>
      <c r="J214" s="3">
        <v>1744</v>
      </c>
      <c r="K214" s="4">
        <v>44004</v>
      </c>
      <c r="L214">
        <f t="shared" si="7"/>
        <v>2020</v>
      </c>
      <c r="M214" s="5">
        <v>1007440</v>
      </c>
    </row>
    <row r="215" spans="1:13" ht="15.75" customHeight="1" x14ac:dyDescent="0.25">
      <c r="A215" s="3" t="s">
        <v>15</v>
      </c>
      <c r="B215" s="3" t="s">
        <v>53</v>
      </c>
      <c r="C215" s="3" t="s">
        <v>17</v>
      </c>
      <c r="D215" s="3" t="s">
        <v>13</v>
      </c>
      <c r="E215" s="3" t="s">
        <v>64</v>
      </c>
      <c r="F215" s="3">
        <v>683</v>
      </c>
      <c r="G215" s="4">
        <v>43886</v>
      </c>
      <c r="H215">
        <f t="shared" si="6"/>
        <v>2020</v>
      </c>
      <c r="I215" s="5">
        <v>1007440</v>
      </c>
      <c r="J215" s="3">
        <v>1743</v>
      </c>
      <c r="K215" s="4">
        <v>44004</v>
      </c>
      <c r="L215">
        <f t="shared" si="7"/>
        <v>2020</v>
      </c>
      <c r="M215" s="5">
        <v>1007440</v>
      </c>
    </row>
    <row r="216" spans="1:13" ht="15.75" customHeight="1" x14ac:dyDescent="0.25">
      <c r="A216" s="3" t="s">
        <v>15</v>
      </c>
      <c r="B216" s="3" t="s">
        <v>26</v>
      </c>
      <c r="C216" s="3" t="s">
        <v>12</v>
      </c>
      <c r="D216" s="3" t="s">
        <v>13</v>
      </c>
      <c r="E216" s="3" t="s">
        <v>58</v>
      </c>
      <c r="F216" s="3">
        <v>523</v>
      </c>
      <c r="G216" s="4">
        <v>43655</v>
      </c>
      <c r="H216">
        <f t="shared" si="6"/>
        <v>2019</v>
      </c>
      <c r="I216" s="5">
        <v>982506</v>
      </c>
      <c r="J216" s="3">
        <v>2336</v>
      </c>
      <c r="K216" s="4">
        <v>44095</v>
      </c>
      <c r="L216">
        <f t="shared" si="7"/>
        <v>2020</v>
      </c>
      <c r="M216" s="5">
        <v>982506</v>
      </c>
    </row>
    <row r="217" spans="1:13" ht="15.75" customHeight="1" x14ac:dyDescent="0.25">
      <c r="A217" s="3" t="s">
        <v>15</v>
      </c>
      <c r="B217" s="3" t="s">
        <v>33</v>
      </c>
      <c r="C217" s="3" t="s">
        <v>12</v>
      </c>
      <c r="D217" s="3" t="s">
        <v>25</v>
      </c>
      <c r="E217" s="3" t="s">
        <v>58</v>
      </c>
      <c r="F217" s="3">
        <v>312</v>
      </c>
      <c r="G217" s="4">
        <v>43644</v>
      </c>
      <c r="H217">
        <f t="shared" si="6"/>
        <v>2019</v>
      </c>
      <c r="I217" s="5">
        <v>979587</v>
      </c>
      <c r="J217" s="3">
        <v>258</v>
      </c>
      <c r="K217" s="4">
        <v>43858</v>
      </c>
      <c r="L217">
        <f t="shared" si="7"/>
        <v>2020</v>
      </c>
      <c r="M217" s="5">
        <v>979587</v>
      </c>
    </row>
    <row r="218" spans="1:13" ht="15.75" customHeight="1" x14ac:dyDescent="0.25">
      <c r="A218" s="3" t="s">
        <v>15</v>
      </c>
      <c r="B218" s="3" t="s">
        <v>29</v>
      </c>
      <c r="C218" s="3" t="s">
        <v>39</v>
      </c>
      <c r="D218" s="3" t="s">
        <v>40</v>
      </c>
      <c r="E218" s="3" t="s">
        <v>58</v>
      </c>
      <c r="F218" s="3">
        <v>52</v>
      </c>
      <c r="G218" s="4">
        <v>43887</v>
      </c>
      <c r="H218">
        <f t="shared" si="6"/>
        <v>2020</v>
      </c>
      <c r="I218" s="5">
        <v>960320</v>
      </c>
      <c r="J218" s="3">
        <v>1815</v>
      </c>
      <c r="K218" s="4">
        <v>44012</v>
      </c>
      <c r="L218">
        <f t="shared" si="7"/>
        <v>2020</v>
      </c>
      <c r="M218" s="5">
        <v>960320</v>
      </c>
    </row>
    <row r="219" spans="1:13" ht="15.75" customHeight="1" x14ac:dyDescent="0.25">
      <c r="A219" s="3" t="s">
        <v>10</v>
      </c>
      <c r="B219" s="3" t="s">
        <v>42</v>
      </c>
      <c r="C219" s="3" t="s">
        <v>21</v>
      </c>
      <c r="D219" s="3" t="s">
        <v>22</v>
      </c>
      <c r="E219" s="3" t="s">
        <v>19</v>
      </c>
      <c r="F219" s="3">
        <v>3052</v>
      </c>
      <c r="G219" s="4">
        <v>43795</v>
      </c>
      <c r="H219">
        <f t="shared" si="6"/>
        <v>2019</v>
      </c>
      <c r="I219" s="5">
        <v>959573</v>
      </c>
      <c r="J219" s="3">
        <v>3249</v>
      </c>
      <c r="K219" s="4">
        <v>44195</v>
      </c>
      <c r="L219">
        <f t="shared" si="7"/>
        <v>2020</v>
      </c>
      <c r="M219" s="5">
        <v>959573</v>
      </c>
    </row>
    <row r="220" spans="1:13" ht="15.75" customHeight="1" x14ac:dyDescent="0.25">
      <c r="A220" s="3" t="s">
        <v>15</v>
      </c>
      <c r="B220" s="3" t="s">
        <v>33</v>
      </c>
      <c r="C220" s="3" t="s">
        <v>12</v>
      </c>
      <c r="D220" s="3" t="s">
        <v>25</v>
      </c>
      <c r="E220" s="3" t="s">
        <v>58</v>
      </c>
      <c r="F220" s="3">
        <v>310</v>
      </c>
      <c r="G220" s="4">
        <v>43644</v>
      </c>
      <c r="H220">
        <f t="shared" si="6"/>
        <v>2019</v>
      </c>
      <c r="I220" s="5">
        <v>951636</v>
      </c>
      <c r="J220" s="3">
        <v>259</v>
      </c>
      <c r="K220" s="4">
        <v>43858</v>
      </c>
      <c r="L220">
        <f t="shared" si="7"/>
        <v>2020</v>
      </c>
      <c r="M220" s="5">
        <v>951636</v>
      </c>
    </row>
    <row r="221" spans="1:13" ht="15.75" customHeight="1" x14ac:dyDescent="0.25">
      <c r="A221" s="3" t="s">
        <v>15</v>
      </c>
      <c r="B221" s="3" t="s">
        <v>30</v>
      </c>
      <c r="C221" s="3" t="s">
        <v>12</v>
      </c>
      <c r="D221" s="3" t="s">
        <v>35</v>
      </c>
      <c r="E221" s="3" t="s">
        <v>36</v>
      </c>
      <c r="F221" s="3">
        <v>31</v>
      </c>
      <c r="G221" s="4">
        <v>42752</v>
      </c>
      <c r="H221">
        <f t="shared" si="6"/>
        <v>2017</v>
      </c>
      <c r="I221" s="5">
        <v>997160</v>
      </c>
      <c r="J221" s="3">
        <v>1937</v>
      </c>
      <c r="K221" s="4">
        <v>44039</v>
      </c>
      <c r="L221">
        <f t="shared" si="7"/>
        <v>2020</v>
      </c>
      <c r="M221" s="5">
        <v>948619</v>
      </c>
    </row>
    <row r="222" spans="1:13" ht="15.75" customHeight="1" x14ac:dyDescent="0.25">
      <c r="A222" s="3" t="s">
        <v>10</v>
      </c>
      <c r="B222" s="3" t="s">
        <v>24</v>
      </c>
      <c r="C222" s="3" t="s">
        <v>12</v>
      </c>
      <c r="D222" s="3" t="s">
        <v>25</v>
      </c>
      <c r="E222" s="3" t="s">
        <v>19</v>
      </c>
      <c r="F222" s="3">
        <v>381</v>
      </c>
      <c r="G222" s="4">
        <v>43689</v>
      </c>
      <c r="H222">
        <f t="shared" si="6"/>
        <v>2019</v>
      </c>
      <c r="I222" s="5">
        <v>918814</v>
      </c>
      <c r="J222" s="3">
        <v>510</v>
      </c>
      <c r="K222" s="4">
        <v>43871</v>
      </c>
      <c r="L222">
        <f t="shared" si="7"/>
        <v>2020</v>
      </c>
      <c r="M222" s="5">
        <v>918814</v>
      </c>
    </row>
    <row r="223" spans="1:13" ht="15.75" customHeight="1" x14ac:dyDescent="0.25">
      <c r="A223" s="3" t="s">
        <v>15</v>
      </c>
      <c r="B223" s="3" t="s">
        <v>30</v>
      </c>
      <c r="C223" s="3" t="s">
        <v>12</v>
      </c>
      <c r="D223" s="3" t="s">
        <v>44</v>
      </c>
      <c r="E223" s="3" t="s">
        <v>23</v>
      </c>
      <c r="F223" s="3">
        <v>93</v>
      </c>
      <c r="G223" s="4">
        <v>43962</v>
      </c>
      <c r="H223">
        <f t="shared" si="6"/>
        <v>2020</v>
      </c>
      <c r="I223" s="5">
        <v>906785</v>
      </c>
      <c r="J223" s="3">
        <v>2003</v>
      </c>
      <c r="K223" s="4">
        <v>44043</v>
      </c>
      <c r="L223">
        <f t="shared" si="7"/>
        <v>2020</v>
      </c>
      <c r="M223" s="5">
        <v>906785</v>
      </c>
    </row>
    <row r="224" spans="1:13" ht="15.75" customHeight="1" x14ac:dyDescent="0.25">
      <c r="A224" s="3" t="s">
        <v>59</v>
      </c>
      <c r="B224" s="3" t="s">
        <v>24</v>
      </c>
      <c r="C224" s="3" t="s">
        <v>12</v>
      </c>
      <c r="D224" s="3" t="s">
        <v>25</v>
      </c>
      <c r="E224" s="3" t="s">
        <v>19</v>
      </c>
      <c r="F224" s="3">
        <v>281</v>
      </c>
      <c r="G224" s="4">
        <v>43630</v>
      </c>
      <c r="H224">
        <f t="shared" si="6"/>
        <v>2019</v>
      </c>
      <c r="I224" s="5">
        <v>897267</v>
      </c>
      <c r="J224" s="3">
        <v>515</v>
      </c>
      <c r="K224" s="4">
        <v>43871</v>
      </c>
      <c r="L224">
        <f t="shared" si="7"/>
        <v>2020</v>
      </c>
      <c r="M224" s="5">
        <v>897267</v>
      </c>
    </row>
    <row r="225" spans="1:13" ht="15.75" customHeight="1" x14ac:dyDescent="0.25">
      <c r="A225" s="3" t="s">
        <v>15</v>
      </c>
      <c r="B225" s="3" t="s">
        <v>48</v>
      </c>
      <c r="C225" s="3" t="s">
        <v>12</v>
      </c>
      <c r="D225" s="3" t="s">
        <v>13</v>
      </c>
      <c r="E225" s="3" t="s">
        <v>36</v>
      </c>
      <c r="F225" s="3">
        <v>206</v>
      </c>
      <c r="G225" s="4">
        <v>42765</v>
      </c>
      <c r="H225">
        <f t="shared" si="6"/>
        <v>2017</v>
      </c>
      <c r="I225" s="5">
        <v>880201</v>
      </c>
      <c r="J225" s="3">
        <v>1681</v>
      </c>
      <c r="K225" s="4">
        <v>43993</v>
      </c>
      <c r="L225">
        <f t="shared" si="7"/>
        <v>2020</v>
      </c>
      <c r="M225" s="5">
        <v>880201</v>
      </c>
    </row>
    <row r="226" spans="1:13" ht="15.75" customHeight="1" x14ac:dyDescent="0.25">
      <c r="A226" s="3" t="s">
        <v>15</v>
      </c>
      <c r="B226" s="3" t="s">
        <v>50</v>
      </c>
      <c r="C226" s="3" t="s">
        <v>21</v>
      </c>
      <c r="D226" s="3" t="s">
        <v>13</v>
      </c>
      <c r="E226" s="3" t="s">
        <v>23</v>
      </c>
      <c r="F226" s="3">
        <v>276</v>
      </c>
      <c r="G226" s="4">
        <v>43859</v>
      </c>
      <c r="H226">
        <f t="shared" si="6"/>
        <v>2020</v>
      </c>
      <c r="I226" s="5">
        <v>863268</v>
      </c>
      <c r="J226" s="3">
        <v>1975</v>
      </c>
      <c r="K226" s="4">
        <v>44043</v>
      </c>
      <c r="L226">
        <f t="shared" si="7"/>
        <v>2020</v>
      </c>
      <c r="M226" s="5">
        <v>863268</v>
      </c>
    </row>
    <row r="227" spans="1:13" ht="15.75" customHeight="1" x14ac:dyDescent="0.25">
      <c r="A227" s="3" t="s">
        <v>59</v>
      </c>
      <c r="B227" s="3" t="s">
        <v>11</v>
      </c>
      <c r="C227" s="3" t="s">
        <v>12</v>
      </c>
      <c r="D227" s="3" t="s">
        <v>13</v>
      </c>
      <c r="E227" s="3" t="s">
        <v>14</v>
      </c>
      <c r="F227" s="3">
        <v>371</v>
      </c>
      <c r="G227" s="4">
        <v>43608</v>
      </c>
      <c r="H227">
        <f t="shared" si="6"/>
        <v>2019</v>
      </c>
      <c r="I227" s="5">
        <v>904838</v>
      </c>
      <c r="J227" s="3">
        <v>1964</v>
      </c>
      <c r="K227" s="4">
        <v>44040</v>
      </c>
      <c r="L227">
        <f t="shared" si="7"/>
        <v>2020</v>
      </c>
      <c r="M227" s="5">
        <v>853327</v>
      </c>
    </row>
    <row r="228" spans="1:13" ht="15.75" customHeight="1" x14ac:dyDescent="0.25">
      <c r="A228" s="3" t="s">
        <v>15</v>
      </c>
      <c r="B228" s="3" t="s">
        <v>11</v>
      </c>
      <c r="C228" s="3" t="s">
        <v>12</v>
      </c>
      <c r="D228" s="3" t="s">
        <v>13</v>
      </c>
      <c r="E228" s="3" t="s">
        <v>36</v>
      </c>
      <c r="F228" s="3">
        <v>744</v>
      </c>
      <c r="G228" s="4">
        <v>43378</v>
      </c>
      <c r="H228">
        <f t="shared" si="6"/>
        <v>2018</v>
      </c>
      <c r="I228" s="5">
        <v>1909595</v>
      </c>
      <c r="J228" s="3">
        <v>1986</v>
      </c>
      <c r="K228" s="4">
        <v>44043</v>
      </c>
      <c r="L228">
        <f t="shared" si="7"/>
        <v>2020</v>
      </c>
      <c r="M228" s="5">
        <v>853243</v>
      </c>
    </row>
    <row r="229" spans="1:13" ht="15.75" customHeight="1" x14ac:dyDescent="0.25">
      <c r="A229" s="3" t="s">
        <v>59</v>
      </c>
      <c r="B229" s="3" t="s">
        <v>30</v>
      </c>
      <c r="C229" s="3" t="s">
        <v>12</v>
      </c>
      <c r="D229" s="3" t="s">
        <v>31</v>
      </c>
      <c r="E229" s="3" t="s">
        <v>14</v>
      </c>
      <c r="F229" s="3">
        <v>121</v>
      </c>
      <c r="G229" s="4">
        <v>43600</v>
      </c>
      <c r="H229">
        <f t="shared" si="6"/>
        <v>2019</v>
      </c>
      <c r="I229" s="5">
        <v>842641</v>
      </c>
      <c r="J229" s="3">
        <v>2192</v>
      </c>
      <c r="K229" s="4">
        <v>44071</v>
      </c>
      <c r="L229">
        <f t="shared" si="7"/>
        <v>2020</v>
      </c>
      <c r="M229" s="5">
        <v>842641</v>
      </c>
    </row>
    <row r="230" spans="1:13" ht="15.75" customHeight="1" x14ac:dyDescent="0.25">
      <c r="A230" s="3" t="s">
        <v>10</v>
      </c>
      <c r="B230" s="3" t="s">
        <v>52</v>
      </c>
      <c r="C230" s="3" t="s">
        <v>12</v>
      </c>
      <c r="D230" s="3" t="s">
        <v>13</v>
      </c>
      <c r="E230" s="3" t="s">
        <v>65</v>
      </c>
      <c r="F230" s="3">
        <v>710</v>
      </c>
      <c r="G230" s="4">
        <v>43707</v>
      </c>
      <c r="H230">
        <f t="shared" si="6"/>
        <v>2019</v>
      </c>
      <c r="I230" s="5">
        <v>810662</v>
      </c>
      <c r="J230" s="3">
        <v>238</v>
      </c>
      <c r="K230" s="4">
        <v>43858</v>
      </c>
      <c r="L230">
        <f t="shared" si="7"/>
        <v>2020</v>
      </c>
      <c r="M230" s="5">
        <v>810662</v>
      </c>
    </row>
    <row r="231" spans="1:13" ht="15.75" customHeight="1" x14ac:dyDescent="0.25">
      <c r="A231" s="3" t="s">
        <v>57</v>
      </c>
      <c r="B231" s="3" t="s">
        <v>42</v>
      </c>
      <c r="C231" s="3" t="s">
        <v>21</v>
      </c>
      <c r="D231" s="3" t="s">
        <v>22</v>
      </c>
      <c r="E231" s="3" t="s">
        <v>58</v>
      </c>
      <c r="F231" s="3">
        <v>2435</v>
      </c>
      <c r="G231" s="4">
        <v>44106</v>
      </c>
      <c r="H231">
        <f t="shared" si="6"/>
        <v>2020</v>
      </c>
      <c r="I231" s="5">
        <v>798115</v>
      </c>
      <c r="J231" s="3">
        <v>2810</v>
      </c>
      <c r="K231" s="4">
        <v>44165</v>
      </c>
      <c r="L231">
        <f t="shared" si="7"/>
        <v>2020</v>
      </c>
      <c r="M231" s="5">
        <v>798115</v>
      </c>
    </row>
    <row r="232" spans="1:13" ht="15.75" customHeight="1" x14ac:dyDescent="0.25">
      <c r="A232" s="3" t="s">
        <v>15</v>
      </c>
      <c r="B232" s="3" t="s">
        <v>51</v>
      </c>
      <c r="C232" s="3" t="s">
        <v>17</v>
      </c>
      <c r="D232" s="3" t="s">
        <v>13</v>
      </c>
      <c r="E232" s="3" t="s">
        <v>47</v>
      </c>
      <c r="F232" s="3">
        <v>169</v>
      </c>
      <c r="G232" s="4">
        <v>43851</v>
      </c>
      <c r="H232">
        <f t="shared" si="6"/>
        <v>2020</v>
      </c>
      <c r="I232" s="5">
        <f>15.75*49673</f>
        <v>782349.75</v>
      </c>
      <c r="J232" s="3">
        <v>1951</v>
      </c>
      <c r="K232" s="4">
        <v>44040</v>
      </c>
      <c r="L232">
        <f t="shared" si="7"/>
        <v>2020</v>
      </c>
      <c r="M232" s="5">
        <f>15.75*50322</f>
        <v>792571.5</v>
      </c>
    </row>
    <row r="233" spans="1:13" ht="15.75" customHeight="1" x14ac:dyDescent="0.25">
      <c r="A233" s="3" t="s">
        <v>10</v>
      </c>
      <c r="B233" s="3" t="s">
        <v>20</v>
      </c>
      <c r="C233" s="3" t="s">
        <v>21</v>
      </c>
      <c r="D233" s="3" t="s">
        <v>22</v>
      </c>
      <c r="E233" s="3" t="s">
        <v>19</v>
      </c>
      <c r="F233" s="3">
        <v>3050</v>
      </c>
      <c r="G233" s="4">
        <v>43795</v>
      </c>
      <c r="H233">
        <f t="shared" si="6"/>
        <v>2019</v>
      </c>
      <c r="I233" s="5">
        <v>784406</v>
      </c>
      <c r="J233" s="3">
        <v>2641</v>
      </c>
      <c r="K233" s="4">
        <v>44139</v>
      </c>
      <c r="L233">
        <f t="shared" si="7"/>
        <v>2020</v>
      </c>
      <c r="M233" s="5">
        <v>784406</v>
      </c>
    </row>
    <row r="234" spans="1:13" ht="15.75" customHeight="1" x14ac:dyDescent="0.25">
      <c r="A234" s="3" t="s">
        <v>15</v>
      </c>
      <c r="B234" s="3" t="s">
        <v>62</v>
      </c>
      <c r="C234" s="3" t="s">
        <v>17</v>
      </c>
      <c r="D234" s="3" t="s">
        <v>13</v>
      </c>
      <c r="E234" s="3" t="s">
        <v>64</v>
      </c>
      <c r="F234" s="3">
        <v>686</v>
      </c>
      <c r="G234" s="4">
        <v>43886</v>
      </c>
      <c r="H234">
        <f t="shared" si="6"/>
        <v>2020</v>
      </c>
      <c r="I234" s="5">
        <v>755580</v>
      </c>
      <c r="J234" s="3">
        <v>1758</v>
      </c>
      <c r="K234" s="4">
        <v>44004</v>
      </c>
      <c r="L234">
        <f t="shared" si="7"/>
        <v>2020</v>
      </c>
      <c r="M234" s="5">
        <v>755580</v>
      </c>
    </row>
    <row r="235" spans="1:13" ht="15.75" customHeight="1" x14ac:dyDescent="0.25">
      <c r="A235" s="3" t="s">
        <v>10</v>
      </c>
      <c r="B235" s="3" t="s">
        <v>16</v>
      </c>
      <c r="C235" s="3" t="s">
        <v>17</v>
      </c>
      <c r="D235" s="3" t="s">
        <v>18</v>
      </c>
      <c r="E235" s="3" t="s">
        <v>19</v>
      </c>
      <c r="F235" s="3">
        <v>2107</v>
      </c>
      <c r="G235" s="4">
        <v>44057</v>
      </c>
      <c r="H235">
        <f t="shared" si="6"/>
        <v>2020</v>
      </c>
      <c r="I235" s="5">
        <v>748362</v>
      </c>
      <c r="J235" s="3">
        <v>2364</v>
      </c>
      <c r="K235" s="4">
        <v>44098</v>
      </c>
      <c r="L235">
        <f t="shared" si="7"/>
        <v>2020</v>
      </c>
      <c r="M235" s="5">
        <v>748362</v>
      </c>
    </row>
    <row r="236" spans="1:13" ht="15.75" customHeight="1" x14ac:dyDescent="0.25">
      <c r="A236" s="3" t="s">
        <v>10</v>
      </c>
      <c r="B236" s="3" t="s">
        <v>32</v>
      </c>
      <c r="C236" s="3" t="s">
        <v>39</v>
      </c>
      <c r="D236" s="3" t="s">
        <v>40</v>
      </c>
      <c r="E236" s="3" t="s">
        <v>19</v>
      </c>
      <c r="F236" s="3">
        <v>300</v>
      </c>
      <c r="G236" s="4">
        <v>43635</v>
      </c>
      <c r="H236">
        <f t="shared" si="6"/>
        <v>2019</v>
      </c>
      <c r="I236" s="5">
        <v>745184</v>
      </c>
      <c r="J236" s="3">
        <v>979</v>
      </c>
      <c r="K236" s="4">
        <v>43907</v>
      </c>
      <c r="L236">
        <f t="shared" si="7"/>
        <v>2020</v>
      </c>
      <c r="M236" s="5">
        <v>745184</v>
      </c>
    </row>
    <row r="237" spans="1:13" ht="15.75" customHeight="1" x14ac:dyDescent="0.25">
      <c r="A237" s="3" t="s">
        <v>15</v>
      </c>
      <c r="B237" s="3" t="s">
        <v>26</v>
      </c>
      <c r="C237" s="3" t="s">
        <v>12</v>
      </c>
      <c r="D237" s="3" t="s">
        <v>13</v>
      </c>
      <c r="E237" s="3" t="s">
        <v>36</v>
      </c>
      <c r="F237" s="3">
        <v>748</v>
      </c>
      <c r="G237" s="4">
        <v>43378</v>
      </c>
      <c r="H237">
        <f t="shared" si="6"/>
        <v>2018</v>
      </c>
      <c r="I237" s="5">
        <v>720721</v>
      </c>
      <c r="J237" s="3">
        <v>1236</v>
      </c>
      <c r="K237" s="4">
        <v>43936</v>
      </c>
      <c r="L237">
        <f t="shared" si="7"/>
        <v>2020</v>
      </c>
      <c r="M237" s="5">
        <v>720721</v>
      </c>
    </row>
    <row r="238" spans="1:13" ht="15.75" customHeight="1" x14ac:dyDescent="0.25">
      <c r="A238" s="3" t="s">
        <v>15</v>
      </c>
      <c r="B238" s="3" t="s">
        <v>33</v>
      </c>
      <c r="C238" s="3" t="s">
        <v>12</v>
      </c>
      <c r="D238" s="3" t="s">
        <v>37</v>
      </c>
      <c r="E238" s="3" t="s">
        <v>23</v>
      </c>
      <c r="F238" s="3">
        <v>101</v>
      </c>
      <c r="G238" s="4">
        <v>43958</v>
      </c>
      <c r="H238">
        <f t="shared" si="6"/>
        <v>2020</v>
      </c>
      <c r="I238" s="5">
        <v>1215159</v>
      </c>
      <c r="J238" s="3">
        <v>2825</v>
      </c>
      <c r="K238" s="4">
        <v>44165</v>
      </c>
      <c r="L238">
        <f t="shared" si="7"/>
        <v>2020</v>
      </c>
      <c r="M238" s="5">
        <v>710269</v>
      </c>
    </row>
    <row r="239" spans="1:13" ht="15.75" customHeight="1" x14ac:dyDescent="0.25">
      <c r="A239" s="3" t="s">
        <v>15</v>
      </c>
      <c r="B239" s="3" t="s">
        <v>11</v>
      </c>
      <c r="C239" s="3" t="s">
        <v>12</v>
      </c>
      <c r="D239" s="3" t="s">
        <v>13</v>
      </c>
      <c r="E239" s="3" t="s">
        <v>36</v>
      </c>
      <c r="F239" s="3">
        <v>346</v>
      </c>
      <c r="G239" s="4">
        <v>43255</v>
      </c>
      <c r="H239">
        <f t="shared" si="6"/>
        <v>2018</v>
      </c>
      <c r="I239" s="5">
        <v>764412</v>
      </c>
      <c r="J239" s="3">
        <v>2021</v>
      </c>
      <c r="K239" s="4">
        <v>44043</v>
      </c>
      <c r="L239">
        <f t="shared" si="7"/>
        <v>2020</v>
      </c>
      <c r="M239" s="5">
        <v>704038</v>
      </c>
    </row>
    <row r="240" spans="1:13" ht="15.75" customHeight="1" x14ac:dyDescent="0.25">
      <c r="A240" s="3" t="s">
        <v>59</v>
      </c>
      <c r="B240" s="3" t="s">
        <v>20</v>
      </c>
      <c r="C240" s="3" t="s">
        <v>21</v>
      </c>
      <c r="D240" s="3" t="s">
        <v>13</v>
      </c>
      <c r="E240" s="3" t="s">
        <v>19</v>
      </c>
      <c r="F240" s="3">
        <v>3589</v>
      </c>
      <c r="G240" s="4">
        <v>43830</v>
      </c>
      <c r="H240">
        <f t="shared" si="6"/>
        <v>2019</v>
      </c>
      <c r="I240" s="5">
        <v>702673</v>
      </c>
      <c r="J240" s="3">
        <v>269</v>
      </c>
      <c r="K240" s="4">
        <v>43858</v>
      </c>
      <c r="L240">
        <f t="shared" si="7"/>
        <v>2020</v>
      </c>
      <c r="M240" s="5">
        <v>702673</v>
      </c>
    </row>
    <row r="241" spans="1:13" ht="15.75" customHeight="1" x14ac:dyDescent="0.25">
      <c r="A241" s="3" t="s">
        <v>10</v>
      </c>
      <c r="B241" s="3" t="s">
        <v>20</v>
      </c>
      <c r="C241" s="3" t="s">
        <v>21</v>
      </c>
      <c r="D241" s="3" t="s">
        <v>13</v>
      </c>
      <c r="E241" s="3" t="s">
        <v>19</v>
      </c>
      <c r="F241" s="3">
        <v>3042</v>
      </c>
      <c r="G241" s="4">
        <v>43795</v>
      </c>
      <c r="H241">
        <f t="shared" si="6"/>
        <v>2019</v>
      </c>
      <c r="I241" s="5">
        <v>664411</v>
      </c>
      <c r="J241" s="3">
        <v>2570</v>
      </c>
      <c r="K241" s="4">
        <v>44125</v>
      </c>
      <c r="L241">
        <f t="shared" si="7"/>
        <v>2020</v>
      </c>
      <c r="M241" s="5">
        <v>664411</v>
      </c>
    </row>
    <row r="242" spans="1:13" ht="15.75" customHeight="1" x14ac:dyDescent="0.25">
      <c r="A242" s="3" t="s">
        <v>15</v>
      </c>
      <c r="B242" s="3" t="s">
        <v>20</v>
      </c>
      <c r="C242" s="3" t="s">
        <v>12</v>
      </c>
      <c r="D242" s="3" t="s">
        <v>37</v>
      </c>
      <c r="E242" s="3" t="s">
        <v>36</v>
      </c>
      <c r="F242" s="3">
        <v>35</v>
      </c>
      <c r="G242" s="4">
        <v>43875</v>
      </c>
      <c r="H242">
        <f t="shared" si="6"/>
        <v>2020</v>
      </c>
      <c r="I242" s="5">
        <v>1451416</v>
      </c>
      <c r="J242" s="3">
        <v>1810</v>
      </c>
      <c r="K242" s="4">
        <v>44012</v>
      </c>
      <c r="L242">
        <f t="shared" si="7"/>
        <v>2020</v>
      </c>
      <c r="M242" s="5">
        <v>630985</v>
      </c>
    </row>
    <row r="243" spans="1:13" ht="15.75" customHeight="1" x14ac:dyDescent="0.25">
      <c r="A243" s="3" t="s">
        <v>10</v>
      </c>
      <c r="B243" s="3" t="s">
        <v>20</v>
      </c>
      <c r="C243" s="3" t="s">
        <v>21</v>
      </c>
      <c r="D243" s="3" t="s">
        <v>13</v>
      </c>
      <c r="E243" s="3" t="s">
        <v>19</v>
      </c>
      <c r="F243" s="3">
        <v>3576</v>
      </c>
      <c r="G243" s="4">
        <v>43830</v>
      </c>
      <c r="H243">
        <f t="shared" si="6"/>
        <v>2019</v>
      </c>
      <c r="I243" s="5">
        <v>604074</v>
      </c>
      <c r="J243" s="3">
        <v>272</v>
      </c>
      <c r="K243" s="4">
        <v>43858</v>
      </c>
      <c r="L243">
        <f t="shared" si="7"/>
        <v>2020</v>
      </c>
      <c r="M243" s="5">
        <v>604074</v>
      </c>
    </row>
    <row r="244" spans="1:13" ht="15.75" customHeight="1" x14ac:dyDescent="0.25">
      <c r="A244" s="3" t="s">
        <v>10</v>
      </c>
      <c r="B244" s="3" t="s">
        <v>46</v>
      </c>
      <c r="C244" s="3" t="s">
        <v>17</v>
      </c>
      <c r="D244" s="3" t="s">
        <v>13</v>
      </c>
      <c r="E244" s="3" t="s">
        <v>19</v>
      </c>
      <c r="F244" s="3">
        <v>2099</v>
      </c>
      <c r="G244" s="4">
        <v>44057</v>
      </c>
      <c r="H244">
        <f t="shared" si="6"/>
        <v>2020</v>
      </c>
      <c r="I244" s="5">
        <v>649278</v>
      </c>
      <c r="J244" s="3">
        <v>2705</v>
      </c>
      <c r="K244" s="4">
        <v>44152</v>
      </c>
      <c r="L244">
        <f t="shared" si="7"/>
        <v>2020</v>
      </c>
      <c r="M244" s="5">
        <v>574699</v>
      </c>
    </row>
    <row r="245" spans="1:13" ht="15.75" customHeight="1" x14ac:dyDescent="0.25">
      <c r="A245" s="3" t="s">
        <v>15</v>
      </c>
      <c r="B245" s="3" t="s">
        <v>30</v>
      </c>
      <c r="C245" s="3" t="s">
        <v>12</v>
      </c>
      <c r="D245" s="3" t="s">
        <v>31</v>
      </c>
      <c r="E245" s="3" t="s">
        <v>36</v>
      </c>
      <c r="F245" s="3">
        <v>37</v>
      </c>
      <c r="G245" s="4">
        <v>43874</v>
      </c>
      <c r="H245">
        <f t="shared" si="6"/>
        <v>2020</v>
      </c>
      <c r="I245" s="5">
        <v>546954</v>
      </c>
      <c r="J245" s="3">
        <v>1753</v>
      </c>
      <c r="K245" s="4">
        <v>44004</v>
      </c>
      <c r="L245">
        <f t="shared" si="7"/>
        <v>2020</v>
      </c>
      <c r="M245" s="5">
        <v>546954</v>
      </c>
    </row>
    <row r="246" spans="1:13" ht="15.75" customHeight="1" x14ac:dyDescent="0.25">
      <c r="A246" s="3" t="s">
        <v>57</v>
      </c>
      <c r="B246" s="3" t="s">
        <v>20</v>
      </c>
      <c r="C246" s="3" t="s">
        <v>21</v>
      </c>
      <c r="D246" s="3" t="s">
        <v>13</v>
      </c>
      <c r="E246" s="3" t="s">
        <v>58</v>
      </c>
      <c r="F246" s="3">
        <v>2443</v>
      </c>
      <c r="G246" s="4">
        <v>44106</v>
      </c>
      <c r="H246">
        <f t="shared" si="6"/>
        <v>2020</v>
      </c>
      <c r="I246" s="5">
        <v>532077</v>
      </c>
      <c r="J246" s="3">
        <v>2739</v>
      </c>
      <c r="K246" s="4">
        <v>44160</v>
      </c>
      <c r="L246">
        <f t="shared" si="7"/>
        <v>2020</v>
      </c>
      <c r="M246" s="5">
        <v>532077</v>
      </c>
    </row>
    <row r="247" spans="1:13" ht="15.75" customHeight="1" x14ac:dyDescent="0.25">
      <c r="A247" s="3" t="s">
        <v>57</v>
      </c>
      <c r="B247" s="3" t="s">
        <v>42</v>
      </c>
      <c r="C247" s="3" t="s">
        <v>21</v>
      </c>
      <c r="D247" s="3" t="s">
        <v>22</v>
      </c>
      <c r="E247" s="3" t="s">
        <v>58</v>
      </c>
      <c r="F247" s="3">
        <v>2436</v>
      </c>
      <c r="G247" s="4">
        <v>44106</v>
      </c>
      <c r="H247">
        <f t="shared" si="6"/>
        <v>2020</v>
      </c>
      <c r="I247" s="5">
        <v>532077</v>
      </c>
      <c r="J247" s="3">
        <v>2820</v>
      </c>
      <c r="K247" s="4">
        <v>44165</v>
      </c>
      <c r="L247">
        <f t="shared" si="7"/>
        <v>2020</v>
      </c>
      <c r="M247" s="5">
        <v>532077</v>
      </c>
    </row>
    <row r="248" spans="1:13" ht="15.75" customHeight="1" x14ac:dyDescent="0.25">
      <c r="A248" s="3" t="s">
        <v>57</v>
      </c>
      <c r="B248" s="3" t="s">
        <v>60</v>
      </c>
      <c r="C248" s="3" t="s">
        <v>21</v>
      </c>
      <c r="D248" s="3" t="s">
        <v>22</v>
      </c>
      <c r="E248" s="3" t="s">
        <v>58</v>
      </c>
      <c r="F248" s="3">
        <v>2481</v>
      </c>
      <c r="G248" s="4">
        <v>44112</v>
      </c>
      <c r="H248">
        <f t="shared" si="6"/>
        <v>2020</v>
      </c>
      <c r="I248" s="5">
        <v>532077</v>
      </c>
      <c r="J248" s="3">
        <v>2818</v>
      </c>
      <c r="K248" s="4">
        <v>44165</v>
      </c>
      <c r="L248">
        <f t="shared" si="7"/>
        <v>2020</v>
      </c>
      <c r="M248" s="5">
        <v>532077</v>
      </c>
    </row>
    <row r="249" spans="1:13" ht="15.75" customHeight="1" x14ac:dyDescent="0.25">
      <c r="A249" s="3" t="s">
        <v>57</v>
      </c>
      <c r="B249" s="3" t="s">
        <v>51</v>
      </c>
      <c r="C249" s="3" t="s">
        <v>21</v>
      </c>
      <c r="D249" s="3" t="s">
        <v>13</v>
      </c>
      <c r="E249" s="3" t="s">
        <v>58</v>
      </c>
      <c r="F249" s="3">
        <v>2439</v>
      </c>
      <c r="G249" s="4">
        <v>44106</v>
      </c>
      <c r="H249">
        <f t="shared" si="6"/>
        <v>2020</v>
      </c>
      <c r="I249" s="5">
        <v>532077</v>
      </c>
      <c r="J249" s="3">
        <v>2811</v>
      </c>
      <c r="K249" s="4">
        <v>44165</v>
      </c>
      <c r="L249">
        <f t="shared" si="7"/>
        <v>2020</v>
      </c>
      <c r="M249" s="5">
        <v>532077</v>
      </c>
    </row>
    <row r="250" spans="1:13" ht="15.75" customHeight="1" x14ac:dyDescent="0.25">
      <c r="A250" s="3" t="s">
        <v>10</v>
      </c>
      <c r="B250" s="3" t="s">
        <v>24</v>
      </c>
      <c r="C250" s="3" t="s">
        <v>12</v>
      </c>
      <c r="D250" s="3" t="s">
        <v>25</v>
      </c>
      <c r="E250" s="3" t="s">
        <v>19</v>
      </c>
      <c r="F250" s="3">
        <v>285</v>
      </c>
      <c r="G250" s="4">
        <v>43630</v>
      </c>
      <c r="H250">
        <f t="shared" si="6"/>
        <v>2019</v>
      </c>
      <c r="I250" s="5">
        <v>517860</v>
      </c>
      <c r="J250" s="3">
        <v>517</v>
      </c>
      <c r="K250" s="4">
        <v>43871</v>
      </c>
      <c r="L250">
        <f t="shared" si="7"/>
        <v>2020</v>
      </c>
      <c r="M250" s="5">
        <v>517860</v>
      </c>
    </row>
    <row r="251" spans="1:13" ht="15.75" customHeight="1" x14ac:dyDescent="0.25">
      <c r="A251" s="3" t="s">
        <v>15</v>
      </c>
      <c r="B251" s="3" t="s">
        <v>11</v>
      </c>
      <c r="C251" s="3" t="s">
        <v>12</v>
      </c>
      <c r="D251" s="3" t="s">
        <v>13</v>
      </c>
      <c r="E251" s="3" t="s">
        <v>66</v>
      </c>
      <c r="F251" s="3">
        <v>722</v>
      </c>
      <c r="G251" s="4">
        <v>43717</v>
      </c>
      <c r="H251">
        <f t="shared" si="6"/>
        <v>2019</v>
      </c>
      <c r="I251" s="5">
        <v>515876</v>
      </c>
      <c r="J251" s="3">
        <v>1188</v>
      </c>
      <c r="K251" s="4">
        <v>43930</v>
      </c>
      <c r="L251">
        <f t="shared" si="7"/>
        <v>2020</v>
      </c>
      <c r="M251" s="5">
        <v>515876</v>
      </c>
    </row>
    <row r="252" spans="1:13" ht="15.75" customHeight="1" x14ac:dyDescent="0.25">
      <c r="A252" s="3" t="s">
        <v>15</v>
      </c>
      <c r="B252" s="3" t="s">
        <v>33</v>
      </c>
      <c r="C252" s="3" t="s">
        <v>12</v>
      </c>
      <c r="D252" s="3" t="s">
        <v>13</v>
      </c>
      <c r="E252" s="3" t="s">
        <v>66</v>
      </c>
      <c r="F252" s="3">
        <v>721</v>
      </c>
      <c r="G252" s="4">
        <v>43717</v>
      </c>
      <c r="H252">
        <f t="shared" si="6"/>
        <v>2019</v>
      </c>
      <c r="I252" s="5">
        <v>515876</v>
      </c>
      <c r="J252" s="3">
        <v>1058</v>
      </c>
      <c r="K252" s="4">
        <v>43916</v>
      </c>
      <c r="L252">
        <f t="shared" si="7"/>
        <v>2020</v>
      </c>
      <c r="M252" s="5">
        <v>515876</v>
      </c>
    </row>
    <row r="253" spans="1:13" ht="15.75" customHeight="1" x14ac:dyDescent="0.25">
      <c r="A253" s="3" t="s">
        <v>10</v>
      </c>
      <c r="B253" s="3" t="s">
        <v>60</v>
      </c>
      <c r="C253" s="3" t="s">
        <v>21</v>
      </c>
      <c r="D253" s="3" t="s">
        <v>13</v>
      </c>
      <c r="E253" s="3" t="s">
        <v>19</v>
      </c>
      <c r="F253" s="3">
        <v>3577</v>
      </c>
      <c r="G253" s="4">
        <v>43830</v>
      </c>
      <c r="H253">
        <f t="shared" si="6"/>
        <v>2019</v>
      </c>
      <c r="I253" s="5">
        <v>508570</v>
      </c>
      <c r="J253" s="3">
        <v>350</v>
      </c>
      <c r="K253" s="4">
        <v>43861</v>
      </c>
      <c r="L253">
        <f t="shared" si="7"/>
        <v>2020</v>
      </c>
      <c r="M253" s="5">
        <v>508570</v>
      </c>
    </row>
    <row r="254" spans="1:13" ht="15.75" customHeight="1" x14ac:dyDescent="0.25">
      <c r="A254" s="3" t="s">
        <v>15</v>
      </c>
      <c r="B254" s="3" t="s">
        <v>27</v>
      </c>
      <c r="C254" s="3" t="s">
        <v>17</v>
      </c>
      <c r="D254" s="3" t="s">
        <v>13</v>
      </c>
      <c r="E254" s="3" t="s">
        <v>64</v>
      </c>
      <c r="F254" s="3">
        <v>682</v>
      </c>
      <c r="G254" s="4">
        <v>43886</v>
      </c>
      <c r="H254">
        <f t="shared" si="6"/>
        <v>2020</v>
      </c>
      <c r="I254" s="5">
        <v>503720</v>
      </c>
      <c r="J254" s="3">
        <v>1755</v>
      </c>
      <c r="K254" s="4">
        <v>44004</v>
      </c>
      <c r="L254">
        <f t="shared" si="7"/>
        <v>2020</v>
      </c>
      <c r="M254" s="5">
        <v>503720</v>
      </c>
    </row>
    <row r="255" spans="1:13" ht="15.75" customHeight="1" x14ac:dyDescent="0.25">
      <c r="A255" s="3" t="s">
        <v>15</v>
      </c>
      <c r="B255" s="3" t="s">
        <v>46</v>
      </c>
      <c r="C255" s="3" t="s">
        <v>17</v>
      </c>
      <c r="D255" s="3" t="s">
        <v>13</v>
      </c>
      <c r="E255" s="3" t="s">
        <v>64</v>
      </c>
      <c r="F255" s="3">
        <v>687</v>
      </c>
      <c r="G255" s="4">
        <v>43886</v>
      </c>
      <c r="H255">
        <f t="shared" si="6"/>
        <v>2020</v>
      </c>
      <c r="I255" s="5">
        <v>503720</v>
      </c>
      <c r="J255" s="3">
        <v>1757</v>
      </c>
      <c r="K255" s="4">
        <v>44004</v>
      </c>
      <c r="L255">
        <f t="shared" si="7"/>
        <v>2020</v>
      </c>
      <c r="M255" s="5">
        <v>503720</v>
      </c>
    </row>
    <row r="256" spans="1:13" ht="15.75" customHeight="1" x14ac:dyDescent="0.25">
      <c r="A256" s="3" t="s">
        <v>15</v>
      </c>
      <c r="B256" s="3" t="s">
        <v>33</v>
      </c>
      <c r="C256" s="3" t="s">
        <v>12</v>
      </c>
      <c r="D256" s="3" t="s">
        <v>13</v>
      </c>
      <c r="E256" s="3" t="s">
        <v>36</v>
      </c>
      <c r="F256" s="3">
        <v>746</v>
      </c>
      <c r="G256" s="4">
        <v>43378</v>
      </c>
      <c r="H256">
        <f t="shared" si="6"/>
        <v>2018</v>
      </c>
      <c r="I256" s="5">
        <v>619407</v>
      </c>
      <c r="J256" s="3">
        <v>1857</v>
      </c>
      <c r="K256" s="4">
        <v>44021</v>
      </c>
      <c r="L256">
        <f t="shared" si="7"/>
        <v>2020</v>
      </c>
      <c r="M256" s="5">
        <v>497446</v>
      </c>
    </row>
    <row r="257" spans="1:13" ht="15.75" customHeight="1" x14ac:dyDescent="0.25">
      <c r="A257" s="3" t="s">
        <v>15</v>
      </c>
      <c r="B257" s="3" t="s">
        <v>60</v>
      </c>
      <c r="C257" s="3" t="s">
        <v>21</v>
      </c>
      <c r="D257" s="3" t="s">
        <v>13</v>
      </c>
      <c r="E257" s="3" t="s">
        <v>65</v>
      </c>
      <c r="F257" s="3">
        <v>2056</v>
      </c>
      <c r="G257" s="4">
        <v>44053</v>
      </c>
      <c r="H257">
        <f t="shared" si="6"/>
        <v>2020</v>
      </c>
      <c r="I257" s="5">
        <v>493646</v>
      </c>
      <c r="J257" s="3">
        <v>2589</v>
      </c>
      <c r="K257" s="4">
        <v>44130</v>
      </c>
      <c r="L257">
        <f t="shared" si="7"/>
        <v>2020</v>
      </c>
      <c r="M257" s="5">
        <v>493646</v>
      </c>
    </row>
    <row r="258" spans="1:13" ht="15.75" customHeight="1" x14ac:dyDescent="0.25">
      <c r="A258" s="3" t="s">
        <v>10</v>
      </c>
      <c r="B258" s="3" t="s">
        <v>67</v>
      </c>
      <c r="C258" s="3" t="s">
        <v>39</v>
      </c>
      <c r="D258" s="3" t="s">
        <v>40</v>
      </c>
      <c r="E258" s="3" t="s">
        <v>65</v>
      </c>
      <c r="F258" s="3">
        <v>417</v>
      </c>
      <c r="G258" s="4">
        <v>43712</v>
      </c>
      <c r="H258">
        <f t="shared" si="6"/>
        <v>2019</v>
      </c>
      <c r="I258" s="5">
        <v>486397</v>
      </c>
      <c r="J258" s="3">
        <v>1618</v>
      </c>
      <c r="K258" s="4">
        <v>43980</v>
      </c>
      <c r="L258">
        <f t="shared" si="7"/>
        <v>2020</v>
      </c>
      <c r="M258" s="5">
        <v>486397</v>
      </c>
    </row>
    <row r="259" spans="1:13" ht="15.75" customHeight="1" x14ac:dyDescent="0.25">
      <c r="A259" s="3" t="s">
        <v>10</v>
      </c>
      <c r="B259" s="3" t="s">
        <v>20</v>
      </c>
      <c r="C259" s="3" t="s">
        <v>12</v>
      </c>
      <c r="D259" s="3" t="s">
        <v>37</v>
      </c>
      <c r="E259" s="3" t="s">
        <v>19</v>
      </c>
      <c r="F259" s="3">
        <v>180</v>
      </c>
      <c r="G259" s="4">
        <v>43642</v>
      </c>
      <c r="H259">
        <f t="shared" ref="H259:H322" si="8">YEAR(G259)</f>
        <v>2019</v>
      </c>
      <c r="I259" s="5">
        <v>616020</v>
      </c>
      <c r="J259" s="3">
        <v>702</v>
      </c>
      <c r="K259" s="4">
        <v>43886</v>
      </c>
      <c r="L259">
        <f t="shared" si="7"/>
        <v>2020</v>
      </c>
      <c r="M259" s="5">
        <v>457233</v>
      </c>
    </row>
    <row r="260" spans="1:13" ht="15.75" customHeight="1" x14ac:dyDescent="0.25">
      <c r="A260" s="3" t="s">
        <v>15</v>
      </c>
      <c r="B260" s="3" t="s">
        <v>32</v>
      </c>
      <c r="C260" s="3" t="s">
        <v>39</v>
      </c>
      <c r="D260" s="3" t="s">
        <v>40</v>
      </c>
      <c r="E260" s="3" t="s">
        <v>68</v>
      </c>
      <c r="F260" s="3">
        <v>438</v>
      </c>
      <c r="G260" s="4">
        <v>43731</v>
      </c>
      <c r="H260">
        <f t="shared" si="8"/>
        <v>2019</v>
      </c>
      <c r="I260" s="5">
        <v>1478845</v>
      </c>
      <c r="J260" s="3">
        <v>1932</v>
      </c>
      <c r="K260" s="4">
        <v>44039</v>
      </c>
      <c r="L260">
        <f t="shared" ref="L260:L323" si="9">YEAR(K260)</f>
        <v>2020</v>
      </c>
      <c r="M260" s="5">
        <v>442180</v>
      </c>
    </row>
    <row r="261" spans="1:13" ht="15.75" customHeight="1" x14ac:dyDescent="0.25">
      <c r="A261" s="3" t="s">
        <v>59</v>
      </c>
      <c r="B261" s="3" t="s">
        <v>30</v>
      </c>
      <c r="C261" s="3" t="s">
        <v>12</v>
      </c>
      <c r="D261" s="3" t="s">
        <v>31</v>
      </c>
      <c r="E261" s="3" t="s">
        <v>19</v>
      </c>
      <c r="F261" s="3">
        <v>157</v>
      </c>
      <c r="G261" s="4">
        <v>43636</v>
      </c>
      <c r="H261">
        <f t="shared" si="8"/>
        <v>2019</v>
      </c>
      <c r="I261" s="5">
        <v>421633</v>
      </c>
      <c r="J261" s="3">
        <v>2243</v>
      </c>
      <c r="K261" s="4">
        <v>44081</v>
      </c>
      <c r="L261">
        <f t="shared" si="9"/>
        <v>2020</v>
      </c>
      <c r="M261" s="5">
        <v>421633</v>
      </c>
    </row>
    <row r="262" spans="1:13" ht="15.75" customHeight="1" x14ac:dyDescent="0.25">
      <c r="A262" s="3" t="s">
        <v>59</v>
      </c>
      <c r="B262" s="3" t="s">
        <v>67</v>
      </c>
      <c r="C262" s="3" t="s">
        <v>39</v>
      </c>
      <c r="D262" s="3" t="s">
        <v>40</v>
      </c>
      <c r="E262" s="3" t="s">
        <v>19</v>
      </c>
      <c r="F262" s="3">
        <v>393</v>
      </c>
      <c r="G262" s="4">
        <v>43696</v>
      </c>
      <c r="H262">
        <f t="shared" si="8"/>
        <v>2019</v>
      </c>
      <c r="I262" s="5">
        <v>408237</v>
      </c>
      <c r="J262" s="3">
        <v>1613</v>
      </c>
      <c r="K262" s="4">
        <v>43980</v>
      </c>
      <c r="L262">
        <f t="shared" si="9"/>
        <v>2020</v>
      </c>
      <c r="M262" s="5">
        <v>408237</v>
      </c>
    </row>
    <row r="263" spans="1:13" ht="15.75" customHeight="1" x14ac:dyDescent="0.25">
      <c r="A263" s="3" t="s">
        <v>15</v>
      </c>
      <c r="B263" s="3" t="s">
        <v>60</v>
      </c>
      <c r="C263" s="3" t="s">
        <v>21</v>
      </c>
      <c r="D263" s="3" t="s">
        <v>22</v>
      </c>
      <c r="E263" s="3" t="s">
        <v>65</v>
      </c>
      <c r="F263" s="3">
        <v>2058</v>
      </c>
      <c r="G263" s="4">
        <v>44053</v>
      </c>
      <c r="H263">
        <f t="shared" si="8"/>
        <v>2020</v>
      </c>
      <c r="I263" s="5">
        <v>402976</v>
      </c>
      <c r="J263" s="3">
        <v>2580</v>
      </c>
      <c r="K263" s="4">
        <v>44130</v>
      </c>
      <c r="L263">
        <f t="shared" si="9"/>
        <v>2020</v>
      </c>
      <c r="M263" s="5">
        <v>402976</v>
      </c>
    </row>
    <row r="264" spans="1:13" ht="15.75" customHeight="1" x14ac:dyDescent="0.25">
      <c r="A264" s="3" t="s">
        <v>10</v>
      </c>
      <c r="B264" s="3" t="s">
        <v>62</v>
      </c>
      <c r="C264" s="3" t="s">
        <v>17</v>
      </c>
      <c r="D264" s="3" t="s">
        <v>13</v>
      </c>
      <c r="E264" s="3" t="s">
        <v>19</v>
      </c>
      <c r="F264" s="3">
        <v>2104</v>
      </c>
      <c r="G264" s="4">
        <v>44057</v>
      </c>
      <c r="H264">
        <f t="shared" si="8"/>
        <v>2020</v>
      </c>
      <c r="I264" s="5">
        <v>849024</v>
      </c>
      <c r="J264" s="3">
        <v>2588</v>
      </c>
      <c r="K264" s="4">
        <v>44130</v>
      </c>
      <c r="L264">
        <f t="shared" si="9"/>
        <v>2020</v>
      </c>
      <c r="M264" s="5">
        <v>389922</v>
      </c>
    </row>
    <row r="265" spans="1:13" ht="15.75" customHeight="1" x14ac:dyDescent="0.25">
      <c r="A265" s="3" t="s">
        <v>59</v>
      </c>
      <c r="B265" s="3" t="s">
        <v>26</v>
      </c>
      <c r="C265" s="3" t="s">
        <v>12</v>
      </c>
      <c r="D265" s="3" t="s">
        <v>13</v>
      </c>
      <c r="E265" s="3" t="s">
        <v>65</v>
      </c>
      <c r="F265" s="3">
        <v>113</v>
      </c>
      <c r="G265" s="4">
        <v>43893</v>
      </c>
      <c r="H265">
        <f t="shared" si="8"/>
        <v>2020</v>
      </c>
      <c r="I265" s="5">
        <v>375158</v>
      </c>
      <c r="J265" s="3">
        <v>1785</v>
      </c>
      <c r="K265" s="4">
        <v>44007</v>
      </c>
      <c r="L265">
        <f t="shared" si="9"/>
        <v>2020</v>
      </c>
      <c r="M265" s="5">
        <v>375158</v>
      </c>
    </row>
    <row r="266" spans="1:13" ht="15.75" customHeight="1" x14ac:dyDescent="0.25">
      <c r="A266" s="3" t="s">
        <v>15</v>
      </c>
      <c r="B266" s="3" t="s">
        <v>60</v>
      </c>
      <c r="C266" s="3" t="s">
        <v>21</v>
      </c>
      <c r="D266" s="3" t="s">
        <v>22</v>
      </c>
      <c r="E266" s="3" t="s">
        <v>65</v>
      </c>
      <c r="F266" s="3">
        <v>2057</v>
      </c>
      <c r="G266" s="4">
        <v>44053</v>
      </c>
      <c r="H266">
        <f t="shared" si="8"/>
        <v>2020</v>
      </c>
      <c r="I266" s="5">
        <v>372753</v>
      </c>
      <c r="J266" s="3">
        <v>2587</v>
      </c>
      <c r="K266" s="4">
        <v>44130</v>
      </c>
      <c r="L266">
        <f t="shared" si="9"/>
        <v>2020</v>
      </c>
      <c r="M266" s="5">
        <v>372753</v>
      </c>
    </row>
    <row r="267" spans="1:13" ht="15.75" customHeight="1" x14ac:dyDescent="0.25">
      <c r="A267" s="3" t="s">
        <v>10</v>
      </c>
      <c r="B267" s="3" t="s">
        <v>26</v>
      </c>
      <c r="C267" s="3" t="s">
        <v>12</v>
      </c>
      <c r="D267" s="3" t="s">
        <v>13</v>
      </c>
      <c r="E267" s="3" t="s">
        <v>65</v>
      </c>
      <c r="F267" s="3">
        <v>569</v>
      </c>
      <c r="G267" s="4">
        <v>43669</v>
      </c>
      <c r="H267">
        <f t="shared" si="8"/>
        <v>2019</v>
      </c>
      <c r="I267" s="5">
        <v>367748</v>
      </c>
      <c r="J267" s="3">
        <v>802</v>
      </c>
      <c r="K267" s="4">
        <v>43893</v>
      </c>
      <c r="L267">
        <f t="shared" si="9"/>
        <v>2020</v>
      </c>
      <c r="M267" s="5">
        <v>367748</v>
      </c>
    </row>
    <row r="268" spans="1:13" ht="15.75" customHeight="1" x14ac:dyDescent="0.25">
      <c r="A268" s="3" t="s">
        <v>15</v>
      </c>
      <c r="B268" s="3" t="s">
        <v>33</v>
      </c>
      <c r="C268" s="3" t="s">
        <v>12</v>
      </c>
      <c r="D268" s="3" t="s">
        <v>25</v>
      </c>
      <c r="E268" s="3" t="s">
        <v>36</v>
      </c>
      <c r="F268" s="3">
        <v>574</v>
      </c>
      <c r="G268" s="4">
        <v>42902</v>
      </c>
      <c r="H268">
        <f t="shared" si="8"/>
        <v>2017</v>
      </c>
      <c r="I268" s="5">
        <v>355692</v>
      </c>
      <c r="J268" s="3">
        <v>1813</v>
      </c>
      <c r="K268" s="4">
        <v>44012</v>
      </c>
      <c r="L268">
        <f t="shared" si="9"/>
        <v>2020</v>
      </c>
      <c r="M268" s="5">
        <v>355692</v>
      </c>
    </row>
    <row r="269" spans="1:13" ht="15.75" customHeight="1" x14ac:dyDescent="0.25">
      <c r="A269" s="3" t="s">
        <v>10</v>
      </c>
      <c r="B269" s="3" t="s">
        <v>26</v>
      </c>
      <c r="C269" s="3" t="s">
        <v>12</v>
      </c>
      <c r="D269" s="3" t="s">
        <v>13</v>
      </c>
      <c r="E269" s="3" t="s">
        <v>19</v>
      </c>
      <c r="F269" s="3">
        <v>91</v>
      </c>
      <c r="G269" s="4">
        <v>43880</v>
      </c>
      <c r="H269">
        <f t="shared" si="8"/>
        <v>2020</v>
      </c>
      <c r="I269" s="5">
        <v>351652</v>
      </c>
      <c r="J269" s="3">
        <v>1465</v>
      </c>
      <c r="K269" s="4">
        <v>43966</v>
      </c>
      <c r="L269">
        <f t="shared" si="9"/>
        <v>2020</v>
      </c>
      <c r="M269" s="5">
        <v>351652</v>
      </c>
    </row>
    <row r="270" spans="1:13" ht="15.75" customHeight="1" x14ac:dyDescent="0.25">
      <c r="A270" s="3" t="s">
        <v>10</v>
      </c>
      <c r="B270" s="3" t="s">
        <v>32</v>
      </c>
      <c r="C270" s="3" t="s">
        <v>39</v>
      </c>
      <c r="D270" s="3" t="s">
        <v>40</v>
      </c>
      <c r="E270" s="3" t="s">
        <v>19</v>
      </c>
      <c r="F270" s="3">
        <v>315</v>
      </c>
      <c r="G270" s="4">
        <v>43636</v>
      </c>
      <c r="H270">
        <f t="shared" si="8"/>
        <v>2019</v>
      </c>
      <c r="I270" s="5">
        <v>349912</v>
      </c>
      <c r="J270" s="3">
        <v>1746</v>
      </c>
      <c r="K270" s="4">
        <v>44004</v>
      </c>
      <c r="L270">
        <f t="shared" si="9"/>
        <v>2020</v>
      </c>
      <c r="M270" s="5">
        <v>349912</v>
      </c>
    </row>
    <row r="271" spans="1:13" ht="15.75" customHeight="1" x14ac:dyDescent="0.25">
      <c r="A271" s="3" t="s">
        <v>15</v>
      </c>
      <c r="B271" s="3" t="s">
        <v>67</v>
      </c>
      <c r="C271" s="3" t="s">
        <v>39</v>
      </c>
      <c r="D271" s="3" t="s">
        <v>40</v>
      </c>
      <c r="E271" s="3" t="s">
        <v>36</v>
      </c>
      <c r="F271" s="3">
        <v>38</v>
      </c>
      <c r="G271" s="4">
        <v>43878</v>
      </c>
      <c r="H271">
        <f t="shared" si="8"/>
        <v>2020</v>
      </c>
      <c r="I271" s="5">
        <v>347067</v>
      </c>
      <c r="J271" s="3">
        <v>2109</v>
      </c>
      <c r="K271" s="4">
        <v>44057</v>
      </c>
      <c r="L271">
        <f t="shared" si="9"/>
        <v>2020</v>
      </c>
      <c r="M271" s="5">
        <v>347067</v>
      </c>
    </row>
    <row r="272" spans="1:13" ht="15.75" customHeight="1" x14ac:dyDescent="0.25">
      <c r="A272" s="3" t="s">
        <v>15</v>
      </c>
      <c r="B272" s="3" t="s">
        <v>52</v>
      </c>
      <c r="C272" s="3" t="s">
        <v>12</v>
      </c>
      <c r="D272" s="3" t="s">
        <v>13</v>
      </c>
      <c r="E272" s="3" t="s">
        <v>36</v>
      </c>
      <c r="F272" s="3">
        <v>747</v>
      </c>
      <c r="G272" s="4">
        <v>43378</v>
      </c>
      <c r="H272">
        <f t="shared" si="8"/>
        <v>2018</v>
      </c>
      <c r="I272" s="5">
        <v>406216</v>
      </c>
      <c r="J272" s="3">
        <v>1473</v>
      </c>
      <c r="K272" s="4">
        <v>43966</v>
      </c>
      <c r="L272">
        <f t="shared" si="9"/>
        <v>2020</v>
      </c>
      <c r="M272" s="5">
        <v>335152</v>
      </c>
    </row>
    <row r="273" spans="1:13" ht="15.75" customHeight="1" x14ac:dyDescent="0.25">
      <c r="A273" s="3" t="s">
        <v>59</v>
      </c>
      <c r="B273" s="3" t="s">
        <v>45</v>
      </c>
      <c r="C273" s="3" t="s">
        <v>21</v>
      </c>
      <c r="D273" s="3" t="s">
        <v>22</v>
      </c>
      <c r="E273" s="3" t="s">
        <v>19</v>
      </c>
      <c r="F273" s="3">
        <v>3561</v>
      </c>
      <c r="G273" s="4">
        <v>43830</v>
      </c>
      <c r="H273">
        <f t="shared" si="8"/>
        <v>2019</v>
      </c>
      <c r="I273" s="5">
        <v>325765</v>
      </c>
      <c r="J273" s="3">
        <v>559</v>
      </c>
      <c r="K273" s="4">
        <v>43875</v>
      </c>
      <c r="L273">
        <f t="shared" si="9"/>
        <v>2020</v>
      </c>
      <c r="M273" s="5">
        <v>325765</v>
      </c>
    </row>
    <row r="274" spans="1:13" ht="15.75" customHeight="1" x14ac:dyDescent="0.25">
      <c r="A274" s="3" t="s">
        <v>15</v>
      </c>
      <c r="B274" s="3" t="s">
        <v>67</v>
      </c>
      <c r="C274" s="3" t="s">
        <v>39</v>
      </c>
      <c r="D274" s="3" t="s">
        <v>40</v>
      </c>
      <c r="E274" s="3" t="s">
        <v>66</v>
      </c>
      <c r="F274" s="3">
        <v>420</v>
      </c>
      <c r="G274" s="4">
        <v>43713</v>
      </c>
      <c r="H274">
        <f t="shared" si="8"/>
        <v>2019</v>
      </c>
      <c r="I274" s="5">
        <v>319352</v>
      </c>
      <c r="J274" s="3">
        <v>1057</v>
      </c>
      <c r="K274" s="4">
        <v>43916</v>
      </c>
      <c r="L274">
        <f t="shared" si="9"/>
        <v>2020</v>
      </c>
      <c r="M274" s="5">
        <v>319352</v>
      </c>
    </row>
    <row r="275" spans="1:13" ht="15.75" customHeight="1" x14ac:dyDescent="0.25">
      <c r="A275" s="3" t="s">
        <v>10</v>
      </c>
      <c r="B275" s="3" t="s">
        <v>20</v>
      </c>
      <c r="C275" s="3" t="s">
        <v>21</v>
      </c>
      <c r="D275" s="3" t="s">
        <v>22</v>
      </c>
      <c r="E275" s="3" t="s">
        <v>19</v>
      </c>
      <c r="F275" s="3">
        <v>3595</v>
      </c>
      <c r="G275" s="4">
        <v>43830</v>
      </c>
      <c r="H275">
        <f t="shared" si="8"/>
        <v>2019</v>
      </c>
      <c r="I275" s="5">
        <v>309116</v>
      </c>
      <c r="J275" s="3">
        <v>268</v>
      </c>
      <c r="K275" s="4">
        <v>43858</v>
      </c>
      <c r="L275">
        <f t="shared" si="9"/>
        <v>2020</v>
      </c>
      <c r="M275" s="5">
        <v>309116</v>
      </c>
    </row>
    <row r="276" spans="1:13" ht="15.75" customHeight="1" x14ac:dyDescent="0.25">
      <c r="A276" s="3" t="s">
        <v>15</v>
      </c>
      <c r="B276" s="3" t="s">
        <v>33</v>
      </c>
      <c r="C276" s="3" t="s">
        <v>12</v>
      </c>
      <c r="D276" s="3" t="s">
        <v>13</v>
      </c>
      <c r="E276" s="3" t="s">
        <v>65</v>
      </c>
      <c r="F276" s="3">
        <v>672</v>
      </c>
      <c r="G276" s="4">
        <v>43700</v>
      </c>
      <c r="H276">
        <f t="shared" si="8"/>
        <v>2019</v>
      </c>
      <c r="I276" s="5">
        <v>475620</v>
      </c>
      <c r="J276" s="3">
        <v>1809</v>
      </c>
      <c r="K276" s="4">
        <v>44012</v>
      </c>
      <c r="L276">
        <f t="shared" si="9"/>
        <v>2020</v>
      </c>
      <c r="M276" s="5">
        <v>279488</v>
      </c>
    </row>
    <row r="277" spans="1:13" ht="15.75" customHeight="1" x14ac:dyDescent="0.25">
      <c r="A277" s="3" t="s">
        <v>10</v>
      </c>
      <c r="B277" s="3" t="s">
        <v>48</v>
      </c>
      <c r="C277" s="3" t="s">
        <v>21</v>
      </c>
      <c r="D277" s="3" t="s">
        <v>13</v>
      </c>
      <c r="E277" s="3" t="s">
        <v>19</v>
      </c>
      <c r="F277" s="3">
        <v>3578</v>
      </c>
      <c r="G277" s="4">
        <v>43830</v>
      </c>
      <c r="H277">
        <f t="shared" si="8"/>
        <v>2019</v>
      </c>
      <c r="I277" s="5">
        <v>278707</v>
      </c>
      <c r="J277" s="3">
        <v>271</v>
      </c>
      <c r="K277" s="4">
        <v>43858</v>
      </c>
      <c r="L277">
        <f t="shared" si="9"/>
        <v>2020</v>
      </c>
      <c r="M277" s="5">
        <v>278707</v>
      </c>
    </row>
    <row r="278" spans="1:13" ht="15.75" customHeight="1" x14ac:dyDescent="0.25">
      <c r="A278" s="3" t="s">
        <v>15</v>
      </c>
      <c r="B278" s="3" t="s">
        <v>33</v>
      </c>
      <c r="C278" s="3" t="s">
        <v>12</v>
      </c>
      <c r="D278" s="3" t="s">
        <v>25</v>
      </c>
      <c r="E278" s="3" t="s">
        <v>65</v>
      </c>
      <c r="F278" s="3">
        <v>190</v>
      </c>
      <c r="G278" s="4">
        <v>43557</v>
      </c>
      <c r="H278">
        <f t="shared" si="8"/>
        <v>2019</v>
      </c>
      <c r="I278" s="5">
        <v>469024</v>
      </c>
      <c r="J278" s="3">
        <v>1919</v>
      </c>
      <c r="K278" s="4">
        <v>44033</v>
      </c>
      <c r="L278">
        <f t="shared" si="9"/>
        <v>2020</v>
      </c>
      <c r="M278" s="5">
        <v>275612</v>
      </c>
    </row>
    <row r="279" spans="1:13" ht="15.75" customHeight="1" x14ac:dyDescent="0.25">
      <c r="A279" s="3" t="s">
        <v>15</v>
      </c>
      <c r="B279" s="3" t="s">
        <v>29</v>
      </c>
      <c r="C279" s="3" t="s">
        <v>39</v>
      </c>
      <c r="D279" s="3" t="s">
        <v>40</v>
      </c>
      <c r="E279" s="3" t="s">
        <v>36</v>
      </c>
      <c r="F279" s="3">
        <v>39</v>
      </c>
      <c r="G279" s="4">
        <v>43878</v>
      </c>
      <c r="H279">
        <f t="shared" si="8"/>
        <v>2020</v>
      </c>
      <c r="I279" s="5">
        <v>273477</v>
      </c>
      <c r="J279" s="3">
        <v>1483</v>
      </c>
      <c r="K279" s="4">
        <v>43966</v>
      </c>
      <c r="L279">
        <f t="shared" si="9"/>
        <v>2020</v>
      </c>
      <c r="M279" s="5">
        <v>273477</v>
      </c>
    </row>
    <row r="280" spans="1:13" ht="15.75" customHeight="1" x14ac:dyDescent="0.25">
      <c r="A280" s="3" t="s">
        <v>10</v>
      </c>
      <c r="B280" s="3" t="s">
        <v>67</v>
      </c>
      <c r="C280" s="3" t="s">
        <v>39</v>
      </c>
      <c r="D280" s="3" t="s">
        <v>40</v>
      </c>
      <c r="E280" s="3" t="s">
        <v>19</v>
      </c>
      <c r="F280" s="3">
        <v>392</v>
      </c>
      <c r="G280" s="4">
        <v>43696</v>
      </c>
      <c r="H280">
        <f t="shared" si="8"/>
        <v>2019</v>
      </c>
      <c r="I280" s="5">
        <v>271680</v>
      </c>
      <c r="J280" s="3">
        <v>1615</v>
      </c>
      <c r="K280" s="4">
        <v>43980</v>
      </c>
      <c r="L280">
        <f t="shared" si="9"/>
        <v>2020</v>
      </c>
      <c r="M280" s="5">
        <v>271680</v>
      </c>
    </row>
    <row r="281" spans="1:13" ht="15.75" customHeight="1" x14ac:dyDescent="0.25">
      <c r="A281" s="3" t="s">
        <v>57</v>
      </c>
      <c r="B281" s="3" t="s">
        <v>20</v>
      </c>
      <c r="C281" s="3" t="s">
        <v>21</v>
      </c>
      <c r="D281" s="3" t="s">
        <v>13</v>
      </c>
      <c r="E281" s="3" t="s">
        <v>58</v>
      </c>
      <c r="F281" s="3">
        <v>2444</v>
      </c>
      <c r="G281" s="4">
        <v>44106</v>
      </c>
      <c r="H281">
        <f t="shared" si="8"/>
        <v>2020</v>
      </c>
      <c r="I281" s="5">
        <v>266038</v>
      </c>
      <c r="J281" s="3">
        <v>2740</v>
      </c>
      <c r="K281" s="4">
        <v>44160</v>
      </c>
      <c r="L281">
        <f t="shared" si="9"/>
        <v>2020</v>
      </c>
      <c r="M281" s="5">
        <v>266038</v>
      </c>
    </row>
    <row r="282" spans="1:13" ht="15.75" customHeight="1" x14ac:dyDescent="0.25">
      <c r="A282" s="3" t="s">
        <v>57</v>
      </c>
      <c r="B282" s="3" t="s">
        <v>60</v>
      </c>
      <c r="C282" s="3" t="s">
        <v>21</v>
      </c>
      <c r="D282" s="3" t="s">
        <v>22</v>
      </c>
      <c r="E282" s="3" t="s">
        <v>58</v>
      </c>
      <c r="F282" s="3">
        <v>2482</v>
      </c>
      <c r="G282" s="4">
        <v>44112</v>
      </c>
      <c r="H282">
        <f t="shared" si="8"/>
        <v>2020</v>
      </c>
      <c r="I282" s="5">
        <v>266038</v>
      </c>
      <c r="J282" s="3">
        <v>2817</v>
      </c>
      <c r="K282" s="4">
        <v>44165</v>
      </c>
      <c r="L282">
        <f t="shared" si="9"/>
        <v>2020</v>
      </c>
      <c r="M282" s="5">
        <v>266038</v>
      </c>
    </row>
    <row r="283" spans="1:13" ht="15.75" customHeight="1" x14ac:dyDescent="0.25">
      <c r="A283" s="3" t="s">
        <v>57</v>
      </c>
      <c r="B283" s="3" t="s">
        <v>60</v>
      </c>
      <c r="C283" s="3" t="s">
        <v>21</v>
      </c>
      <c r="D283" s="3" t="s">
        <v>13</v>
      </c>
      <c r="E283" s="3" t="s">
        <v>58</v>
      </c>
      <c r="F283" s="3">
        <v>2484</v>
      </c>
      <c r="G283" s="4">
        <v>44112</v>
      </c>
      <c r="H283">
        <f t="shared" si="8"/>
        <v>2020</v>
      </c>
      <c r="I283" s="5">
        <v>266038</v>
      </c>
      <c r="J283" s="3">
        <v>2832</v>
      </c>
      <c r="K283" s="4">
        <v>44165</v>
      </c>
      <c r="L283">
        <f t="shared" si="9"/>
        <v>2020</v>
      </c>
      <c r="M283" s="5">
        <v>266038</v>
      </c>
    </row>
    <row r="284" spans="1:13" ht="15.75" customHeight="1" x14ac:dyDescent="0.25">
      <c r="A284" s="3" t="s">
        <v>10</v>
      </c>
      <c r="B284" s="3" t="s">
        <v>67</v>
      </c>
      <c r="C284" s="3" t="s">
        <v>39</v>
      </c>
      <c r="D284" s="3" t="s">
        <v>40</v>
      </c>
      <c r="E284" s="3" t="s">
        <v>65</v>
      </c>
      <c r="F284" s="3">
        <v>415</v>
      </c>
      <c r="G284" s="4">
        <v>43712</v>
      </c>
      <c r="H284">
        <f t="shared" si="8"/>
        <v>2019</v>
      </c>
      <c r="I284" s="5">
        <v>1184057</v>
      </c>
      <c r="J284" s="3">
        <v>1510</v>
      </c>
      <c r="K284" s="4">
        <v>43966</v>
      </c>
      <c r="L284">
        <f t="shared" si="9"/>
        <v>2020</v>
      </c>
      <c r="M284" s="5">
        <v>260394</v>
      </c>
    </row>
    <row r="285" spans="1:13" ht="15.75" customHeight="1" x14ac:dyDescent="0.25">
      <c r="A285" s="3" t="s">
        <v>59</v>
      </c>
      <c r="B285" s="3" t="s">
        <v>32</v>
      </c>
      <c r="C285" s="3" t="s">
        <v>39</v>
      </c>
      <c r="D285" s="3" t="s">
        <v>40</v>
      </c>
      <c r="E285" s="3" t="s">
        <v>19</v>
      </c>
      <c r="F285" s="3">
        <v>306</v>
      </c>
      <c r="G285" s="4">
        <v>43636</v>
      </c>
      <c r="H285">
        <f t="shared" si="8"/>
        <v>2019</v>
      </c>
      <c r="I285" s="5">
        <v>253773</v>
      </c>
      <c r="J285" s="3">
        <v>980</v>
      </c>
      <c r="K285" s="4">
        <v>43907</v>
      </c>
      <c r="L285">
        <f t="shared" si="9"/>
        <v>2020</v>
      </c>
      <c r="M285" s="5">
        <v>253773</v>
      </c>
    </row>
    <row r="286" spans="1:13" ht="15.75" customHeight="1" x14ac:dyDescent="0.25">
      <c r="A286" s="3" t="s">
        <v>15</v>
      </c>
      <c r="B286" s="3" t="s">
        <v>67</v>
      </c>
      <c r="C286" s="3" t="s">
        <v>17</v>
      </c>
      <c r="D286" s="3" t="s">
        <v>13</v>
      </c>
      <c r="E286" s="3" t="s">
        <v>64</v>
      </c>
      <c r="F286" s="3">
        <v>685</v>
      </c>
      <c r="G286" s="4">
        <v>43886</v>
      </c>
      <c r="H286">
        <f t="shared" si="8"/>
        <v>2020</v>
      </c>
      <c r="I286" s="5">
        <v>251860</v>
      </c>
      <c r="J286" s="3">
        <v>1745</v>
      </c>
      <c r="K286" s="4">
        <v>44004</v>
      </c>
      <c r="L286">
        <f t="shared" si="9"/>
        <v>2020</v>
      </c>
      <c r="M286" s="5">
        <v>251860</v>
      </c>
    </row>
    <row r="287" spans="1:13" ht="15.75" customHeight="1" x14ac:dyDescent="0.25">
      <c r="A287" s="3" t="s">
        <v>15</v>
      </c>
      <c r="B287" s="3" t="s">
        <v>51</v>
      </c>
      <c r="C287" s="3" t="s">
        <v>17</v>
      </c>
      <c r="D287" s="3" t="s">
        <v>13</v>
      </c>
      <c r="E287" s="3" t="s">
        <v>64</v>
      </c>
      <c r="F287" s="3">
        <v>689</v>
      </c>
      <c r="G287" s="4">
        <v>43886</v>
      </c>
      <c r="H287">
        <f t="shared" si="8"/>
        <v>2020</v>
      </c>
      <c r="I287" s="5">
        <v>251860</v>
      </c>
      <c r="J287" s="3">
        <v>1742</v>
      </c>
      <c r="K287" s="4">
        <v>44004</v>
      </c>
      <c r="L287">
        <f t="shared" si="9"/>
        <v>2020</v>
      </c>
      <c r="M287" s="5">
        <v>251860</v>
      </c>
    </row>
    <row r="288" spans="1:13" ht="15.75" customHeight="1" x14ac:dyDescent="0.25">
      <c r="A288" s="3" t="s">
        <v>10</v>
      </c>
      <c r="B288" s="3" t="s">
        <v>24</v>
      </c>
      <c r="C288" s="3" t="s">
        <v>12</v>
      </c>
      <c r="D288" s="3" t="s">
        <v>25</v>
      </c>
      <c r="E288" s="3" t="s">
        <v>19</v>
      </c>
      <c r="F288" s="3">
        <v>284</v>
      </c>
      <c r="G288" s="4">
        <v>43630</v>
      </c>
      <c r="H288">
        <f t="shared" si="8"/>
        <v>2019</v>
      </c>
      <c r="I288" s="5">
        <v>249209</v>
      </c>
      <c r="J288" s="3">
        <v>513</v>
      </c>
      <c r="K288" s="4">
        <v>43871</v>
      </c>
      <c r="L288">
        <f t="shared" si="9"/>
        <v>2020</v>
      </c>
      <c r="M288" s="5">
        <v>249209</v>
      </c>
    </row>
    <row r="289" spans="1:13" ht="15.75" customHeight="1" x14ac:dyDescent="0.25">
      <c r="A289" s="3" t="s">
        <v>15</v>
      </c>
      <c r="B289" s="3" t="s">
        <v>42</v>
      </c>
      <c r="C289" s="3" t="s">
        <v>21</v>
      </c>
      <c r="D289" s="3" t="s">
        <v>22</v>
      </c>
      <c r="E289" s="3" t="s">
        <v>65</v>
      </c>
      <c r="F289" s="3">
        <v>2060</v>
      </c>
      <c r="G289" s="4">
        <v>44053</v>
      </c>
      <c r="H289">
        <f t="shared" si="8"/>
        <v>2020</v>
      </c>
      <c r="I289" s="5">
        <v>241786</v>
      </c>
      <c r="J289" s="3">
        <v>2586</v>
      </c>
      <c r="K289" s="4">
        <v>44130</v>
      </c>
      <c r="L289">
        <f t="shared" si="9"/>
        <v>2020</v>
      </c>
      <c r="M289" s="5">
        <v>241786</v>
      </c>
    </row>
    <row r="290" spans="1:13" ht="15.75" customHeight="1" x14ac:dyDescent="0.25">
      <c r="A290" s="3" t="s">
        <v>15</v>
      </c>
      <c r="B290" s="3" t="s">
        <v>42</v>
      </c>
      <c r="C290" s="3" t="s">
        <v>21</v>
      </c>
      <c r="D290" s="3" t="s">
        <v>22</v>
      </c>
      <c r="E290" s="3" t="s">
        <v>65</v>
      </c>
      <c r="F290" s="3">
        <v>2061</v>
      </c>
      <c r="G290" s="4">
        <v>44053</v>
      </c>
      <c r="H290">
        <f t="shared" si="8"/>
        <v>2020</v>
      </c>
      <c r="I290" s="5">
        <v>241786</v>
      </c>
      <c r="J290" s="3">
        <v>2585</v>
      </c>
      <c r="K290" s="4">
        <v>44130</v>
      </c>
      <c r="L290">
        <f t="shared" si="9"/>
        <v>2020</v>
      </c>
      <c r="M290" s="5">
        <v>241786</v>
      </c>
    </row>
    <row r="291" spans="1:13" ht="15.75" customHeight="1" x14ac:dyDescent="0.25">
      <c r="A291" s="3" t="s">
        <v>59</v>
      </c>
      <c r="B291" s="3" t="s">
        <v>20</v>
      </c>
      <c r="C291" s="3" t="s">
        <v>12</v>
      </c>
      <c r="D291" s="3" t="s">
        <v>37</v>
      </c>
      <c r="E291" s="3" t="s">
        <v>65</v>
      </c>
      <c r="F291" s="3">
        <v>283</v>
      </c>
      <c r="G291" s="4">
        <v>43735</v>
      </c>
      <c r="H291">
        <f t="shared" si="8"/>
        <v>2019</v>
      </c>
      <c r="I291" s="5">
        <v>240742</v>
      </c>
      <c r="J291" s="3">
        <v>360</v>
      </c>
      <c r="K291" s="4">
        <v>43861</v>
      </c>
      <c r="L291">
        <f t="shared" si="9"/>
        <v>2020</v>
      </c>
      <c r="M291" s="5">
        <v>240742</v>
      </c>
    </row>
    <row r="292" spans="1:13" ht="15.75" customHeight="1" x14ac:dyDescent="0.25">
      <c r="A292" s="3" t="s">
        <v>10</v>
      </c>
      <c r="B292" s="3" t="s">
        <v>45</v>
      </c>
      <c r="C292" s="3" t="s">
        <v>21</v>
      </c>
      <c r="D292" s="3" t="s">
        <v>13</v>
      </c>
      <c r="E292" s="3" t="s">
        <v>19</v>
      </c>
      <c r="F292" s="3">
        <v>3574</v>
      </c>
      <c r="G292" s="4">
        <v>43830</v>
      </c>
      <c r="H292">
        <f t="shared" si="8"/>
        <v>2019</v>
      </c>
      <c r="I292" s="5">
        <v>233056</v>
      </c>
      <c r="J292" s="3">
        <v>555</v>
      </c>
      <c r="K292" s="4">
        <v>43875</v>
      </c>
      <c r="L292">
        <f t="shared" si="9"/>
        <v>2020</v>
      </c>
      <c r="M292" s="5">
        <v>233056</v>
      </c>
    </row>
    <row r="293" spans="1:13" ht="15.75" customHeight="1" x14ac:dyDescent="0.25">
      <c r="A293" s="3" t="s">
        <v>15</v>
      </c>
      <c r="B293" s="3" t="s">
        <v>26</v>
      </c>
      <c r="C293" s="3" t="s">
        <v>12</v>
      </c>
      <c r="D293" s="3" t="s">
        <v>13</v>
      </c>
      <c r="E293" s="3" t="s">
        <v>36</v>
      </c>
      <c r="F293" s="3">
        <v>614</v>
      </c>
      <c r="G293" s="4">
        <v>43321</v>
      </c>
      <c r="H293">
        <f t="shared" si="8"/>
        <v>2018</v>
      </c>
      <c r="I293" s="5">
        <v>231963</v>
      </c>
      <c r="J293" s="3">
        <v>1237</v>
      </c>
      <c r="K293" s="4">
        <v>43936</v>
      </c>
      <c r="L293">
        <f t="shared" si="9"/>
        <v>2020</v>
      </c>
      <c r="M293" s="5">
        <v>231963</v>
      </c>
    </row>
    <row r="294" spans="1:13" ht="15.75" customHeight="1" x14ac:dyDescent="0.25">
      <c r="A294" s="3" t="s">
        <v>15</v>
      </c>
      <c r="B294" s="3" t="s">
        <v>32</v>
      </c>
      <c r="C294" s="3" t="s">
        <v>39</v>
      </c>
      <c r="D294" s="3" t="s">
        <v>40</v>
      </c>
      <c r="E294" s="3" t="s">
        <v>65</v>
      </c>
      <c r="F294" s="3">
        <v>184</v>
      </c>
      <c r="G294" s="4">
        <v>43559</v>
      </c>
      <c r="H294">
        <f t="shared" si="8"/>
        <v>2019</v>
      </c>
      <c r="I294" s="5">
        <v>981566</v>
      </c>
      <c r="J294" s="3">
        <v>1635</v>
      </c>
      <c r="K294" s="4">
        <v>43980</v>
      </c>
      <c r="L294">
        <f t="shared" si="9"/>
        <v>2020</v>
      </c>
      <c r="M294" s="5">
        <v>227259</v>
      </c>
    </row>
    <row r="295" spans="1:13" ht="15.75" customHeight="1" x14ac:dyDescent="0.25">
      <c r="A295" s="3" t="s">
        <v>59</v>
      </c>
      <c r="B295" s="3" t="s">
        <v>11</v>
      </c>
      <c r="C295" s="3" t="s">
        <v>12</v>
      </c>
      <c r="D295" s="3" t="s">
        <v>13</v>
      </c>
      <c r="E295" s="3" t="s">
        <v>65</v>
      </c>
      <c r="F295" s="3">
        <v>109</v>
      </c>
      <c r="G295" s="4">
        <v>43893</v>
      </c>
      <c r="H295">
        <f t="shared" si="8"/>
        <v>2020</v>
      </c>
      <c r="I295" s="5">
        <v>1165489</v>
      </c>
      <c r="J295" s="3">
        <v>2529</v>
      </c>
      <c r="K295" s="4">
        <v>44118</v>
      </c>
      <c r="L295">
        <f t="shared" si="9"/>
        <v>2020</v>
      </c>
      <c r="M295" s="5">
        <v>195082</v>
      </c>
    </row>
    <row r="296" spans="1:13" ht="15.75" customHeight="1" x14ac:dyDescent="0.25">
      <c r="A296" s="3" t="s">
        <v>10</v>
      </c>
      <c r="B296" s="3" t="s">
        <v>26</v>
      </c>
      <c r="C296" s="3" t="s">
        <v>12</v>
      </c>
      <c r="D296" s="3" t="s">
        <v>13</v>
      </c>
      <c r="E296" s="3" t="s">
        <v>65</v>
      </c>
      <c r="F296" s="3">
        <v>709</v>
      </c>
      <c r="G296" s="4">
        <v>43707</v>
      </c>
      <c r="H296">
        <f t="shared" si="8"/>
        <v>2019</v>
      </c>
      <c r="I296" s="5">
        <v>191611</v>
      </c>
      <c r="J296" s="3">
        <v>262</v>
      </c>
      <c r="K296" s="4">
        <v>43858</v>
      </c>
      <c r="L296">
        <f t="shared" si="9"/>
        <v>2020</v>
      </c>
      <c r="M296" s="5">
        <v>191611</v>
      </c>
    </row>
    <row r="297" spans="1:13" ht="15.75" customHeight="1" x14ac:dyDescent="0.25">
      <c r="A297" s="3" t="s">
        <v>59</v>
      </c>
      <c r="B297" s="3" t="s">
        <v>26</v>
      </c>
      <c r="C297" s="3" t="s">
        <v>12</v>
      </c>
      <c r="D297" s="3" t="s">
        <v>13</v>
      </c>
      <c r="E297" s="3" t="s">
        <v>65</v>
      </c>
      <c r="F297" s="3">
        <v>794</v>
      </c>
      <c r="G297" s="4">
        <v>43754</v>
      </c>
      <c r="H297">
        <f t="shared" si="8"/>
        <v>2019</v>
      </c>
      <c r="I297" s="5">
        <v>182147</v>
      </c>
      <c r="J297" s="3">
        <v>345</v>
      </c>
      <c r="K297" s="4">
        <v>43861</v>
      </c>
      <c r="L297">
        <f t="shared" si="9"/>
        <v>2020</v>
      </c>
      <c r="M297" s="5">
        <v>182147</v>
      </c>
    </row>
    <row r="298" spans="1:13" ht="15.75" customHeight="1" x14ac:dyDescent="0.25">
      <c r="A298" s="3" t="s">
        <v>15</v>
      </c>
      <c r="B298" s="3" t="s">
        <v>33</v>
      </c>
      <c r="C298" s="3" t="s">
        <v>12</v>
      </c>
      <c r="D298" s="3" t="s">
        <v>25</v>
      </c>
      <c r="E298" s="3" t="s">
        <v>36</v>
      </c>
      <c r="F298" s="3">
        <v>382</v>
      </c>
      <c r="G298" s="4">
        <v>42800</v>
      </c>
      <c r="H298">
        <f t="shared" si="8"/>
        <v>2017</v>
      </c>
      <c r="I298" s="5">
        <v>176662</v>
      </c>
      <c r="J298" s="3">
        <v>1985</v>
      </c>
      <c r="K298" s="4">
        <v>44043</v>
      </c>
      <c r="L298">
        <f t="shared" si="9"/>
        <v>2020</v>
      </c>
      <c r="M298" s="5">
        <v>176662</v>
      </c>
    </row>
    <row r="299" spans="1:13" ht="15.75" customHeight="1" x14ac:dyDescent="0.25">
      <c r="A299" s="3" t="s">
        <v>15</v>
      </c>
      <c r="B299" s="3" t="s">
        <v>30</v>
      </c>
      <c r="C299" s="3" t="s">
        <v>12</v>
      </c>
      <c r="D299" s="3" t="s">
        <v>35</v>
      </c>
      <c r="E299" s="3" t="s">
        <v>58</v>
      </c>
      <c r="F299" s="3">
        <v>25</v>
      </c>
      <c r="G299" s="4">
        <v>43893</v>
      </c>
      <c r="H299">
        <f t="shared" si="8"/>
        <v>2020</v>
      </c>
      <c r="I299" s="5">
        <v>167341</v>
      </c>
      <c r="J299" s="3">
        <v>1288</v>
      </c>
      <c r="K299" s="4">
        <v>43944</v>
      </c>
      <c r="L299">
        <f t="shared" si="9"/>
        <v>2020</v>
      </c>
      <c r="M299" s="5">
        <v>167341</v>
      </c>
    </row>
    <row r="300" spans="1:13" ht="15.75" customHeight="1" x14ac:dyDescent="0.25">
      <c r="A300" s="3" t="s">
        <v>10</v>
      </c>
      <c r="B300" s="3" t="s">
        <v>43</v>
      </c>
      <c r="C300" s="3" t="s">
        <v>17</v>
      </c>
      <c r="D300" s="3" t="s">
        <v>13</v>
      </c>
      <c r="E300" s="3" t="s">
        <v>19</v>
      </c>
      <c r="F300" s="3">
        <v>2121</v>
      </c>
      <c r="G300" s="4">
        <v>44057</v>
      </c>
      <c r="H300">
        <f t="shared" si="8"/>
        <v>2020</v>
      </c>
      <c r="I300" s="5">
        <v>158460</v>
      </c>
      <c r="J300" s="3">
        <v>3247</v>
      </c>
      <c r="K300" s="4">
        <v>44195</v>
      </c>
      <c r="L300">
        <f t="shared" si="9"/>
        <v>2020</v>
      </c>
      <c r="M300" s="5">
        <v>148914</v>
      </c>
    </row>
    <row r="301" spans="1:13" ht="15.75" customHeight="1" x14ac:dyDescent="0.25">
      <c r="A301" s="3" t="s">
        <v>15</v>
      </c>
      <c r="B301" s="3" t="s">
        <v>26</v>
      </c>
      <c r="C301" s="3" t="s">
        <v>12</v>
      </c>
      <c r="D301" s="3" t="s">
        <v>13</v>
      </c>
      <c r="E301" s="3" t="s">
        <v>69</v>
      </c>
      <c r="F301" s="3">
        <v>740</v>
      </c>
      <c r="G301" s="4">
        <v>43721</v>
      </c>
      <c r="H301">
        <f t="shared" si="8"/>
        <v>2019</v>
      </c>
      <c r="I301" s="5">
        <v>147687</v>
      </c>
      <c r="J301" s="3">
        <v>1253</v>
      </c>
      <c r="K301" s="4">
        <v>43936</v>
      </c>
      <c r="L301">
        <f t="shared" si="9"/>
        <v>2020</v>
      </c>
      <c r="M301" s="5">
        <v>147687</v>
      </c>
    </row>
    <row r="302" spans="1:13" ht="15.75" customHeight="1" x14ac:dyDescent="0.25">
      <c r="A302" s="3" t="s">
        <v>15</v>
      </c>
      <c r="B302" s="3" t="s">
        <v>11</v>
      </c>
      <c r="C302" s="3" t="s">
        <v>12</v>
      </c>
      <c r="D302" s="3" t="s">
        <v>13</v>
      </c>
      <c r="E302" s="3" t="s">
        <v>66</v>
      </c>
      <c r="F302" s="3">
        <v>724</v>
      </c>
      <c r="G302" s="4">
        <v>43717</v>
      </c>
      <c r="H302">
        <f t="shared" si="8"/>
        <v>2019</v>
      </c>
      <c r="I302" s="5">
        <v>147393</v>
      </c>
      <c r="J302" s="3">
        <v>1056</v>
      </c>
      <c r="K302" s="4">
        <v>43916</v>
      </c>
      <c r="L302">
        <f t="shared" si="9"/>
        <v>2020</v>
      </c>
      <c r="M302" s="5">
        <v>147393</v>
      </c>
    </row>
    <row r="303" spans="1:13" ht="15.75" customHeight="1" x14ac:dyDescent="0.25">
      <c r="A303" s="3" t="s">
        <v>59</v>
      </c>
      <c r="B303" s="3" t="s">
        <v>45</v>
      </c>
      <c r="C303" s="3" t="s">
        <v>21</v>
      </c>
      <c r="D303" s="3" t="s">
        <v>13</v>
      </c>
      <c r="E303" s="3" t="s">
        <v>19</v>
      </c>
      <c r="F303" s="3">
        <v>3587</v>
      </c>
      <c r="G303" s="4">
        <v>43830</v>
      </c>
      <c r="H303">
        <f t="shared" si="8"/>
        <v>2019</v>
      </c>
      <c r="I303" s="5">
        <v>145503</v>
      </c>
      <c r="J303" s="3">
        <v>557</v>
      </c>
      <c r="K303" s="4">
        <v>43875</v>
      </c>
      <c r="L303">
        <f t="shared" si="9"/>
        <v>2020</v>
      </c>
      <c r="M303" s="5">
        <v>145503</v>
      </c>
    </row>
    <row r="304" spans="1:13" ht="15.75" customHeight="1" x14ac:dyDescent="0.25">
      <c r="A304" s="3" t="s">
        <v>59</v>
      </c>
      <c r="B304" s="3" t="s">
        <v>24</v>
      </c>
      <c r="C304" s="3" t="s">
        <v>12</v>
      </c>
      <c r="D304" s="3" t="s">
        <v>25</v>
      </c>
      <c r="E304" s="3" t="s">
        <v>19</v>
      </c>
      <c r="F304" s="3">
        <v>280</v>
      </c>
      <c r="G304" s="4">
        <v>43630</v>
      </c>
      <c r="H304">
        <f t="shared" si="8"/>
        <v>2019</v>
      </c>
      <c r="I304" s="5">
        <v>141677</v>
      </c>
      <c r="J304" s="3">
        <v>519</v>
      </c>
      <c r="K304" s="4">
        <v>43871</v>
      </c>
      <c r="L304">
        <f t="shared" si="9"/>
        <v>2020</v>
      </c>
      <c r="M304" s="5">
        <v>141677</v>
      </c>
    </row>
    <row r="305" spans="1:13" ht="15.75" customHeight="1" x14ac:dyDescent="0.25">
      <c r="A305" s="3" t="s">
        <v>15</v>
      </c>
      <c r="B305" s="3" t="s">
        <v>32</v>
      </c>
      <c r="C305" s="3" t="s">
        <v>21</v>
      </c>
      <c r="D305" s="3" t="s">
        <v>13</v>
      </c>
      <c r="E305" s="3" t="s">
        <v>65</v>
      </c>
      <c r="F305" s="3">
        <v>2064</v>
      </c>
      <c r="G305" s="4">
        <v>44053</v>
      </c>
      <c r="H305">
        <f t="shared" si="8"/>
        <v>2020</v>
      </c>
      <c r="I305" s="5">
        <v>130967</v>
      </c>
      <c r="J305" s="3">
        <v>2584</v>
      </c>
      <c r="K305" s="4">
        <v>44130</v>
      </c>
      <c r="L305">
        <f t="shared" si="9"/>
        <v>2020</v>
      </c>
      <c r="M305" s="5">
        <v>130967</v>
      </c>
    </row>
    <row r="306" spans="1:13" ht="15.75" customHeight="1" x14ac:dyDescent="0.25">
      <c r="A306" s="3" t="s">
        <v>59</v>
      </c>
      <c r="B306" s="3" t="s">
        <v>20</v>
      </c>
      <c r="C306" s="3" t="s">
        <v>21</v>
      </c>
      <c r="D306" s="3" t="s">
        <v>13</v>
      </c>
      <c r="E306" s="3" t="s">
        <v>19</v>
      </c>
      <c r="F306" s="3">
        <v>3044</v>
      </c>
      <c r="G306" s="4">
        <v>43795</v>
      </c>
      <c r="H306">
        <f t="shared" si="8"/>
        <v>2019</v>
      </c>
      <c r="I306" s="5">
        <v>128664</v>
      </c>
      <c r="J306" s="3">
        <v>2569</v>
      </c>
      <c r="K306" s="4">
        <v>44125</v>
      </c>
      <c r="L306">
        <f t="shared" si="9"/>
        <v>2020</v>
      </c>
      <c r="M306" s="5">
        <v>128664</v>
      </c>
    </row>
    <row r="307" spans="1:13" ht="15.75" customHeight="1" x14ac:dyDescent="0.25">
      <c r="A307" s="3" t="s">
        <v>15</v>
      </c>
      <c r="B307" s="3" t="s">
        <v>26</v>
      </c>
      <c r="C307" s="3" t="s">
        <v>12</v>
      </c>
      <c r="D307" s="3" t="s">
        <v>13</v>
      </c>
      <c r="E307" s="3" t="s">
        <v>36</v>
      </c>
      <c r="F307" s="3">
        <v>98</v>
      </c>
      <c r="G307" s="4">
        <v>43886</v>
      </c>
      <c r="H307">
        <f t="shared" si="8"/>
        <v>2020</v>
      </c>
      <c r="I307" s="5">
        <v>127053</v>
      </c>
      <c r="J307" s="3">
        <v>1475</v>
      </c>
      <c r="K307" s="4">
        <v>43966</v>
      </c>
      <c r="L307">
        <f t="shared" si="9"/>
        <v>2020</v>
      </c>
      <c r="M307" s="5">
        <v>127053</v>
      </c>
    </row>
    <row r="308" spans="1:13" ht="15.75" customHeight="1" x14ac:dyDescent="0.25">
      <c r="A308" s="3" t="s">
        <v>15</v>
      </c>
      <c r="B308" s="3" t="s">
        <v>29</v>
      </c>
      <c r="C308" s="3" t="s">
        <v>39</v>
      </c>
      <c r="D308" s="3" t="s">
        <v>40</v>
      </c>
      <c r="E308" s="3" t="s">
        <v>70</v>
      </c>
      <c r="F308" s="3">
        <v>397</v>
      </c>
      <c r="G308" s="4">
        <v>43703</v>
      </c>
      <c r="H308">
        <f t="shared" si="8"/>
        <v>2019</v>
      </c>
      <c r="I308" s="5">
        <v>117914</v>
      </c>
      <c r="J308" s="3">
        <v>362</v>
      </c>
      <c r="K308" s="4">
        <v>43861</v>
      </c>
      <c r="L308">
        <f t="shared" si="9"/>
        <v>2020</v>
      </c>
      <c r="M308" s="5">
        <v>117914</v>
      </c>
    </row>
    <row r="309" spans="1:13" ht="15.75" customHeight="1" x14ac:dyDescent="0.25">
      <c r="A309" s="3" t="s">
        <v>10</v>
      </c>
      <c r="B309" s="3" t="s">
        <v>45</v>
      </c>
      <c r="C309" s="3" t="s">
        <v>21</v>
      </c>
      <c r="D309" s="3" t="s">
        <v>13</v>
      </c>
      <c r="E309" s="3" t="s">
        <v>19</v>
      </c>
      <c r="F309" s="3">
        <v>3061</v>
      </c>
      <c r="G309" s="4">
        <v>43795</v>
      </c>
      <c r="H309">
        <f t="shared" si="8"/>
        <v>2019</v>
      </c>
      <c r="I309" s="5">
        <v>111829</v>
      </c>
      <c r="J309" s="3">
        <v>3253</v>
      </c>
      <c r="K309" s="4">
        <v>44195</v>
      </c>
      <c r="L309">
        <f t="shared" si="9"/>
        <v>2020</v>
      </c>
      <c r="M309" s="5">
        <v>111829</v>
      </c>
    </row>
    <row r="310" spans="1:13" ht="15.75" customHeight="1" x14ac:dyDescent="0.25">
      <c r="A310" s="3" t="s">
        <v>59</v>
      </c>
      <c r="B310" s="3" t="s">
        <v>30</v>
      </c>
      <c r="C310" s="3" t="s">
        <v>12</v>
      </c>
      <c r="D310" s="3" t="s">
        <v>35</v>
      </c>
      <c r="E310" s="3" t="s">
        <v>65</v>
      </c>
      <c r="F310" s="3">
        <v>169</v>
      </c>
      <c r="G310" s="4">
        <v>43733</v>
      </c>
      <c r="H310">
        <f t="shared" si="8"/>
        <v>2019</v>
      </c>
      <c r="I310" s="5">
        <v>103381</v>
      </c>
      <c r="J310" s="3">
        <v>348</v>
      </c>
      <c r="K310" s="4">
        <v>43861</v>
      </c>
      <c r="L310">
        <f t="shared" si="9"/>
        <v>2020</v>
      </c>
      <c r="M310" s="5">
        <v>103381</v>
      </c>
    </row>
    <row r="311" spans="1:13" ht="15.75" customHeight="1" x14ac:dyDescent="0.25">
      <c r="A311" s="3" t="s">
        <v>10</v>
      </c>
      <c r="B311" s="3" t="s">
        <v>30</v>
      </c>
      <c r="C311" s="3" t="s">
        <v>12</v>
      </c>
      <c r="D311" s="3" t="s">
        <v>35</v>
      </c>
      <c r="E311" s="3" t="s">
        <v>65</v>
      </c>
      <c r="F311" s="3">
        <v>157</v>
      </c>
      <c r="G311" s="4">
        <v>43710</v>
      </c>
      <c r="H311">
        <f t="shared" si="8"/>
        <v>2019</v>
      </c>
      <c r="I311" s="5">
        <v>103175</v>
      </c>
      <c r="J311" s="3">
        <v>260</v>
      </c>
      <c r="K311" s="4">
        <v>43858</v>
      </c>
      <c r="L311">
        <f t="shared" si="9"/>
        <v>2020</v>
      </c>
      <c r="M311" s="5">
        <v>103175</v>
      </c>
    </row>
    <row r="312" spans="1:13" ht="15.75" customHeight="1" x14ac:dyDescent="0.25">
      <c r="A312" s="3" t="s">
        <v>15</v>
      </c>
      <c r="B312" s="3" t="s">
        <v>52</v>
      </c>
      <c r="C312" s="3" t="s">
        <v>12</v>
      </c>
      <c r="D312" s="3" t="s">
        <v>13</v>
      </c>
      <c r="E312" s="3" t="s">
        <v>70</v>
      </c>
      <c r="F312" s="3">
        <v>445</v>
      </c>
      <c r="G312" s="4">
        <v>44053</v>
      </c>
      <c r="H312">
        <f t="shared" si="8"/>
        <v>2020</v>
      </c>
      <c r="I312" s="5">
        <v>100544</v>
      </c>
      <c r="J312" s="3">
        <v>2528</v>
      </c>
      <c r="K312" s="4">
        <v>44118</v>
      </c>
      <c r="L312">
        <f t="shared" si="9"/>
        <v>2020</v>
      </c>
      <c r="M312" s="5">
        <v>100544</v>
      </c>
    </row>
    <row r="313" spans="1:13" ht="15.75" customHeight="1" x14ac:dyDescent="0.25">
      <c r="A313" s="3" t="s">
        <v>15</v>
      </c>
      <c r="B313" s="3" t="s">
        <v>67</v>
      </c>
      <c r="C313" s="3" t="s">
        <v>39</v>
      </c>
      <c r="D313" s="3" t="s">
        <v>40</v>
      </c>
      <c r="E313" s="3" t="s">
        <v>58</v>
      </c>
      <c r="F313" s="3">
        <v>51</v>
      </c>
      <c r="G313" s="4">
        <v>43887</v>
      </c>
      <c r="H313">
        <f t="shared" si="8"/>
        <v>2020</v>
      </c>
      <c r="I313" s="5">
        <v>96032</v>
      </c>
      <c r="J313" s="3">
        <v>2110</v>
      </c>
      <c r="K313" s="4">
        <v>44057</v>
      </c>
      <c r="L313">
        <f t="shared" si="9"/>
        <v>2020</v>
      </c>
      <c r="M313" s="5">
        <v>96032</v>
      </c>
    </row>
    <row r="314" spans="1:13" ht="15.75" customHeight="1" x14ac:dyDescent="0.25">
      <c r="A314" s="3" t="s">
        <v>59</v>
      </c>
      <c r="B314" s="3" t="s">
        <v>29</v>
      </c>
      <c r="C314" s="3" t="s">
        <v>39</v>
      </c>
      <c r="D314" s="3" t="s">
        <v>40</v>
      </c>
      <c r="E314" s="3" t="s">
        <v>65</v>
      </c>
      <c r="F314" s="3">
        <v>451</v>
      </c>
      <c r="G314" s="4">
        <v>43734</v>
      </c>
      <c r="H314">
        <f t="shared" si="8"/>
        <v>2019</v>
      </c>
      <c r="I314" s="5">
        <v>93535</v>
      </c>
      <c r="J314" s="3">
        <v>357</v>
      </c>
      <c r="K314" s="4">
        <v>43861</v>
      </c>
      <c r="L314">
        <f t="shared" si="9"/>
        <v>2020</v>
      </c>
      <c r="M314" s="5">
        <v>93535</v>
      </c>
    </row>
    <row r="315" spans="1:13" ht="15.75" customHeight="1" x14ac:dyDescent="0.25">
      <c r="A315" s="3" t="s">
        <v>15</v>
      </c>
      <c r="B315" s="3" t="s">
        <v>32</v>
      </c>
      <c r="C315" s="3" t="s">
        <v>39</v>
      </c>
      <c r="D315" s="3" t="s">
        <v>40</v>
      </c>
      <c r="E315" s="3" t="s">
        <v>65</v>
      </c>
      <c r="F315" s="3">
        <v>185</v>
      </c>
      <c r="G315" s="4">
        <v>43559</v>
      </c>
      <c r="H315">
        <f t="shared" si="8"/>
        <v>2019</v>
      </c>
      <c r="I315" s="5">
        <v>91871</v>
      </c>
      <c r="J315" s="3">
        <v>1054</v>
      </c>
      <c r="K315" s="4">
        <v>43916</v>
      </c>
      <c r="L315">
        <f t="shared" si="9"/>
        <v>2020</v>
      </c>
      <c r="M315" s="5">
        <v>91871</v>
      </c>
    </row>
    <row r="316" spans="1:13" ht="15.75" customHeight="1" x14ac:dyDescent="0.25">
      <c r="A316" s="3" t="s">
        <v>15</v>
      </c>
      <c r="B316" s="3" t="s">
        <v>48</v>
      </c>
      <c r="C316" s="3" t="s">
        <v>12</v>
      </c>
      <c r="D316" s="3" t="s">
        <v>13</v>
      </c>
      <c r="E316" s="3" t="s">
        <v>36</v>
      </c>
      <c r="F316" s="3">
        <v>99</v>
      </c>
      <c r="G316" s="4">
        <v>43886</v>
      </c>
      <c r="H316">
        <f t="shared" si="8"/>
        <v>2020</v>
      </c>
      <c r="I316" s="5">
        <v>84535</v>
      </c>
      <c r="J316" s="3">
        <v>1474</v>
      </c>
      <c r="K316" s="4">
        <v>43966</v>
      </c>
      <c r="L316">
        <f t="shared" si="9"/>
        <v>2020</v>
      </c>
      <c r="M316" s="5">
        <v>84535</v>
      </c>
    </row>
    <row r="317" spans="1:13" ht="15.75" customHeight="1" x14ac:dyDescent="0.25">
      <c r="A317" s="3" t="s">
        <v>59</v>
      </c>
      <c r="B317" s="3" t="s">
        <v>48</v>
      </c>
      <c r="C317" s="3" t="s">
        <v>12</v>
      </c>
      <c r="D317" s="3" t="s">
        <v>13</v>
      </c>
      <c r="E317" s="3" t="s">
        <v>65</v>
      </c>
      <c r="F317" s="3">
        <v>790</v>
      </c>
      <c r="G317" s="4">
        <v>43754</v>
      </c>
      <c r="H317">
        <f t="shared" si="8"/>
        <v>2019</v>
      </c>
      <c r="I317" s="5">
        <v>83689</v>
      </c>
      <c r="J317" s="3">
        <v>347</v>
      </c>
      <c r="K317" s="4">
        <v>43861</v>
      </c>
      <c r="L317">
        <f t="shared" si="9"/>
        <v>2020</v>
      </c>
      <c r="M317" s="5">
        <v>83689</v>
      </c>
    </row>
    <row r="318" spans="1:13" ht="15.75" customHeight="1" x14ac:dyDescent="0.25">
      <c r="A318" s="3" t="s">
        <v>59</v>
      </c>
      <c r="B318" s="3" t="s">
        <v>29</v>
      </c>
      <c r="C318" s="3" t="s">
        <v>39</v>
      </c>
      <c r="D318" s="3" t="s">
        <v>40</v>
      </c>
      <c r="E318" s="3" t="s">
        <v>65</v>
      </c>
      <c r="F318" s="3">
        <v>450</v>
      </c>
      <c r="G318" s="4">
        <v>43734</v>
      </c>
      <c r="H318">
        <f t="shared" si="8"/>
        <v>2019</v>
      </c>
      <c r="I318" s="5">
        <v>83689</v>
      </c>
      <c r="J318" s="3">
        <v>358</v>
      </c>
      <c r="K318" s="4">
        <v>43861</v>
      </c>
      <c r="L318">
        <f t="shared" si="9"/>
        <v>2020</v>
      </c>
      <c r="M318" s="5">
        <v>83689</v>
      </c>
    </row>
    <row r="319" spans="1:13" ht="15.75" customHeight="1" x14ac:dyDescent="0.25">
      <c r="A319" s="3" t="s">
        <v>10</v>
      </c>
      <c r="B319" s="3" t="s">
        <v>48</v>
      </c>
      <c r="C319" s="3" t="s">
        <v>12</v>
      </c>
      <c r="D319" s="3" t="s">
        <v>13</v>
      </c>
      <c r="E319" s="3" t="s">
        <v>65</v>
      </c>
      <c r="F319" s="3">
        <v>708</v>
      </c>
      <c r="G319" s="4">
        <v>43707</v>
      </c>
      <c r="H319">
        <f t="shared" si="8"/>
        <v>2019</v>
      </c>
      <c r="I319" s="5">
        <v>83523</v>
      </c>
      <c r="J319" s="3">
        <v>261</v>
      </c>
      <c r="K319" s="4">
        <v>43858</v>
      </c>
      <c r="L319">
        <f t="shared" si="9"/>
        <v>2020</v>
      </c>
      <c r="M319" s="5">
        <v>83523</v>
      </c>
    </row>
    <row r="320" spans="1:13" ht="15.75" customHeight="1" x14ac:dyDescent="0.25">
      <c r="A320" s="3" t="s">
        <v>15</v>
      </c>
      <c r="B320" s="3" t="s">
        <v>20</v>
      </c>
      <c r="C320" s="3" t="s">
        <v>39</v>
      </c>
      <c r="D320" s="3" t="s">
        <v>40</v>
      </c>
      <c r="E320" s="3" t="s">
        <v>58</v>
      </c>
      <c r="F320" s="3">
        <v>49</v>
      </c>
      <c r="G320" s="4">
        <v>43887</v>
      </c>
      <c r="H320">
        <f t="shared" si="8"/>
        <v>2020</v>
      </c>
      <c r="I320" s="5">
        <v>48160</v>
      </c>
      <c r="J320" s="3">
        <v>1817</v>
      </c>
      <c r="K320" s="4">
        <v>44012</v>
      </c>
      <c r="L320">
        <f t="shared" si="9"/>
        <v>2020</v>
      </c>
      <c r="M320" s="5">
        <v>48160</v>
      </c>
    </row>
    <row r="321" spans="1:13" ht="15.75" customHeight="1" x14ac:dyDescent="0.25">
      <c r="A321" s="3" t="s">
        <v>15</v>
      </c>
      <c r="B321" s="3" t="s">
        <v>52</v>
      </c>
      <c r="C321" s="3" t="s">
        <v>12</v>
      </c>
      <c r="D321" s="3" t="s">
        <v>13</v>
      </c>
      <c r="E321" s="3" t="s">
        <v>58</v>
      </c>
      <c r="F321" s="3">
        <v>25</v>
      </c>
      <c r="G321" s="4">
        <v>43850</v>
      </c>
      <c r="H321">
        <f t="shared" si="8"/>
        <v>2020</v>
      </c>
      <c r="I321" s="5">
        <v>47301</v>
      </c>
      <c r="J321" s="3">
        <v>1814</v>
      </c>
      <c r="K321" s="4">
        <v>44012</v>
      </c>
      <c r="L321">
        <f t="shared" si="9"/>
        <v>2020</v>
      </c>
      <c r="M321" s="5">
        <v>47301</v>
      </c>
    </row>
    <row r="322" spans="1:13" ht="15.75" customHeight="1" x14ac:dyDescent="0.25">
      <c r="A322" s="3" t="s">
        <v>15</v>
      </c>
      <c r="B322" s="3" t="s">
        <v>33</v>
      </c>
      <c r="C322" s="3" t="s">
        <v>12</v>
      </c>
      <c r="D322" s="3" t="s">
        <v>13</v>
      </c>
      <c r="E322" s="3" t="s">
        <v>58</v>
      </c>
      <c r="F322" s="3">
        <v>521</v>
      </c>
      <c r="G322" s="4">
        <v>43655</v>
      </c>
      <c r="H322">
        <f t="shared" si="8"/>
        <v>2019</v>
      </c>
      <c r="I322" s="5">
        <v>46786</v>
      </c>
      <c r="J322" s="3">
        <v>257</v>
      </c>
      <c r="K322" s="4">
        <v>43858</v>
      </c>
      <c r="L322">
        <f t="shared" si="9"/>
        <v>2020</v>
      </c>
      <c r="M322" s="5">
        <v>46786</v>
      </c>
    </row>
    <row r="323" spans="1:13" ht="15.75" customHeight="1" x14ac:dyDescent="0.25">
      <c r="A323" s="3" t="s">
        <v>15</v>
      </c>
      <c r="B323" s="3" t="s">
        <v>67</v>
      </c>
      <c r="C323" s="3" t="s">
        <v>39</v>
      </c>
      <c r="D323" s="3" t="s">
        <v>40</v>
      </c>
      <c r="E323" s="3" t="s">
        <v>58</v>
      </c>
      <c r="F323" s="3">
        <v>331</v>
      </c>
      <c r="G323" s="4">
        <v>43650</v>
      </c>
      <c r="H323">
        <f t="shared" ref="H323:H329" si="10">YEAR(G323)</f>
        <v>2019</v>
      </c>
      <c r="I323" s="5">
        <v>46647</v>
      </c>
      <c r="J323" s="3">
        <v>254</v>
      </c>
      <c r="K323" s="4">
        <v>43858</v>
      </c>
      <c r="L323">
        <f t="shared" si="9"/>
        <v>2020</v>
      </c>
      <c r="M323" s="5">
        <v>46647</v>
      </c>
    </row>
    <row r="324" spans="1:13" ht="15.75" customHeight="1" x14ac:dyDescent="0.25">
      <c r="A324" s="3" t="s">
        <v>10</v>
      </c>
      <c r="B324" s="3" t="s">
        <v>45</v>
      </c>
      <c r="C324" s="3" t="s">
        <v>21</v>
      </c>
      <c r="D324" s="3" t="s">
        <v>22</v>
      </c>
      <c r="E324" s="3" t="s">
        <v>19</v>
      </c>
      <c r="F324" s="3">
        <v>3055</v>
      </c>
      <c r="G324" s="4">
        <v>43795</v>
      </c>
      <c r="H324">
        <f t="shared" si="10"/>
        <v>2019</v>
      </c>
      <c r="I324" s="5">
        <v>27483</v>
      </c>
      <c r="J324" s="3">
        <v>3252</v>
      </c>
      <c r="K324" s="4">
        <v>44195</v>
      </c>
      <c r="L324">
        <f t="shared" ref="L324:L329" si="11">YEAR(K324)</f>
        <v>2020</v>
      </c>
      <c r="M324" s="5">
        <v>27483</v>
      </c>
    </row>
    <row r="325" spans="1:13" ht="15.75" customHeight="1" x14ac:dyDescent="0.25">
      <c r="A325" s="3" t="s">
        <v>10</v>
      </c>
      <c r="B325" s="3" t="s">
        <v>20</v>
      </c>
      <c r="C325" s="3" t="s">
        <v>12</v>
      </c>
      <c r="D325" s="3" t="s">
        <v>37</v>
      </c>
      <c r="E325" s="3" t="s">
        <v>19</v>
      </c>
      <c r="F325" s="3">
        <v>255</v>
      </c>
      <c r="G325" s="4">
        <v>43693</v>
      </c>
      <c r="H325">
        <f t="shared" si="10"/>
        <v>2019</v>
      </c>
      <c r="I325" s="5">
        <v>445599</v>
      </c>
      <c r="J325" s="3">
        <v>700</v>
      </c>
      <c r="K325" s="4">
        <v>43886</v>
      </c>
      <c r="L325">
        <f t="shared" si="11"/>
        <v>2020</v>
      </c>
      <c r="M325" s="5">
        <v>21230</v>
      </c>
    </row>
    <row r="326" spans="1:13" ht="15.75" customHeight="1" x14ac:dyDescent="0.25">
      <c r="A326" s="3" t="s">
        <v>15</v>
      </c>
      <c r="B326" s="3" t="s">
        <v>52</v>
      </c>
      <c r="C326" s="3" t="s">
        <v>12</v>
      </c>
      <c r="D326" s="3" t="s">
        <v>13</v>
      </c>
      <c r="E326" s="3" t="s">
        <v>69</v>
      </c>
      <c r="F326" s="3">
        <v>739</v>
      </c>
      <c r="G326" s="4">
        <v>43721</v>
      </c>
      <c r="H326">
        <f t="shared" si="10"/>
        <v>2019</v>
      </c>
      <c r="I326" s="5">
        <v>19652</v>
      </c>
      <c r="J326" s="3">
        <v>361</v>
      </c>
      <c r="K326" s="4">
        <v>43861</v>
      </c>
      <c r="L326">
        <f t="shared" si="11"/>
        <v>2020</v>
      </c>
      <c r="M326" s="5">
        <v>19652</v>
      </c>
    </row>
    <row r="327" spans="1:13" ht="15.75" customHeight="1" x14ac:dyDescent="0.25">
      <c r="A327" s="3" t="s">
        <v>15</v>
      </c>
      <c r="B327" s="3" t="s">
        <v>20</v>
      </c>
      <c r="C327" s="3" t="s">
        <v>39</v>
      </c>
      <c r="D327" s="3" t="s">
        <v>40</v>
      </c>
      <c r="E327" s="3" t="s">
        <v>36</v>
      </c>
      <c r="F327" s="3">
        <v>40</v>
      </c>
      <c r="G327" s="4">
        <v>43878</v>
      </c>
      <c r="H327">
        <f t="shared" si="10"/>
        <v>2020</v>
      </c>
      <c r="I327" s="5">
        <v>0</v>
      </c>
      <c r="J327" s="3">
        <v>2176</v>
      </c>
      <c r="K327" s="4">
        <v>44071</v>
      </c>
      <c r="L327">
        <f t="shared" si="11"/>
        <v>2020</v>
      </c>
      <c r="M327" s="5">
        <v>0</v>
      </c>
    </row>
    <row r="328" spans="1:13" ht="15.75" customHeight="1" x14ac:dyDescent="0.25">
      <c r="A328" s="3" t="s">
        <v>15</v>
      </c>
      <c r="B328" s="3" t="s">
        <v>32</v>
      </c>
      <c r="C328" s="3" t="s">
        <v>39</v>
      </c>
      <c r="D328" s="3" t="s">
        <v>40</v>
      </c>
      <c r="E328" s="3" t="s">
        <v>68</v>
      </c>
      <c r="F328" s="3">
        <v>436</v>
      </c>
      <c r="G328" s="4">
        <v>43731</v>
      </c>
      <c r="H328">
        <f t="shared" si="10"/>
        <v>2019</v>
      </c>
      <c r="I328" s="5">
        <v>309526</v>
      </c>
      <c r="J328" s="3">
        <v>1059</v>
      </c>
      <c r="K328" s="4">
        <v>43916</v>
      </c>
      <c r="L328">
        <f t="shared" si="11"/>
        <v>2020</v>
      </c>
      <c r="M328" s="5">
        <v>0</v>
      </c>
    </row>
    <row r="329" spans="1:13" ht="15.75" customHeight="1" x14ac:dyDescent="0.25">
      <c r="A329" s="3" t="s">
        <v>15</v>
      </c>
      <c r="B329" s="3" t="s">
        <v>32</v>
      </c>
      <c r="C329" s="3" t="s">
        <v>21</v>
      </c>
      <c r="D329" s="3" t="s">
        <v>41</v>
      </c>
      <c r="E329" s="3" t="s">
        <v>23</v>
      </c>
      <c r="F329" s="3">
        <v>295</v>
      </c>
      <c r="G329" s="4">
        <v>43859</v>
      </c>
      <c r="H329">
        <f t="shared" si="10"/>
        <v>2020</v>
      </c>
      <c r="I329" s="5">
        <v>4626534</v>
      </c>
      <c r="J329" s="3">
        <v>1698</v>
      </c>
      <c r="K329" s="4">
        <v>43993</v>
      </c>
      <c r="L329">
        <f t="shared" si="11"/>
        <v>2020</v>
      </c>
      <c r="M329" s="5">
        <v>0</v>
      </c>
    </row>
    <row r="330" spans="1:13" ht="15.75" customHeight="1" x14ac:dyDescent="0.25">
      <c r="D330" s="20"/>
      <c r="I330" s="6"/>
      <c r="M330" s="6"/>
    </row>
    <row r="331" spans="1:13" ht="15.75" customHeight="1" x14ac:dyDescent="0.25">
      <c r="I331" s="6"/>
      <c r="M331" s="6"/>
    </row>
    <row r="332" spans="1:13" ht="15.75" customHeight="1" x14ac:dyDescent="0.25">
      <c r="I332" s="6"/>
      <c r="M332" s="6"/>
    </row>
    <row r="333" spans="1:13" ht="15.75" customHeight="1" x14ac:dyDescent="0.25">
      <c r="I333" s="6"/>
      <c r="M333" s="6"/>
    </row>
    <row r="334" spans="1:13" ht="15.75" customHeight="1" x14ac:dyDescent="0.25">
      <c r="I334" s="6"/>
      <c r="M334" s="6"/>
    </row>
    <row r="335" spans="1:13" ht="15.75" customHeight="1" x14ac:dyDescent="0.25">
      <c r="I335" s="6"/>
      <c r="M335" s="6"/>
    </row>
    <row r="336" spans="1:13" ht="15.75" customHeight="1" x14ac:dyDescent="0.25">
      <c r="I336" s="6"/>
      <c r="M336" s="6"/>
    </row>
    <row r="337" spans="9:13" ht="15.75" customHeight="1" x14ac:dyDescent="0.25">
      <c r="I337" s="6"/>
      <c r="M337" s="6"/>
    </row>
    <row r="338" spans="9:13" ht="15.75" customHeight="1" x14ac:dyDescent="0.25">
      <c r="I338" s="6"/>
      <c r="M338" s="6"/>
    </row>
    <row r="339" spans="9:13" ht="15.75" customHeight="1" x14ac:dyDescent="0.25">
      <c r="I339" s="6"/>
      <c r="M339" s="6"/>
    </row>
    <row r="340" spans="9:13" ht="15.75" customHeight="1" x14ac:dyDescent="0.25">
      <c r="I340" s="6"/>
      <c r="M340" s="6"/>
    </row>
    <row r="341" spans="9:13" ht="15.75" customHeight="1" x14ac:dyDescent="0.25">
      <c r="I341" s="6"/>
      <c r="M341" s="6"/>
    </row>
    <row r="342" spans="9:13" ht="15.75" customHeight="1" x14ac:dyDescent="0.25">
      <c r="I342" s="6"/>
      <c r="M342" s="6"/>
    </row>
    <row r="343" spans="9:13" ht="15.75" customHeight="1" x14ac:dyDescent="0.25">
      <c r="I343" s="6"/>
      <c r="M343" s="6"/>
    </row>
    <row r="344" spans="9:13" ht="15.75" customHeight="1" x14ac:dyDescent="0.25">
      <c r="I344" s="6"/>
      <c r="M344" s="6"/>
    </row>
    <row r="345" spans="9:13" ht="15.75" customHeight="1" x14ac:dyDescent="0.25">
      <c r="I345" s="6"/>
      <c r="M345" s="6"/>
    </row>
    <row r="346" spans="9:13" ht="15.75" customHeight="1" x14ac:dyDescent="0.25">
      <c r="I346" s="6"/>
      <c r="M346" s="6"/>
    </row>
    <row r="347" spans="9:13" ht="15.75" customHeight="1" x14ac:dyDescent="0.25">
      <c r="I347" s="6"/>
      <c r="M347" s="6"/>
    </row>
    <row r="348" spans="9:13" ht="15.75" customHeight="1" x14ac:dyDescent="0.25">
      <c r="I348" s="6"/>
      <c r="M348" s="6"/>
    </row>
    <row r="349" spans="9:13" ht="15.75" customHeight="1" x14ac:dyDescent="0.25">
      <c r="I349" s="6"/>
      <c r="M349" s="6"/>
    </row>
    <row r="350" spans="9:13" ht="15.75" customHeight="1" x14ac:dyDescent="0.25">
      <c r="I350" s="6"/>
      <c r="M350" s="6"/>
    </row>
    <row r="351" spans="9:13" ht="15.75" customHeight="1" x14ac:dyDescent="0.25">
      <c r="I351" s="6"/>
      <c r="M351" s="6"/>
    </row>
    <row r="352" spans="9:13" ht="15.75" customHeight="1" x14ac:dyDescent="0.25">
      <c r="I352" s="6"/>
      <c r="M352" s="6"/>
    </row>
    <row r="353" spans="9:13" ht="15.75" customHeight="1" x14ac:dyDescent="0.25">
      <c r="I353" s="6"/>
      <c r="M353" s="6"/>
    </row>
    <row r="354" spans="9:13" ht="15.75" customHeight="1" x14ac:dyDescent="0.25">
      <c r="I354" s="6"/>
      <c r="M354" s="6"/>
    </row>
    <row r="355" spans="9:13" ht="15.75" customHeight="1" x14ac:dyDescent="0.25">
      <c r="I355" s="6"/>
      <c r="M355" s="6"/>
    </row>
    <row r="356" spans="9:13" ht="15.75" customHeight="1" x14ac:dyDescent="0.25">
      <c r="I356" s="6"/>
      <c r="M356" s="6"/>
    </row>
    <row r="357" spans="9:13" ht="15.75" customHeight="1" x14ac:dyDescent="0.25">
      <c r="I357" s="6"/>
      <c r="M357" s="6"/>
    </row>
    <row r="358" spans="9:13" ht="15.75" customHeight="1" x14ac:dyDescent="0.25">
      <c r="I358" s="6"/>
      <c r="M358" s="6"/>
    </row>
    <row r="359" spans="9:13" ht="15.75" customHeight="1" x14ac:dyDescent="0.25">
      <c r="I359" s="6"/>
      <c r="M359" s="6"/>
    </row>
    <row r="360" spans="9:13" ht="15.75" customHeight="1" x14ac:dyDescent="0.25">
      <c r="I360" s="6"/>
      <c r="M360" s="6"/>
    </row>
    <row r="361" spans="9:13" ht="15.75" customHeight="1" x14ac:dyDescent="0.25">
      <c r="I361" s="6"/>
      <c r="M361" s="6"/>
    </row>
    <row r="362" spans="9:13" ht="15.75" customHeight="1" x14ac:dyDescent="0.25">
      <c r="I362" s="6"/>
      <c r="M362" s="6"/>
    </row>
    <row r="363" spans="9:13" ht="15.75" customHeight="1" x14ac:dyDescent="0.25">
      <c r="I363" s="6"/>
      <c r="M363" s="6"/>
    </row>
    <row r="364" spans="9:13" ht="15.75" customHeight="1" x14ac:dyDescent="0.25">
      <c r="I364" s="6"/>
      <c r="M364" s="6"/>
    </row>
    <row r="365" spans="9:13" ht="15.75" customHeight="1" x14ac:dyDescent="0.25">
      <c r="I365" s="6"/>
      <c r="M365" s="6"/>
    </row>
    <row r="366" spans="9:13" ht="15.75" customHeight="1" x14ac:dyDescent="0.25">
      <c r="I366" s="6"/>
      <c r="M366" s="6"/>
    </row>
    <row r="367" spans="9:13" ht="15.75" customHeight="1" x14ac:dyDescent="0.25">
      <c r="I367" s="6"/>
      <c r="M367" s="6"/>
    </row>
    <row r="368" spans="9:13" ht="15.75" customHeight="1" x14ac:dyDescent="0.25">
      <c r="I368" s="6"/>
      <c r="M368" s="6"/>
    </row>
    <row r="369" spans="9:13" ht="15.75" customHeight="1" x14ac:dyDescent="0.25">
      <c r="I369" s="6"/>
      <c r="M369" s="6"/>
    </row>
    <row r="370" spans="9:13" ht="15.75" customHeight="1" x14ac:dyDescent="0.25">
      <c r="I370" s="6"/>
      <c r="M370" s="6"/>
    </row>
    <row r="371" spans="9:13" ht="15.75" customHeight="1" x14ac:dyDescent="0.25">
      <c r="I371" s="6"/>
      <c r="M371" s="6"/>
    </row>
    <row r="372" spans="9:13" ht="15.75" customHeight="1" x14ac:dyDescent="0.25">
      <c r="I372" s="6"/>
      <c r="M372" s="6"/>
    </row>
    <row r="373" spans="9:13" ht="15.75" customHeight="1" x14ac:dyDescent="0.25">
      <c r="I373" s="6"/>
      <c r="M373" s="6"/>
    </row>
    <row r="374" spans="9:13" ht="15.75" customHeight="1" x14ac:dyDescent="0.25">
      <c r="I374" s="6"/>
      <c r="M374" s="6"/>
    </row>
    <row r="375" spans="9:13" ht="15.75" customHeight="1" x14ac:dyDescent="0.25">
      <c r="I375" s="6"/>
      <c r="M375" s="6"/>
    </row>
    <row r="376" spans="9:13" ht="15.75" customHeight="1" x14ac:dyDescent="0.25">
      <c r="I376" s="6"/>
      <c r="M376" s="6"/>
    </row>
    <row r="377" spans="9:13" ht="15.75" customHeight="1" x14ac:dyDescent="0.25">
      <c r="I377" s="6"/>
      <c r="M377" s="6"/>
    </row>
    <row r="378" spans="9:13" ht="15.75" customHeight="1" x14ac:dyDescent="0.25">
      <c r="I378" s="6"/>
      <c r="M378" s="6"/>
    </row>
    <row r="379" spans="9:13" ht="15.75" customHeight="1" x14ac:dyDescent="0.25">
      <c r="I379" s="6"/>
      <c r="M379" s="6"/>
    </row>
    <row r="380" spans="9:13" ht="15.75" customHeight="1" x14ac:dyDescent="0.25">
      <c r="I380" s="6"/>
      <c r="M380" s="6"/>
    </row>
    <row r="381" spans="9:13" ht="15.75" customHeight="1" x14ac:dyDescent="0.25">
      <c r="I381" s="6"/>
      <c r="M381" s="6"/>
    </row>
    <row r="382" spans="9:13" ht="15.75" customHeight="1" x14ac:dyDescent="0.25">
      <c r="I382" s="6"/>
      <c r="M382" s="6"/>
    </row>
    <row r="383" spans="9:13" ht="15.75" customHeight="1" x14ac:dyDescent="0.25">
      <c r="I383" s="6"/>
      <c r="M383" s="6"/>
    </row>
    <row r="384" spans="9:13" ht="15.75" customHeight="1" x14ac:dyDescent="0.25">
      <c r="I384" s="6"/>
      <c r="M384" s="6"/>
    </row>
    <row r="385" spans="9:13" ht="15.75" customHeight="1" x14ac:dyDescent="0.25">
      <c r="I385" s="6"/>
      <c r="M385" s="6"/>
    </row>
    <row r="386" spans="9:13" ht="15.75" customHeight="1" x14ac:dyDescent="0.25">
      <c r="I386" s="6"/>
      <c r="M386" s="6"/>
    </row>
    <row r="387" spans="9:13" ht="15.75" customHeight="1" x14ac:dyDescent="0.25">
      <c r="I387" s="6"/>
      <c r="M387" s="6"/>
    </row>
    <row r="388" spans="9:13" ht="15.75" customHeight="1" x14ac:dyDescent="0.25">
      <c r="I388" s="6"/>
      <c r="M388" s="6"/>
    </row>
    <row r="389" spans="9:13" ht="15.75" customHeight="1" x14ac:dyDescent="0.25">
      <c r="I389" s="6"/>
      <c r="M389" s="6"/>
    </row>
    <row r="390" spans="9:13" ht="15.75" customHeight="1" x14ac:dyDescent="0.25">
      <c r="I390" s="6"/>
      <c r="M390" s="6"/>
    </row>
    <row r="391" spans="9:13" ht="15.75" customHeight="1" x14ac:dyDescent="0.25">
      <c r="I391" s="6"/>
      <c r="M391" s="6"/>
    </row>
    <row r="392" spans="9:13" ht="15.75" customHeight="1" x14ac:dyDescent="0.25">
      <c r="I392" s="6"/>
      <c r="M392" s="6"/>
    </row>
    <row r="393" spans="9:13" ht="15.75" customHeight="1" x14ac:dyDescent="0.25">
      <c r="I393" s="6"/>
      <c r="M393" s="6"/>
    </row>
    <row r="394" spans="9:13" ht="15.75" customHeight="1" x14ac:dyDescent="0.25">
      <c r="I394" s="6"/>
      <c r="M394" s="6"/>
    </row>
    <row r="395" spans="9:13" ht="15.75" customHeight="1" x14ac:dyDescent="0.25">
      <c r="I395" s="6"/>
      <c r="M395" s="6"/>
    </row>
    <row r="396" spans="9:13" ht="15.75" customHeight="1" x14ac:dyDescent="0.25">
      <c r="I396" s="6"/>
      <c r="M396" s="6"/>
    </row>
    <row r="397" spans="9:13" ht="15.75" customHeight="1" x14ac:dyDescent="0.25">
      <c r="I397" s="6"/>
      <c r="M397" s="6"/>
    </row>
    <row r="398" spans="9:13" ht="15.75" customHeight="1" x14ac:dyDescent="0.25">
      <c r="I398" s="6"/>
      <c r="M398" s="6"/>
    </row>
    <row r="399" spans="9:13" ht="15.75" customHeight="1" x14ac:dyDescent="0.25">
      <c r="I399" s="6"/>
      <c r="M399" s="6"/>
    </row>
    <row r="400" spans="9:13" ht="15.75" customHeight="1" x14ac:dyDescent="0.25">
      <c r="I400" s="6"/>
      <c r="M400" s="6"/>
    </row>
    <row r="401" spans="9:13" ht="15.75" customHeight="1" x14ac:dyDescent="0.25">
      <c r="I401" s="6"/>
      <c r="M401" s="6"/>
    </row>
    <row r="402" spans="9:13" ht="15.75" customHeight="1" x14ac:dyDescent="0.25">
      <c r="I402" s="6"/>
      <c r="M402" s="6"/>
    </row>
    <row r="403" spans="9:13" ht="15.75" customHeight="1" x14ac:dyDescent="0.25">
      <c r="I403" s="6"/>
      <c r="M403" s="6"/>
    </row>
    <row r="404" spans="9:13" ht="15.75" customHeight="1" x14ac:dyDescent="0.25">
      <c r="I404" s="6"/>
      <c r="M404" s="6"/>
    </row>
    <row r="405" spans="9:13" ht="15.75" customHeight="1" x14ac:dyDescent="0.25">
      <c r="I405" s="6"/>
      <c r="M405" s="6"/>
    </row>
    <row r="406" spans="9:13" ht="15.75" customHeight="1" x14ac:dyDescent="0.25">
      <c r="I406" s="6"/>
      <c r="M406" s="6"/>
    </row>
    <row r="407" spans="9:13" ht="15.75" customHeight="1" x14ac:dyDescent="0.25">
      <c r="I407" s="6"/>
      <c r="M407" s="6"/>
    </row>
    <row r="408" spans="9:13" ht="15.75" customHeight="1" x14ac:dyDescent="0.25">
      <c r="I408" s="6"/>
      <c r="M408" s="6"/>
    </row>
    <row r="409" spans="9:13" ht="15.75" customHeight="1" x14ac:dyDescent="0.25">
      <c r="I409" s="6"/>
      <c r="M409" s="6"/>
    </row>
    <row r="410" spans="9:13" ht="15.75" customHeight="1" x14ac:dyDescent="0.25">
      <c r="I410" s="6"/>
      <c r="M410" s="6"/>
    </row>
    <row r="411" spans="9:13" ht="15.75" customHeight="1" x14ac:dyDescent="0.25">
      <c r="I411" s="6"/>
      <c r="M411" s="6"/>
    </row>
    <row r="412" spans="9:13" ht="15.75" customHeight="1" x14ac:dyDescent="0.25">
      <c r="I412" s="6"/>
      <c r="M412" s="6"/>
    </row>
    <row r="413" spans="9:13" ht="15.75" customHeight="1" x14ac:dyDescent="0.25">
      <c r="I413" s="6"/>
      <c r="M413" s="6"/>
    </row>
    <row r="414" spans="9:13" ht="15.75" customHeight="1" x14ac:dyDescent="0.25">
      <c r="I414" s="6"/>
      <c r="M414" s="6"/>
    </row>
    <row r="415" spans="9:13" ht="15.75" customHeight="1" x14ac:dyDescent="0.25">
      <c r="I415" s="6"/>
      <c r="M415" s="6"/>
    </row>
    <row r="416" spans="9:13" ht="15.75" customHeight="1" x14ac:dyDescent="0.25">
      <c r="I416" s="6"/>
      <c r="M416" s="6"/>
    </row>
    <row r="417" spans="9:13" ht="15.75" customHeight="1" x14ac:dyDescent="0.25">
      <c r="I417" s="6"/>
      <c r="M417" s="6"/>
    </row>
    <row r="418" spans="9:13" ht="15.75" customHeight="1" x14ac:dyDescent="0.25">
      <c r="I418" s="6"/>
      <c r="M418" s="6"/>
    </row>
    <row r="419" spans="9:13" ht="15.75" customHeight="1" x14ac:dyDescent="0.25">
      <c r="I419" s="6"/>
      <c r="M419" s="6"/>
    </row>
    <row r="420" spans="9:13" ht="15.75" customHeight="1" x14ac:dyDescent="0.25">
      <c r="I420" s="6"/>
      <c r="M420" s="6"/>
    </row>
    <row r="421" spans="9:13" ht="15.75" customHeight="1" x14ac:dyDescent="0.25">
      <c r="I421" s="6"/>
      <c r="M421" s="6"/>
    </row>
    <row r="422" spans="9:13" ht="15.75" customHeight="1" x14ac:dyDescent="0.25">
      <c r="I422" s="6"/>
      <c r="M422" s="6"/>
    </row>
    <row r="423" spans="9:13" ht="15.75" customHeight="1" x14ac:dyDescent="0.25">
      <c r="I423" s="6"/>
      <c r="M423" s="6"/>
    </row>
    <row r="424" spans="9:13" ht="15.75" customHeight="1" x14ac:dyDescent="0.25">
      <c r="I424" s="6"/>
      <c r="M424" s="6"/>
    </row>
    <row r="425" spans="9:13" ht="15.75" customHeight="1" x14ac:dyDescent="0.25">
      <c r="I425" s="6"/>
      <c r="M425" s="6"/>
    </row>
    <row r="426" spans="9:13" ht="15.75" customHeight="1" x14ac:dyDescent="0.25">
      <c r="I426" s="6"/>
      <c r="M426" s="6"/>
    </row>
    <row r="427" spans="9:13" ht="15.75" customHeight="1" x14ac:dyDescent="0.25">
      <c r="I427" s="6"/>
      <c r="M427" s="6"/>
    </row>
    <row r="428" spans="9:13" ht="15.75" customHeight="1" x14ac:dyDescent="0.25">
      <c r="I428" s="6"/>
      <c r="M428" s="6"/>
    </row>
    <row r="429" spans="9:13" ht="15.75" customHeight="1" x14ac:dyDescent="0.25">
      <c r="I429" s="6"/>
      <c r="M429" s="6"/>
    </row>
    <row r="430" spans="9:13" ht="15.75" customHeight="1" x14ac:dyDescent="0.25">
      <c r="I430" s="6"/>
      <c r="M430" s="6"/>
    </row>
    <row r="431" spans="9:13" ht="15.75" customHeight="1" x14ac:dyDescent="0.25">
      <c r="I431" s="6"/>
      <c r="M431" s="6"/>
    </row>
    <row r="432" spans="9:13" ht="15.75" customHeight="1" x14ac:dyDescent="0.25">
      <c r="I432" s="6"/>
      <c r="M432" s="6"/>
    </row>
    <row r="433" spans="9:13" ht="15.75" customHeight="1" x14ac:dyDescent="0.25">
      <c r="I433" s="6"/>
      <c r="M433" s="6"/>
    </row>
    <row r="434" spans="9:13" ht="15.75" customHeight="1" x14ac:dyDescent="0.25">
      <c r="I434" s="6"/>
      <c r="M434" s="6"/>
    </row>
    <row r="435" spans="9:13" ht="15.75" customHeight="1" x14ac:dyDescent="0.25">
      <c r="I435" s="6"/>
      <c r="M435" s="6"/>
    </row>
    <row r="436" spans="9:13" ht="15.75" customHeight="1" x14ac:dyDescent="0.25">
      <c r="I436" s="6"/>
      <c r="M436" s="6"/>
    </row>
    <row r="437" spans="9:13" ht="15.75" customHeight="1" x14ac:dyDescent="0.25">
      <c r="I437" s="6"/>
      <c r="M437" s="6"/>
    </row>
    <row r="438" spans="9:13" ht="15.75" customHeight="1" x14ac:dyDescent="0.25">
      <c r="I438" s="6"/>
      <c r="M438" s="6"/>
    </row>
    <row r="439" spans="9:13" ht="15.75" customHeight="1" x14ac:dyDescent="0.25">
      <c r="I439" s="6"/>
      <c r="M439" s="6"/>
    </row>
    <row r="440" spans="9:13" ht="15.75" customHeight="1" x14ac:dyDescent="0.25">
      <c r="I440" s="6"/>
      <c r="M440" s="6"/>
    </row>
    <row r="441" spans="9:13" ht="15.75" customHeight="1" x14ac:dyDescent="0.25">
      <c r="I441" s="6"/>
      <c r="M441" s="6"/>
    </row>
    <row r="442" spans="9:13" ht="15.75" customHeight="1" x14ac:dyDescent="0.25">
      <c r="I442" s="6"/>
      <c r="M442" s="6"/>
    </row>
    <row r="443" spans="9:13" ht="15.75" customHeight="1" x14ac:dyDescent="0.25">
      <c r="I443" s="6"/>
      <c r="M443" s="6"/>
    </row>
    <row r="444" spans="9:13" ht="15.75" customHeight="1" x14ac:dyDescent="0.25">
      <c r="I444" s="6"/>
      <c r="M444" s="6"/>
    </row>
    <row r="445" spans="9:13" ht="15.75" customHeight="1" x14ac:dyDescent="0.25">
      <c r="I445" s="6"/>
      <c r="M445" s="6"/>
    </row>
    <row r="446" spans="9:13" ht="15.75" customHeight="1" x14ac:dyDescent="0.25">
      <c r="I446" s="6"/>
      <c r="M446" s="6"/>
    </row>
    <row r="447" spans="9:13" ht="15.75" customHeight="1" x14ac:dyDescent="0.25">
      <c r="I447" s="6"/>
      <c r="M447" s="6"/>
    </row>
    <row r="448" spans="9:13" ht="15.75" customHeight="1" x14ac:dyDescent="0.25">
      <c r="I448" s="6"/>
      <c r="M448" s="6"/>
    </row>
    <row r="449" spans="9:13" ht="15.75" customHeight="1" x14ac:dyDescent="0.25">
      <c r="I449" s="6"/>
      <c r="M449" s="6"/>
    </row>
    <row r="450" spans="9:13" ht="15.75" customHeight="1" x14ac:dyDescent="0.25">
      <c r="I450" s="6"/>
      <c r="M450" s="6"/>
    </row>
    <row r="451" spans="9:13" ht="15.75" customHeight="1" x14ac:dyDescent="0.25">
      <c r="I451" s="6"/>
      <c r="M451" s="6"/>
    </row>
    <row r="452" spans="9:13" ht="15.75" customHeight="1" x14ac:dyDescent="0.25">
      <c r="I452" s="6"/>
      <c r="M452" s="6"/>
    </row>
    <row r="453" spans="9:13" ht="15.75" customHeight="1" x14ac:dyDescent="0.25">
      <c r="I453" s="6"/>
      <c r="M453" s="6"/>
    </row>
    <row r="454" spans="9:13" ht="15.75" customHeight="1" x14ac:dyDescent="0.25">
      <c r="I454" s="6"/>
      <c r="M454" s="6"/>
    </row>
    <row r="455" spans="9:13" ht="15.75" customHeight="1" x14ac:dyDescent="0.25">
      <c r="I455" s="6"/>
      <c r="M455" s="6"/>
    </row>
    <row r="456" spans="9:13" ht="15.75" customHeight="1" x14ac:dyDescent="0.25">
      <c r="I456" s="6"/>
      <c r="M456" s="6"/>
    </row>
    <row r="457" spans="9:13" ht="15.75" customHeight="1" x14ac:dyDescent="0.25">
      <c r="I457" s="6"/>
      <c r="M457" s="6"/>
    </row>
    <row r="458" spans="9:13" ht="15.75" customHeight="1" x14ac:dyDescent="0.25">
      <c r="I458" s="6"/>
      <c r="M458" s="6"/>
    </row>
    <row r="459" spans="9:13" ht="15.75" customHeight="1" x14ac:dyDescent="0.25">
      <c r="I459" s="6"/>
      <c r="M459" s="6"/>
    </row>
    <row r="460" spans="9:13" ht="15.75" customHeight="1" x14ac:dyDescent="0.25">
      <c r="I460" s="6"/>
      <c r="M460" s="6"/>
    </row>
    <row r="461" spans="9:13" ht="15.75" customHeight="1" x14ac:dyDescent="0.25">
      <c r="I461" s="6"/>
      <c r="M461" s="6"/>
    </row>
    <row r="462" spans="9:13" ht="15.75" customHeight="1" x14ac:dyDescent="0.25">
      <c r="I462" s="6"/>
      <c r="M462" s="6"/>
    </row>
    <row r="463" spans="9:13" ht="15.75" customHeight="1" x14ac:dyDescent="0.25">
      <c r="I463" s="6"/>
      <c r="M463" s="6"/>
    </row>
    <row r="464" spans="9:13" ht="15.75" customHeight="1" x14ac:dyDescent="0.25">
      <c r="I464" s="6"/>
      <c r="M464" s="6"/>
    </row>
    <row r="465" spans="9:13" ht="15.75" customHeight="1" x14ac:dyDescent="0.25">
      <c r="I465" s="6"/>
      <c r="M465" s="6"/>
    </row>
    <row r="466" spans="9:13" ht="15.75" customHeight="1" x14ac:dyDescent="0.25">
      <c r="I466" s="6"/>
      <c r="M466" s="6"/>
    </row>
    <row r="467" spans="9:13" ht="15.75" customHeight="1" x14ac:dyDescent="0.25">
      <c r="I467" s="6"/>
      <c r="M467" s="6"/>
    </row>
    <row r="468" spans="9:13" ht="15.75" customHeight="1" x14ac:dyDescent="0.25">
      <c r="I468" s="6"/>
      <c r="M468" s="6"/>
    </row>
    <row r="469" spans="9:13" ht="15.75" customHeight="1" x14ac:dyDescent="0.25">
      <c r="I469" s="6"/>
      <c r="M469" s="6"/>
    </row>
    <row r="470" spans="9:13" ht="15.75" customHeight="1" x14ac:dyDescent="0.25">
      <c r="I470" s="6"/>
      <c r="M470" s="6"/>
    </row>
    <row r="471" spans="9:13" ht="15.75" customHeight="1" x14ac:dyDescent="0.25">
      <c r="I471" s="6"/>
      <c r="M471" s="6"/>
    </row>
    <row r="472" spans="9:13" ht="15.75" customHeight="1" x14ac:dyDescent="0.25">
      <c r="I472" s="6"/>
      <c r="M472" s="6"/>
    </row>
    <row r="473" spans="9:13" ht="15.75" customHeight="1" x14ac:dyDescent="0.25">
      <c r="I473" s="6"/>
      <c r="M473" s="6"/>
    </row>
    <row r="474" spans="9:13" ht="15.75" customHeight="1" x14ac:dyDescent="0.25">
      <c r="I474" s="6"/>
      <c r="M474" s="6"/>
    </row>
    <row r="475" spans="9:13" ht="15.75" customHeight="1" x14ac:dyDescent="0.25">
      <c r="I475" s="6"/>
      <c r="M475" s="6"/>
    </row>
    <row r="476" spans="9:13" ht="15.75" customHeight="1" x14ac:dyDescent="0.25">
      <c r="I476" s="6"/>
      <c r="M476" s="6"/>
    </row>
    <row r="477" spans="9:13" ht="15.75" customHeight="1" x14ac:dyDescent="0.25">
      <c r="I477" s="6"/>
      <c r="M477" s="6"/>
    </row>
    <row r="478" spans="9:13" ht="15.75" customHeight="1" x14ac:dyDescent="0.25">
      <c r="I478" s="6"/>
      <c r="M478" s="6"/>
    </row>
    <row r="479" spans="9:13" ht="15.75" customHeight="1" x14ac:dyDescent="0.25">
      <c r="I479" s="6"/>
      <c r="M479" s="6"/>
    </row>
    <row r="480" spans="9:13" ht="15.75" customHeight="1" x14ac:dyDescent="0.25">
      <c r="I480" s="6"/>
      <c r="M480" s="6"/>
    </row>
    <row r="481" spans="9:13" ht="15.75" customHeight="1" x14ac:dyDescent="0.25">
      <c r="I481" s="6"/>
      <c r="M481" s="6"/>
    </row>
    <row r="482" spans="9:13" ht="15.75" customHeight="1" x14ac:dyDescent="0.25">
      <c r="I482" s="6"/>
      <c r="M482" s="6"/>
    </row>
    <row r="483" spans="9:13" ht="15.75" customHeight="1" x14ac:dyDescent="0.25">
      <c r="I483" s="6"/>
      <c r="M483" s="6"/>
    </row>
    <row r="484" spans="9:13" ht="15.75" customHeight="1" x14ac:dyDescent="0.25">
      <c r="I484" s="6"/>
      <c r="M484" s="6"/>
    </row>
    <row r="485" spans="9:13" ht="15.75" customHeight="1" x14ac:dyDescent="0.25">
      <c r="I485" s="6"/>
      <c r="M485" s="6"/>
    </row>
    <row r="486" spans="9:13" ht="15.75" customHeight="1" x14ac:dyDescent="0.25">
      <c r="I486" s="6"/>
      <c r="M486" s="6"/>
    </row>
    <row r="487" spans="9:13" ht="15.75" customHeight="1" x14ac:dyDescent="0.25">
      <c r="I487" s="6"/>
      <c r="M487" s="6"/>
    </row>
    <row r="488" spans="9:13" ht="15.75" customHeight="1" x14ac:dyDescent="0.25">
      <c r="I488" s="6"/>
      <c r="M488" s="6"/>
    </row>
    <row r="489" spans="9:13" ht="15.75" customHeight="1" x14ac:dyDescent="0.25">
      <c r="I489" s="6"/>
      <c r="M489" s="6"/>
    </row>
    <row r="490" spans="9:13" ht="15.75" customHeight="1" x14ac:dyDescent="0.25">
      <c r="I490" s="6"/>
      <c r="M490" s="6"/>
    </row>
    <row r="491" spans="9:13" ht="15.75" customHeight="1" x14ac:dyDescent="0.25">
      <c r="I491" s="6"/>
      <c r="M491" s="6"/>
    </row>
    <row r="492" spans="9:13" ht="15.75" customHeight="1" x14ac:dyDescent="0.25">
      <c r="I492" s="6"/>
      <c r="M492" s="6"/>
    </row>
    <row r="493" spans="9:13" ht="15.75" customHeight="1" x14ac:dyDescent="0.25">
      <c r="I493" s="6"/>
      <c r="M493" s="6"/>
    </row>
    <row r="494" spans="9:13" ht="15.75" customHeight="1" x14ac:dyDescent="0.25">
      <c r="I494" s="6"/>
      <c r="M494" s="6"/>
    </row>
    <row r="495" spans="9:13" ht="15.75" customHeight="1" x14ac:dyDescent="0.25">
      <c r="I495" s="6"/>
      <c r="M495" s="6"/>
    </row>
    <row r="496" spans="9:13" ht="15.75" customHeight="1" x14ac:dyDescent="0.25">
      <c r="I496" s="6"/>
      <c r="M496" s="6"/>
    </row>
    <row r="497" spans="9:13" ht="15.75" customHeight="1" x14ac:dyDescent="0.25">
      <c r="I497" s="6"/>
      <c r="M497" s="6"/>
    </row>
    <row r="498" spans="9:13" ht="15.75" customHeight="1" x14ac:dyDescent="0.25">
      <c r="I498" s="6"/>
      <c r="M498" s="6"/>
    </row>
    <row r="499" spans="9:13" ht="15.75" customHeight="1" x14ac:dyDescent="0.25">
      <c r="I499" s="6"/>
      <c r="M499" s="6"/>
    </row>
    <row r="500" spans="9:13" ht="15.75" customHeight="1" x14ac:dyDescent="0.25">
      <c r="I500" s="6"/>
      <c r="M500" s="6"/>
    </row>
    <row r="501" spans="9:13" ht="15.75" customHeight="1" x14ac:dyDescent="0.25">
      <c r="I501" s="6"/>
      <c r="M501" s="6"/>
    </row>
    <row r="502" spans="9:13" ht="15.75" customHeight="1" x14ac:dyDescent="0.25">
      <c r="I502" s="6"/>
      <c r="M502" s="6"/>
    </row>
    <row r="503" spans="9:13" ht="15.75" customHeight="1" x14ac:dyDescent="0.25">
      <c r="I503" s="6"/>
      <c r="M503" s="6"/>
    </row>
    <row r="504" spans="9:13" ht="15.75" customHeight="1" x14ac:dyDescent="0.25">
      <c r="I504" s="6"/>
      <c r="M504" s="6"/>
    </row>
    <row r="505" spans="9:13" ht="15.75" customHeight="1" x14ac:dyDescent="0.25">
      <c r="I505" s="6"/>
      <c r="M505" s="6"/>
    </row>
    <row r="506" spans="9:13" ht="15.75" customHeight="1" x14ac:dyDescent="0.25">
      <c r="I506" s="6"/>
      <c r="M506" s="6"/>
    </row>
    <row r="507" spans="9:13" ht="15.75" customHeight="1" x14ac:dyDescent="0.25">
      <c r="I507" s="6"/>
      <c r="M507" s="6"/>
    </row>
    <row r="508" spans="9:13" ht="15.75" customHeight="1" x14ac:dyDescent="0.25">
      <c r="I508" s="6"/>
      <c r="M508" s="6"/>
    </row>
    <row r="509" spans="9:13" ht="15.75" customHeight="1" x14ac:dyDescent="0.25">
      <c r="I509" s="6"/>
      <c r="M509" s="6"/>
    </row>
    <row r="510" spans="9:13" ht="15.75" customHeight="1" x14ac:dyDescent="0.25">
      <c r="I510" s="6"/>
      <c r="M510" s="6"/>
    </row>
    <row r="511" spans="9:13" ht="15.75" customHeight="1" x14ac:dyDescent="0.25">
      <c r="I511" s="6"/>
      <c r="M511" s="6"/>
    </row>
    <row r="512" spans="9:13" ht="15.75" customHeight="1" x14ac:dyDescent="0.25">
      <c r="I512" s="6"/>
      <c r="M512" s="6"/>
    </row>
    <row r="513" spans="9:13" ht="15.75" customHeight="1" x14ac:dyDescent="0.25">
      <c r="I513" s="6"/>
      <c r="M513" s="6"/>
    </row>
    <row r="514" spans="9:13" ht="15.75" customHeight="1" x14ac:dyDescent="0.25">
      <c r="I514" s="6"/>
      <c r="M514" s="6"/>
    </row>
    <row r="515" spans="9:13" ht="15.75" customHeight="1" x14ac:dyDescent="0.25">
      <c r="I515" s="6"/>
      <c r="M515" s="6"/>
    </row>
    <row r="516" spans="9:13" ht="15.75" customHeight="1" x14ac:dyDescent="0.25">
      <c r="I516" s="6"/>
      <c r="M516" s="6"/>
    </row>
    <row r="517" spans="9:13" ht="15.75" customHeight="1" x14ac:dyDescent="0.25">
      <c r="I517" s="6"/>
      <c r="M517" s="6"/>
    </row>
    <row r="518" spans="9:13" ht="15.75" customHeight="1" x14ac:dyDescent="0.25">
      <c r="I518" s="6"/>
      <c r="M518" s="6"/>
    </row>
    <row r="519" spans="9:13" ht="15.75" customHeight="1" x14ac:dyDescent="0.25">
      <c r="I519" s="6"/>
      <c r="M519" s="6"/>
    </row>
    <row r="520" spans="9:13" ht="15.75" customHeight="1" x14ac:dyDescent="0.25">
      <c r="I520" s="6"/>
      <c r="M520" s="6"/>
    </row>
    <row r="521" spans="9:13" ht="15.75" customHeight="1" x14ac:dyDescent="0.25">
      <c r="I521" s="6"/>
      <c r="M521" s="6"/>
    </row>
    <row r="522" spans="9:13" ht="15.75" customHeight="1" x14ac:dyDescent="0.25">
      <c r="I522" s="6"/>
      <c r="M522" s="6"/>
    </row>
    <row r="523" spans="9:13" ht="15.75" customHeight="1" x14ac:dyDescent="0.25">
      <c r="I523" s="6"/>
      <c r="M523" s="6"/>
    </row>
    <row r="524" spans="9:13" ht="15.75" customHeight="1" x14ac:dyDescent="0.25">
      <c r="I524" s="6"/>
      <c r="M524" s="6"/>
    </row>
    <row r="525" spans="9:13" ht="15.75" customHeight="1" x14ac:dyDescent="0.25">
      <c r="I525" s="6"/>
      <c r="M525" s="6"/>
    </row>
    <row r="526" spans="9:13" ht="15.75" customHeight="1" x14ac:dyDescent="0.25">
      <c r="I526" s="6"/>
      <c r="M526" s="6"/>
    </row>
    <row r="527" spans="9:13" ht="15.75" customHeight="1" x14ac:dyDescent="0.25">
      <c r="I527" s="6"/>
      <c r="M527" s="6"/>
    </row>
    <row r="528" spans="9:13" ht="15.75" customHeight="1" x14ac:dyDescent="0.25">
      <c r="I528" s="6"/>
      <c r="M528" s="6"/>
    </row>
    <row r="529" spans="9:13" ht="15.75" customHeight="1" x14ac:dyDescent="0.25">
      <c r="I529" s="6"/>
      <c r="M529" s="6"/>
    </row>
    <row r="530" spans="9:13" ht="15.75" customHeight="1" x14ac:dyDescent="0.25">
      <c r="I530" s="6"/>
      <c r="M530" s="6"/>
    </row>
    <row r="531" spans="9:13" ht="15.75" customHeight="1" x14ac:dyDescent="0.25">
      <c r="I531" s="6"/>
      <c r="M531" s="6"/>
    </row>
    <row r="532" spans="9:13" ht="15.75" customHeight="1" x14ac:dyDescent="0.25">
      <c r="I532" s="6"/>
      <c r="M532" s="6"/>
    </row>
    <row r="533" spans="9:13" ht="15.75" customHeight="1" x14ac:dyDescent="0.25">
      <c r="I533" s="6"/>
      <c r="M533" s="6"/>
    </row>
    <row r="534" spans="9:13" ht="15.75" customHeight="1" x14ac:dyDescent="0.25">
      <c r="I534" s="6"/>
      <c r="M534" s="6"/>
    </row>
    <row r="535" spans="9:13" ht="15.75" customHeight="1" x14ac:dyDescent="0.25">
      <c r="I535" s="6"/>
      <c r="M535" s="6"/>
    </row>
    <row r="536" spans="9:13" ht="15.75" customHeight="1" x14ac:dyDescent="0.25">
      <c r="I536" s="6"/>
      <c r="M536" s="6"/>
    </row>
    <row r="537" spans="9:13" ht="15.75" customHeight="1" x14ac:dyDescent="0.25">
      <c r="I537" s="6"/>
      <c r="M537" s="6"/>
    </row>
    <row r="538" spans="9:13" ht="15.75" customHeight="1" x14ac:dyDescent="0.25">
      <c r="I538" s="6"/>
      <c r="M538" s="6"/>
    </row>
    <row r="539" spans="9:13" ht="15.75" customHeight="1" x14ac:dyDescent="0.25">
      <c r="I539" s="6"/>
      <c r="M539" s="6"/>
    </row>
    <row r="540" spans="9:13" ht="15.75" customHeight="1" x14ac:dyDescent="0.25">
      <c r="I540" s="6"/>
      <c r="M540" s="6"/>
    </row>
    <row r="541" spans="9:13" ht="15.75" customHeight="1" x14ac:dyDescent="0.25">
      <c r="I541" s="6"/>
      <c r="M541" s="6"/>
    </row>
    <row r="542" spans="9:13" ht="15.75" customHeight="1" x14ac:dyDescent="0.25">
      <c r="I542" s="6"/>
      <c r="M542" s="6"/>
    </row>
    <row r="543" spans="9:13" ht="15.75" customHeight="1" x14ac:dyDescent="0.25">
      <c r="I543" s="6"/>
      <c r="M543" s="6"/>
    </row>
    <row r="544" spans="9:13" ht="15.75" customHeight="1" x14ac:dyDescent="0.25">
      <c r="I544" s="6"/>
      <c r="M544" s="6"/>
    </row>
    <row r="545" spans="9:13" ht="15.75" customHeight="1" x14ac:dyDescent="0.25">
      <c r="I545" s="6"/>
      <c r="M545" s="6"/>
    </row>
    <row r="546" spans="9:13" ht="15.75" customHeight="1" x14ac:dyDescent="0.25">
      <c r="I546" s="6"/>
      <c r="M546" s="6"/>
    </row>
    <row r="547" spans="9:13" ht="15.75" customHeight="1" x14ac:dyDescent="0.25">
      <c r="I547" s="6"/>
      <c r="M547" s="6"/>
    </row>
    <row r="548" spans="9:13" ht="15.75" customHeight="1" x14ac:dyDescent="0.25">
      <c r="I548" s="6"/>
      <c r="M548" s="6"/>
    </row>
    <row r="549" spans="9:13" ht="15.75" customHeight="1" x14ac:dyDescent="0.25">
      <c r="I549" s="6"/>
      <c r="M549" s="6"/>
    </row>
    <row r="550" spans="9:13" ht="15.75" customHeight="1" x14ac:dyDescent="0.25">
      <c r="I550" s="6"/>
      <c r="M550" s="6"/>
    </row>
    <row r="551" spans="9:13" ht="15.75" customHeight="1" x14ac:dyDescent="0.25">
      <c r="I551" s="6"/>
      <c r="M551" s="6"/>
    </row>
    <row r="552" spans="9:13" ht="15.75" customHeight="1" x14ac:dyDescent="0.25">
      <c r="I552" s="6"/>
      <c r="M552" s="6"/>
    </row>
    <row r="553" spans="9:13" ht="15.75" customHeight="1" x14ac:dyDescent="0.25">
      <c r="I553" s="6"/>
      <c r="M553" s="6"/>
    </row>
    <row r="554" spans="9:13" ht="15.75" customHeight="1" x14ac:dyDescent="0.25">
      <c r="I554" s="6"/>
      <c r="M554" s="6"/>
    </row>
    <row r="555" spans="9:13" ht="15.75" customHeight="1" x14ac:dyDescent="0.25">
      <c r="I555" s="6"/>
      <c r="M555" s="6"/>
    </row>
    <row r="556" spans="9:13" ht="15.75" customHeight="1" x14ac:dyDescent="0.25">
      <c r="I556" s="6"/>
      <c r="M556" s="6"/>
    </row>
    <row r="557" spans="9:13" ht="15.75" customHeight="1" x14ac:dyDescent="0.25">
      <c r="I557" s="6"/>
      <c r="M557" s="6"/>
    </row>
    <row r="558" spans="9:13" ht="15.75" customHeight="1" x14ac:dyDescent="0.25">
      <c r="I558" s="6"/>
      <c r="M558" s="6"/>
    </row>
    <row r="559" spans="9:13" ht="15.75" customHeight="1" x14ac:dyDescent="0.25">
      <c r="I559" s="6"/>
      <c r="M559" s="6"/>
    </row>
    <row r="560" spans="9:13" ht="15.75" customHeight="1" x14ac:dyDescent="0.25">
      <c r="I560" s="6"/>
      <c r="M560" s="6"/>
    </row>
    <row r="561" spans="9:13" ht="15.75" customHeight="1" x14ac:dyDescent="0.25">
      <c r="I561" s="6"/>
      <c r="M561" s="6"/>
    </row>
    <row r="562" spans="9:13" ht="15.75" customHeight="1" x14ac:dyDescent="0.25">
      <c r="I562" s="6"/>
      <c r="M562" s="6"/>
    </row>
    <row r="563" spans="9:13" ht="15.75" customHeight="1" x14ac:dyDescent="0.25">
      <c r="I563" s="6"/>
      <c r="M563" s="6"/>
    </row>
    <row r="564" spans="9:13" ht="15.75" customHeight="1" x14ac:dyDescent="0.25">
      <c r="I564" s="6"/>
      <c r="M564" s="6"/>
    </row>
    <row r="565" spans="9:13" ht="15.75" customHeight="1" x14ac:dyDescent="0.25">
      <c r="I565" s="6"/>
      <c r="M565" s="6"/>
    </row>
    <row r="566" spans="9:13" ht="15.75" customHeight="1" x14ac:dyDescent="0.25">
      <c r="I566" s="6"/>
      <c r="M566" s="6"/>
    </row>
    <row r="567" spans="9:13" ht="15.75" customHeight="1" x14ac:dyDescent="0.25">
      <c r="I567" s="6"/>
      <c r="M567" s="6"/>
    </row>
    <row r="568" spans="9:13" ht="15.75" customHeight="1" x14ac:dyDescent="0.25">
      <c r="I568" s="6"/>
      <c r="M568" s="6"/>
    </row>
    <row r="569" spans="9:13" ht="15.75" customHeight="1" x14ac:dyDescent="0.25">
      <c r="I569" s="6"/>
      <c r="M569" s="6"/>
    </row>
    <row r="570" spans="9:13" ht="15.75" customHeight="1" x14ac:dyDescent="0.25">
      <c r="I570" s="6"/>
      <c r="M570" s="6"/>
    </row>
    <row r="571" spans="9:13" ht="15.75" customHeight="1" x14ac:dyDescent="0.25">
      <c r="I571" s="6"/>
      <c r="M571" s="6"/>
    </row>
    <row r="572" spans="9:13" ht="15.75" customHeight="1" x14ac:dyDescent="0.25">
      <c r="I572" s="6"/>
      <c r="M572" s="6"/>
    </row>
    <row r="573" spans="9:13" ht="15.75" customHeight="1" x14ac:dyDescent="0.25">
      <c r="I573" s="6"/>
      <c r="M573" s="6"/>
    </row>
    <row r="574" spans="9:13" ht="15.75" customHeight="1" x14ac:dyDescent="0.25">
      <c r="I574" s="6"/>
      <c r="M574" s="6"/>
    </row>
    <row r="575" spans="9:13" ht="15.75" customHeight="1" x14ac:dyDescent="0.25">
      <c r="I575" s="6"/>
      <c r="M575" s="6"/>
    </row>
    <row r="576" spans="9:13" ht="15.75" customHeight="1" x14ac:dyDescent="0.25">
      <c r="I576" s="6"/>
      <c r="M576" s="6"/>
    </row>
    <row r="577" spans="9:13" ht="15.75" customHeight="1" x14ac:dyDescent="0.25">
      <c r="I577" s="6"/>
      <c r="M577" s="6"/>
    </row>
    <row r="578" spans="9:13" ht="15.75" customHeight="1" x14ac:dyDescent="0.25">
      <c r="I578" s="6"/>
      <c r="M578" s="6"/>
    </row>
    <row r="579" spans="9:13" ht="15.75" customHeight="1" x14ac:dyDescent="0.25">
      <c r="I579" s="6"/>
      <c r="M579" s="6"/>
    </row>
    <row r="580" spans="9:13" ht="15.75" customHeight="1" x14ac:dyDescent="0.25">
      <c r="I580" s="6"/>
      <c r="M580" s="6"/>
    </row>
    <row r="581" spans="9:13" ht="15.75" customHeight="1" x14ac:dyDescent="0.25">
      <c r="I581" s="6"/>
      <c r="M581" s="6"/>
    </row>
    <row r="582" spans="9:13" ht="15.75" customHeight="1" x14ac:dyDescent="0.25">
      <c r="I582" s="6"/>
      <c r="M582" s="6"/>
    </row>
    <row r="583" spans="9:13" ht="15.75" customHeight="1" x14ac:dyDescent="0.25">
      <c r="I583" s="6"/>
      <c r="M583" s="6"/>
    </row>
    <row r="584" spans="9:13" ht="15.75" customHeight="1" x14ac:dyDescent="0.25">
      <c r="I584" s="6"/>
      <c r="M584" s="6"/>
    </row>
    <row r="585" spans="9:13" ht="15.75" customHeight="1" x14ac:dyDescent="0.25">
      <c r="I585" s="6"/>
      <c r="M585" s="6"/>
    </row>
    <row r="586" spans="9:13" ht="15.75" customHeight="1" x14ac:dyDescent="0.25">
      <c r="I586" s="6"/>
      <c r="M586" s="6"/>
    </row>
    <row r="587" spans="9:13" ht="15.75" customHeight="1" x14ac:dyDescent="0.25">
      <c r="I587" s="6"/>
      <c r="M587" s="6"/>
    </row>
    <row r="588" spans="9:13" ht="15.75" customHeight="1" x14ac:dyDescent="0.25">
      <c r="I588" s="6"/>
      <c r="M588" s="6"/>
    </row>
    <row r="589" spans="9:13" ht="15.75" customHeight="1" x14ac:dyDescent="0.25">
      <c r="I589" s="6"/>
      <c r="M589" s="6"/>
    </row>
    <row r="590" spans="9:13" ht="15.75" customHeight="1" x14ac:dyDescent="0.25">
      <c r="I590" s="6"/>
      <c r="M590" s="6"/>
    </row>
    <row r="591" spans="9:13" ht="15.75" customHeight="1" x14ac:dyDescent="0.25">
      <c r="I591" s="6"/>
      <c r="M591" s="6"/>
    </row>
    <row r="592" spans="9:13" ht="15.75" customHeight="1" x14ac:dyDescent="0.25">
      <c r="I592" s="6"/>
      <c r="M592" s="6"/>
    </row>
    <row r="593" spans="9:13" ht="15.75" customHeight="1" x14ac:dyDescent="0.25">
      <c r="I593" s="6"/>
      <c r="M593" s="6"/>
    </row>
    <row r="594" spans="9:13" ht="15.75" customHeight="1" x14ac:dyDescent="0.25">
      <c r="I594" s="6"/>
      <c r="M594" s="6"/>
    </row>
    <row r="595" spans="9:13" ht="15.75" customHeight="1" x14ac:dyDescent="0.25">
      <c r="I595" s="6"/>
      <c r="M595" s="6"/>
    </row>
    <row r="596" spans="9:13" ht="15.75" customHeight="1" x14ac:dyDescent="0.25">
      <c r="I596" s="6"/>
      <c r="M596" s="6"/>
    </row>
    <row r="597" spans="9:13" ht="15.75" customHeight="1" x14ac:dyDescent="0.25">
      <c r="I597" s="6"/>
      <c r="M597" s="6"/>
    </row>
    <row r="598" spans="9:13" ht="15.75" customHeight="1" x14ac:dyDescent="0.25">
      <c r="I598" s="6"/>
      <c r="M598" s="6"/>
    </row>
    <row r="599" spans="9:13" ht="15.75" customHeight="1" x14ac:dyDescent="0.25">
      <c r="I599" s="6"/>
      <c r="M599" s="6"/>
    </row>
    <row r="600" spans="9:13" ht="15.75" customHeight="1" x14ac:dyDescent="0.25">
      <c r="I600" s="6"/>
      <c r="M600" s="6"/>
    </row>
    <row r="601" spans="9:13" ht="15.75" customHeight="1" x14ac:dyDescent="0.25">
      <c r="I601" s="6"/>
      <c r="M601" s="6"/>
    </row>
    <row r="602" spans="9:13" ht="15.75" customHeight="1" x14ac:dyDescent="0.25">
      <c r="I602" s="6"/>
      <c r="M602" s="6"/>
    </row>
    <row r="603" spans="9:13" ht="15.75" customHeight="1" x14ac:dyDescent="0.25">
      <c r="I603" s="6"/>
      <c r="M603" s="6"/>
    </row>
    <row r="604" spans="9:13" ht="15.75" customHeight="1" x14ac:dyDescent="0.25">
      <c r="I604" s="6"/>
      <c r="M604" s="6"/>
    </row>
    <row r="605" spans="9:13" ht="15.75" customHeight="1" x14ac:dyDescent="0.25">
      <c r="I605" s="6"/>
      <c r="M605" s="6"/>
    </row>
    <row r="606" spans="9:13" ht="15.75" customHeight="1" x14ac:dyDescent="0.25">
      <c r="I606" s="6"/>
      <c r="M606" s="6"/>
    </row>
    <row r="607" spans="9:13" ht="15.75" customHeight="1" x14ac:dyDescent="0.25">
      <c r="I607" s="6"/>
      <c r="M607" s="6"/>
    </row>
    <row r="608" spans="9:13" ht="15.75" customHeight="1" x14ac:dyDescent="0.25">
      <c r="I608" s="6"/>
      <c r="M608" s="6"/>
    </row>
    <row r="609" spans="9:13" ht="15.75" customHeight="1" x14ac:dyDescent="0.25">
      <c r="I609" s="6"/>
      <c r="M609" s="6"/>
    </row>
    <row r="610" spans="9:13" ht="15.75" customHeight="1" x14ac:dyDescent="0.25">
      <c r="I610" s="6"/>
      <c r="M610" s="6"/>
    </row>
    <row r="611" spans="9:13" ht="15.75" customHeight="1" x14ac:dyDescent="0.25">
      <c r="I611" s="6"/>
      <c r="M611" s="6"/>
    </row>
    <row r="612" spans="9:13" ht="15.75" customHeight="1" x14ac:dyDescent="0.25">
      <c r="I612" s="6"/>
      <c r="M612" s="6"/>
    </row>
    <row r="613" spans="9:13" ht="15.75" customHeight="1" x14ac:dyDescent="0.25">
      <c r="I613" s="6"/>
      <c r="M613" s="6"/>
    </row>
    <row r="614" spans="9:13" ht="15.75" customHeight="1" x14ac:dyDescent="0.25">
      <c r="I614" s="6"/>
      <c r="M614" s="6"/>
    </row>
    <row r="615" spans="9:13" ht="15.75" customHeight="1" x14ac:dyDescent="0.25">
      <c r="I615" s="6"/>
      <c r="M615" s="6"/>
    </row>
    <row r="616" spans="9:13" ht="15.75" customHeight="1" x14ac:dyDescent="0.25">
      <c r="I616" s="6"/>
      <c r="M616" s="6"/>
    </row>
    <row r="617" spans="9:13" ht="15.75" customHeight="1" x14ac:dyDescent="0.25">
      <c r="I617" s="6"/>
      <c r="M617" s="6"/>
    </row>
    <row r="618" spans="9:13" ht="15.75" customHeight="1" x14ac:dyDescent="0.25">
      <c r="I618" s="6"/>
      <c r="M618" s="6"/>
    </row>
    <row r="619" spans="9:13" ht="15.75" customHeight="1" x14ac:dyDescent="0.25">
      <c r="I619" s="6"/>
      <c r="M619" s="6"/>
    </row>
    <row r="620" spans="9:13" ht="15.75" customHeight="1" x14ac:dyDescent="0.25">
      <c r="I620" s="6"/>
      <c r="M620" s="6"/>
    </row>
    <row r="621" spans="9:13" ht="15.75" customHeight="1" x14ac:dyDescent="0.25">
      <c r="I621" s="6"/>
      <c r="M621" s="6"/>
    </row>
    <row r="622" spans="9:13" ht="15.75" customHeight="1" x14ac:dyDescent="0.25">
      <c r="I622" s="6"/>
      <c r="M622" s="6"/>
    </row>
    <row r="623" spans="9:13" ht="15.75" customHeight="1" x14ac:dyDescent="0.25">
      <c r="I623" s="6"/>
      <c r="M623" s="6"/>
    </row>
    <row r="624" spans="9:13" ht="15.75" customHeight="1" x14ac:dyDescent="0.25">
      <c r="I624" s="6"/>
      <c r="M624" s="6"/>
    </row>
    <row r="625" spans="9:13" ht="15.75" customHeight="1" x14ac:dyDescent="0.25">
      <c r="I625" s="6"/>
      <c r="M625" s="6"/>
    </row>
    <row r="626" spans="9:13" ht="15.75" customHeight="1" x14ac:dyDescent="0.25">
      <c r="I626" s="6"/>
      <c r="M626" s="6"/>
    </row>
    <row r="627" spans="9:13" ht="15.75" customHeight="1" x14ac:dyDescent="0.25">
      <c r="I627" s="6"/>
      <c r="M627" s="6"/>
    </row>
    <row r="628" spans="9:13" ht="15.75" customHeight="1" x14ac:dyDescent="0.25">
      <c r="I628" s="6"/>
      <c r="M628" s="6"/>
    </row>
    <row r="629" spans="9:13" ht="15.75" customHeight="1" x14ac:dyDescent="0.25">
      <c r="I629" s="6"/>
      <c r="M629" s="6"/>
    </row>
    <row r="630" spans="9:13" ht="15.75" customHeight="1" x14ac:dyDescent="0.25">
      <c r="I630" s="6"/>
      <c r="M630" s="6"/>
    </row>
    <row r="631" spans="9:13" ht="15.75" customHeight="1" x14ac:dyDescent="0.25">
      <c r="I631" s="6"/>
      <c r="M631" s="6"/>
    </row>
    <row r="632" spans="9:13" ht="15.75" customHeight="1" x14ac:dyDescent="0.25">
      <c r="I632" s="6"/>
      <c r="M632" s="6"/>
    </row>
    <row r="633" spans="9:13" ht="15.75" customHeight="1" x14ac:dyDescent="0.25">
      <c r="I633" s="6"/>
      <c r="M633" s="6"/>
    </row>
    <row r="634" spans="9:13" ht="15.75" customHeight="1" x14ac:dyDescent="0.25">
      <c r="I634" s="6"/>
      <c r="M634" s="6"/>
    </row>
    <row r="635" spans="9:13" ht="15.75" customHeight="1" x14ac:dyDescent="0.25">
      <c r="I635" s="6"/>
      <c r="M635" s="6"/>
    </row>
    <row r="636" spans="9:13" ht="15.75" customHeight="1" x14ac:dyDescent="0.25">
      <c r="I636" s="6"/>
      <c r="M636" s="6"/>
    </row>
    <row r="637" spans="9:13" ht="15.75" customHeight="1" x14ac:dyDescent="0.25">
      <c r="I637" s="6"/>
      <c r="M637" s="6"/>
    </row>
    <row r="638" spans="9:13" ht="15.75" customHeight="1" x14ac:dyDescent="0.25">
      <c r="I638" s="6"/>
      <c r="M638" s="6"/>
    </row>
    <row r="639" spans="9:13" ht="15.75" customHeight="1" x14ac:dyDescent="0.25">
      <c r="I639" s="6"/>
      <c r="M639" s="6"/>
    </row>
    <row r="640" spans="9:13" ht="15.75" customHeight="1" x14ac:dyDescent="0.25">
      <c r="I640" s="6"/>
      <c r="M640" s="6"/>
    </row>
    <row r="641" spans="9:13" ht="15.75" customHeight="1" x14ac:dyDescent="0.25">
      <c r="I641" s="6"/>
      <c r="M641" s="6"/>
    </row>
    <row r="642" spans="9:13" ht="15.75" customHeight="1" x14ac:dyDescent="0.25">
      <c r="I642" s="6"/>
      <c r="M642" s="6"/>
    </row>
    <row r="643" spans="9:13" ht="15.75" customHeight="1" x14ac:dyDescent="0.25">
      <c r="I643" s="6"/>
      <c r="M643" s="6"/>
    </row>
    <row r="644" spans="9:13" ht="15.75" customHeight="1" x14ac:dyDescent="0.25">
      <c r="I644" s="6"/>
      <c r="M644" s="6"/>
    </row>
    <row r="645" spans="9:13" ht="15.75" customHeight="1" x14ac:dyDescent="0.25">
      <c r="I645" s="6"/>
      <c r="M645" s="6"/>
    </row>
    <row r="646" spans="9:13" ht="15.75" customHeight="1" x14ac:dyDescent="0.25">
      <c r="I646" s="6"/>
      <c r="M646" s="6"/>
    </row>
    <row r="647" spans="9:13" ht="15.75" customHeight="1" x14ac:dyDescent="0.25">
      <c r="I647" s="6"/>
      <c r="M647" s="6"/>
    </row>
    <row r="648" spans="9:13" ht="15.75" customHeight="1" x14ac:dyDescent="0.25">
      <c r="I648" s="6"/>
      <c r="M648" s="6"/>
    </row>
    <row r="649" spans="9:13" ht="15.75" customHeight="1" x14ac:dyDescent="0.25">
      <c r="I649" s="6"/>
      <c r="M649" s="6"/>
    </row>
    <row r="650" spans="9:13" ht="15.75" customHeight="1" x14ac:dyDescent="0.25">
      <c r="I650" s="6"/>
      <c r="M650" s="6"/>
    </row>
    <row r="651" spans="9:13" ht="15.75" customHeight="1" x14ac:dyDescent="0.25">
      <c r="I651" s="6"/>
      <c r="M651" s="6"/>
    </row>
    <row r="652" spans="9:13" ht="15.75" customHeight="1" x14ac:dyDescent="0.25">
      <c r="I652" s="6"/>
      <c r="M652" s="6"/>
    </row>
    <row r="653" spans="9:13" ht="15.75" customHeight="1" x14ac:dyDescent="0.25">
      <c r="I653" s="6"/>
      <c r="M653" s="6"/>
    </row>
    <row r="654" spans="9:13" ht="15.75" customHeight="1" x14ac:dyDescent="0.25">
      <c r="I654" s="6"/>
      <c r="M654" s="6"/>
    </row>
    <row r="655" spans="9:13" ht="15.75" customHeight="1" x14ac:dyDescent="0.25">
      <c r="I655" s="6"/>
      <c r="M655" s="6"/>
    </row>
    <row r="656" spans="9:13" ht="15.75" customHeight="1" x14ac:dyDescent="0.25">
      <c r="I656" s="6"/>
      <c r="M656" s="6"/>
    </row>
    <row r="657" spans="9:13" ht="15.75" customHeight="1" x14ac:dyDescent="0.25">
      <c r="I657" s="6"/>
      <c r="M657" s="6"/>
    </row>
    <row r="658" spans="9:13" ht="15.75" customHeight="1" x14ac:dyDescent="0.25">
      <c r="I658" s="6"/>
      <c r="M658" s="6"/>
    </row>
    <row r="659" spans="9:13" ht="15.75" customHeight="1" x14ac:dyDescent="0.25">
      <c r="I659" s="6"/>
      <c r="M659" s="6"/>
    </row>
    <row r="660" spans="9:13" ht="15.75" customHeight="1" x14ac:dyDescent="0.25">
      <c r="I660" s="6"/>
      <c r="M660" s="6"/>
    </row>
    <row r="661" spans="9:13" ht="15.75" customHeight="1" x14ac:dyDescent="0.25">
      <c r="I661" s="6"/>
      <c r="M661" s="6"/>
    </row>
    <row r="662" spans="9:13" ht="15.75" customHeight="1" x14ac:dyDescent="0.25">
      <c r="I662" s="6"/>
      <c r="M662" s="6"/>
    </row>
    <row r="663" spans="9:13" ht="15.75" customHeight="1" x14ac:dyDescent="0.25">
      <c r="I663" s="6"/>
      <c r="M663" s="6"/>
    </row>
    <row r="664" spans="9:13" ht="15.75" customHeight="1" x14ac:dyDescent="0.25">
      <c r="I664" s="6"/>
      <c r="M664" s="6"/>
    </row>
    <row r="665" spans="9:13" ht="15.75" customHeight="1" x14ac:dyDescent="0.25">
      <c r="I665" s="6"/>
      <c r="M665" s="6"/>
    </row>
    <row r="666" spans="9:13" ht="15.75" customHeight="1" x14ac:dyDescent="0.25">
      <c r="I666" s="6"/>
      <c r="M666" s="6"/>
    </row>
    <row r="667" spans="9:13" ht="15.75" customHeight="1" x14ac:dyDescent="0.25">
      <c r="I667" s="6"/>
      <c r="M667" s="6"/>
    </row>
    <row r="668" spans="9:13" ht="15.75" customHeight="1" x14ac:dyDescent="0.25">
      <c r="I668" s="6"/>
      <c r="M668" s="6"/>
    </row>
    <row r="669" spans="9:13" ht="15.75" customHeight="1" x14ac:dyDescent="0.25">
      <c r="I669" s="6"/>
      <c r="M669" s="6"/>
    </row>
    <row r="670" spans="9:13" ht="15.75" customHeight="1" x14ac:dyDescent="0.25">
      <c r="I670" s="6"/>
      <c r="M670" s="6"/>
    </row>
    <row r="671" spans="9:13" ht="15.75" customHeight="1" x14ac:dyDescent="0.25">
      <c r="I671" s="6"/>
      <c r="M671" s="6"/>
    </row>
    <row r="672" spans="9:13" ht="15.75" customHeight="1" x14ac:dyDescent="0.25">
      <c r="I672" s="6"/>
      <c r="M672" s="6"/>
    </row>
    <row r="673" spans="9:13" ht="15.75" customHeight="1" x14ac:dyDescent="0.25">
      <c r="I673" s="6"/>
      <c r="M673" s="6"/>
    </row>
    <row r="674" spans="9:13" ht="15.75" customHeight="1" x14ac:dyDescent="0.25">
      <c r="I674" s="6"/>
      <c r="M674" s="6"/>
    </row>
    <row r="675" spans="9:13" ht="15.75" customHeight="1" x14ac:dyDescent="0.25">
      <c r="I675" s="6"/>
      <c r="M675" s="6"/>
    </row>
    <row r="676" spans="9:13" ht="15.75" customHeight="1" x14ac:dyDescent="0.25">
      <c r="I676" s="6"/>
      <c r="M676" s="6"/>
    </row>
    <row r="677" spans="9:13" ht="15.75" customHeight="1" x14ac:dyDescent="0.25">
      <c r="I677" s="6"/>
      <c r="M677" s="6"/>
    </row>
    <row r="678" spans="9:13" ht="15.75" customHeight="1" x14ac:dyDescent="0.25">
      <c r="I678" s="6"/>
      <c r="M678" s="6"/>
    </row>
    <row r="679" spans="9:13" ht="15.75" customHeight="1" x14ac:dyDescent="0.25">
      <c r="I679" s="6"/>
      <c r="M679" s="6"/>
    </row>
    <row r="680" spans="9:13" ht="15.75" customHeight="1" x14ac:dyDescent="0.25">
      <c r="I680" s="6"/>
      <c r="M680" s="6"/>
    </row>
    <row r="681" spans="9:13" ht="15.75" customHeight="1" x14ac:dyDescent="0.25">
      <c r="I681" s="6"/>
      <c r="M681" s="6"/>
    </row>
    <row r="682" spans="9:13" ht="15.75" customHeight="1" x14ac:dyDescent="0.25">
      <c r="I682" s="6"/>
      <c r="M682" s="6"/>
    </row>
    <row r="683" spans="9:13" ht="15.75" customHeight="1" x14ac:dyDescent="0.25">
      <c r="I683" s="6"/>
      <c r="M683" s="6"/>
    </row>
    <row r="684" spans="9:13" ht="15.75" customHeight="1" x14ac:dyDescent="0.25">
      <c r="I684" s="6"/>
      <c r="M684" s="6"/>
    </row>
    <row r="685" spans="9:13" ht="15.75" customHeight="1" x14ac:dyDescent="0.25">
      <c r="I685" s="6"/>
      <c r="M685" s="6"/>
    </row>
    <row r="686" spans="9:13" ht="15.75" customHeight="1" x14ac:dyDescent="0.25">
      <c r="I686" s="6"/>
      <c r="M686" s="6"/>
    </row>
    <row r="687" spans="9:13" ht="15.75" customHeight="1" x14ac:dyDescent="0.25">
      <c r="I687" s="6"/>
      <c r="M687" s="6"/>
    </row>
    <row r="688" spans="9:13" ht="15.75" customHeight="1" x14ac:dyDescent="0.25">
      <c r="I688" s="6"/>
      <c r="M688" s="6"/>
    </row>
    <row r="689" spans="9:13" ht="15.75" customHeight="1" x14ac:dyDescent="0.25">
      <c r="I689" s="6"/>
      <c r="M689" s="6"/>
    </row>
    <row r="690" spans="9:13" ht="15.75" customHeight="1" x14ac:dyDescent="0.25">
      <c r="I690" s="6"/>
      <c r="M690" s="6"/>
    </row>
    <row r="691" spans="9:13" ht="15.75" customHeight="1" x14ac:dyDescent="0.25">
      <c r="I691" s="6"/>
      <c r="M691" s="6"/>
    </row>
    <row r="692" spans="9:13" ht="15.75" customHeight="1" x14ac:dyDescent="0.25">
      <c r="I692" s="6"/>
      <c r="M692" s="6"/>
    </row>
    <row r="693" spans="9:13" ht="15.75" customHeight="1" x14ac:dyDescent="0.25">
      <c r="I693" s="6"/>
      <c r="M693" s="6"/>
    </row>
    <row r="694" spans="9:13" ht="15.75" customHeight="1" x14ac:dyDescent="0.25">
      <c r="I694" s="6"/>
      <c r="M694" s="6"/>
    </row>
    <row r="695" spans="9:13" ht="15.75" customHeight="1" x14ac:dyDescent="0.25">
      <c r="I695" s="6"/>
      <c r="M695" s="6"/>
    </row>
    <row r="696" spans="9:13" ht="15.75" customHeight="1" x14ac:dyDescent="0.25">
      <c r="I696" s="6"/>
      <c r="M696" s="6"/>
    </row>
    <row r="697" spans="9:13" ht="15.75" customHeight="1" x14ac:dyDescent="0.25">
      <c r="I697" s="6"/>
      <c r="M697" s="6"/>
    </row>
    <row r="698" spans="9:13" ht="15.75" customHeight="1" x14ac:dyDescent="0.25">
      <c r="I698" s="6"/>
      <c r="M698" s="6"/>
    </row>
    <row r="699" spans="9:13" ht="15.75" customHeight="1" x14ac:dyDescent="0.25">
      <c r="I699" s="6"/>
      <c r="M699" s="6"/>
    </row>
    <row r="700" spans="9:13" ht="15.75" customHeight="1" x14ac:dyDescent="0.25">
      <c r="I700" s="6"/>
      <c r="M700" s="6"/>
    </row>
    <row r="701" spans="9:13" ht="15.75" customHeight="1" x14ac:dyDescent="0.25">
      <c r="I701" s="6"/>
      <c r="M701" s="6"/>
    </row>
    <row r="702" spans="9:13" ht="15.75" customHeight="1" x14ac:dyDescent="0.25">
      <c r="I702" s="6"/>
      <c r="M702" s="6"/>
    </row>
    <row r="703" spans="9:13" ht="15.75" customHeight="1" x14ac:dyDescent="0.25">
      <c r="I703" s="6"/>
      <c r="M703" s="6"/>
    </row>
    <row r="704" spans="9:13" ht="15.75" customHeight="1" x14ac:dyDescent="0.25">
      <c r="I704" s="6"/>
      <c r="M704" s="6"/>
    </row>
    <row r="705" spans="9:13" ht="15.75" customHeight="1" x14ac:dyDescent="0.25">
      <c r="I705" s="6"/>
      <c r="M705" s="6"/>
    </row>
    <row r="706" spans="9:13" ht="15.75" customHeight="1" x14ac:dyDescent="0.25">
      <c r="I706" s="6"/>
      <c r="M706" s="6"/>
    </row>
    <row r="707" spans="9:13" ht="15.75" customHeight="1" x14ac:dyDescent="0.25">
      <c r="I707" s="6"/>
      <c r="M707" s="6"/>
    </row>
    <row r="708" spans="9:13" ht="15.75" customHeight="1" x14ac:dyDescent="0.25">
      <c r="I708" s="6"/>
      <c r="M708" s="6"/>
    </row>
    <row r="709" spans="9:13" ht="15.75" customHeight="1" x14ac:dyDescent="0.25">
      <c r="I709" s="6"/>
      <c r="M709" s="6"/>
    </row>
    <row r="710" spans="9:13" ht="15.75" customHeight="1" x14ac:dyDescent="0.25">
      <c r="I710" s="6"/>
      <c r="M710" s="6"/>
    </row>
    <row r="711" spans="9:13" ht="15.75" customHeight="1" x14ac:dyDescent="0.25">
      <c r="I711" s="6"/>
      <c r="M711" s="6"/>
    </row>
    <row r="712" spans="9:13" ht="15.75" customHeight="1" x14ac:dyDescent="0.25">
      <c r="I712" s="6"/>
      <c r="M712" s="6"/>
    </row>
    <row r="713" spans="9:13" ht="15.75" customHeight="1" x14ac:dyDescent="0.25">
      <c r="I713" s="6"/>
      <c r="M713" s="6"/>
    </row>
    <row r="714" spans="9:13" ht="15.75" customHeight="1" x14ac:dyDescent="0.25">
      <c r="I714" s="6"/>
      <c r="M714" s="6"/>
    </row>
    <row r="715" spans="9:13" ht="15.75" customHeight="1" x14ac:dyDescent="0.25">
      <c r="I715" s="6"/>
      <c r="M715" s="6"/>
    </row>
    <row r="716" spans="9:13" ht="15.75" customHeight="1" x14ac:dyDescent="0.25">
      <c r="I716" s="6"/>
      <c r="M716" s="6"/>
    </row>
    <row r="717" spans="9:13" ht="15.75" customHeight="1" x14ac:dyDescent="0.25">
      <c r="I717" s="6"/>
      <c r="M717" s="6"/>
    </row>
    <row r="718" spans="9:13" ht="15.75" customHeight="1" x14ac:dyDescent="0.25">
      <c r="I718" s="6"/>
      <c r="M718" s="6"/>
    </row>
    <row r="719" spans="9:13" ht="15.75" customHeight="1" x14ac:dyDescent="0.25">
      <c r="I719" s="6"/>
      <c r="M719" s="6"/>
    </row>
    <row r="720" spans="9:13" ht="15.75" customHeight="1" x14ac:dyDescent="0.25">
      <c r="I720" s="6"/>
      <c r="M720" s="6"/>
    </row>
    <row r="721" spans="9:13" ht="15.75" customHeight="1" x14ac:dyDescent="0.25">
      <c r="I721" s="6"/>
      <c r="M721" s="6"/>
    </row>
    <row r="722" spans="9:13" ht="15.75" customHeight="1" x14ac:dyDescent="0.25">
      <c r="I722" s="6"/>
      <c r="M722" s="6"/>
    </row>
    <row r="723" spans="9:13" ht="15.75" customHeight="1" x14ac:dyDescent="0.25">
      <c r="I723" s="6"/>
      <c r="M723" s="6"/>
    </row>
    <row r="724" spans="9:13" ht="15.75" customHeight="1" x14ac:dyDescent="0.25">
      <c r="I724" s="6"/>
      <c r="M724" s="6"/>
    </row>
    <row r="725" spans="9:13" ht="15.75" customHeight="1" x14ac:dyDescent="0.25">
      <c r="I725" s="6"/>
      <c r="M725" s="6"/>
    </row>
    <row r="726" spans="9:13" ht="15.75" customHeight="1" x14ac:dyDescent="0.25">
      <c r="I726" s="6"/>
      <c r="M726" s="6"/>
    </row>
    <row r="727" spans="9:13" ht="15.75" customHeight="1" x14ac:dyDescent="0.25">
      <c r="I727" s="6"/>
      <c r="M727" s="6"/>
    </row>
    <row r="728" spans="9:13" ht="15.75" customHeight="1" x14ac:dyDescent="0.25">
      <c r="I728" s="6"/>
      <c r="M728" s="6"/>
    </row>
    <row r="729" spans="9:13" ht="15.75" customHeight="1" x14ac:dyDescent="0.25">
      <c r="I729" s="6"/>
      <c r="M729" s="6"/>
    </row>
    <row r="730" spans="9:13" ht="15.75" customHeight="1" x14ac:dyDescent="0.25">
      <c r="I730" s="6"/>
      <c r="M730" s="6"/>
    </row>
    <row r="731" spans="9:13" ht="15.75" customHeight="1" x14ac:dyDescent="0.25">
      <c r="I731" s="6"/>
      <c r="M731" s="6"/>
    </row>
    <row r="732" spans="9:13" ht="15.75" customHeight="1" x14ac:dyDescent="0.25">
      <c r="I732" s="6"/>
      <c r="M732" s="6"/>
    </row>
    <row r="733" spans="9:13" ht="15.75" customHeight="1" x14ac:dyDescent="0.25">
      <c r="I733" s="6"/>
      <c r="M733" s="6"/>
    </row>
    <row r="734" spans="9:13" ht="15.75" customHeight="1" x14ac:dyDescent="0.25">
      <c r="I734" s="6"/>
      <c r="M734" s="6"/>
    </row>
    <row r="735" spans="9:13" ht="15.75" customHeight="1" x14ac:dyDescent="0.25">
      <c r="I735" s="6"/>
      <c r="M735" s="6"/>
    </row>
    <row r="736" spans="9:13" ht="15.75" customHeight="1" x14ac:dyDescent="0.25">
      <c r="I736" s="6"/>
      <c r="M736" s="6"/>
    </row>
    <row r="737" spans="9:13" ht="15.75" customHeight="1" x14ac:dyDescent="0.25">
      <c r="I737" s="6"/>
      <c r="M737" s="6"/>
    </row>
    <row r="738" spans="9:13" ht="15.75" customHeight="1" x14ac:dyDescent="0.25">
      <c r="I738" s="6"/>
      <c r="M738" s="6"/>
    </row>
    <row r="739" spans="9:13" ht="15.75" customHeight="1" x14ac:dyDescent="0.25">
      <c r="I739" s="6"/>
      <c r="M739" s="6"/>
    </row>
    <row r="740" spans="9:13" ht="15.75" customHeight="1" x14ac:dyDescent="0.25">
      <c r="I740" s="6"/>
      <c r="M740" s="6"/>
    </row>
    <row r="741" spans="9:13" ht="15.75" customHeight="1" x14ac:dyDescent="0.25">
      <c r="I741" s="6"/>
      <c r="M741" s="6"/>
    </row>
    <row r="742" spans="9:13" ht="15.75" customHeight="1" x14ac:dyDescent="0.25">
      <c r="I742" s="6"/>
      <c r="M742" s="6"/>
    </row>
    <row r="743" spans="9:13" ht="15.75" customHeight="1" x14ac:dyDescent="0.25">
      <c r="I743" s="6"/>
      <c r="M743" s="6"/>
    </row>
    <row r="744" spans="9:13" ht="15.75" customHeight="1" x14ac:dyDescent="0.25">
      <c r="I744" s="6"/>
      <c r="M744" s="6"/>
    </row>
    <row r="745" spans="9:13" ht="15.75" customHeight="1" x14ac:dyDescent="0.25">
      <c r="I745" s="6"/>
      <c r="M745" s="6"/>
    </row>
    <row r="746" spans="9:13" ht="15.75" customHeight="1" x14ac:dyDescent="0.25">
      <c r="I746" s="6"/>
      <c r="M746" s="6"/>
    </row>
    <row r="747" spans="9:13" ht="15.75" customHeight="1" x14ac:dyDescent="0.25">
      <c r="I747" s="6"/>
      <c r="M747" s="6"/>
    </row>
    <row r="748" spans="9:13" ht="15.75" customHeight="1" x14ac:dyDescent="0.25">
      <c r="I748" s="6"/>
      <c r="M748" s="6"/>
    </row>
    <row r="749" spans="9:13" ht="15.75" customHeight="1" x14ac:dyDescent="0.25">
      <c r="I749" s="6"/>
      <c r="M749" s="6"/>
    </row>
    <row r="750" spans="9:13" ht="15.75" customHeight="1" x14ac:dyDescent="0.25">
      <c r="I750" s="6"/>
      <c r="M750" s="6"/>
    </row>
    <row r="751" spans="9:13" ht="15.75" customHeight="1" x14ac:dyDescent="0.25">
      <c r="I751" s="6"/>
      <c r="M751" s="6"/>
    </row>
    <row r="752" spans="9:13" ht="15.75" customHeight="1" x14ac:dyDescent="0.25">
      <c r="I752" s="6"/>
      <c r="M752" s="6"/>
    </row>
    <row r="753" spans="9:13" ht="15.75" customHeight="1" x14ac:dyDescent="0.25">
      <c r="I753" s="6"/>
      <c r="M753" s="6"/>
    </row>
    <row r="754" spans="9:13" ht="15.75" customHeight="1" x14ac:dyDescent="0.25">
      <c r="I754" s="6"/>
      <c r="M754" s="6"/>
    </row>
    <row r="755" spans="9:13" ht="15.75" customHeight="1" x14ac:dyDescent="0.25">
      <c r="I755" s="6"/>
      <c r="M755" s="6"/>
    </row>
    <row r="756" spans="9:13" ht="15.75" customHeight="1" x14ac:dyDescent="0.25">
      <c r="I756" s="6"/>
      <c r="M756" s="6"/>
    </row>
    <row r="757" spans="9:13" ht="15.75" customHeight="1" x14ac:dyDescent="0.25">
      <c r="I757" s="6"/>
      <c r="M757" s="6"/>
    </row>
    <row r="758" spans="9:13" ht="15.75" customHeight="1" x14ac:dyDescent="0.25">
      <c r="I758" s="6"/>
      <c r="M758" s="6"/>
    </row>
    <row r="759" spans="9:13" ht="15.75" customHeight="1" x14ac:dyDescent="0.25">
      <c r="I759" s="6"/>
      <c r="M759" s="6"/>
    </row>
    <row r="760" spans="9:13" ht="15.75" customHeight="1" x14ac:dyDescent="0.25">
      <c r="I760" s="6"/>
      <c r="M760" s="6"/>
    </row>
    <row r="761" spans="9:13" ht="15.75" customHeight="1" x14ac:dyDescent="0.25">
      <c r="I761" s="6"/>
      <c r="M761" s="6"/>
    </row>
    <row r="762" spans="9:13" ht="15.75" customHeight="1" x14ac:dyDescent="0.25">
      <c r="I762" s="6"/>
      <c r="M762" s="6"/>
    </row>
    <row r="763" spans="9:13" ht="15.75" customHeight="1" x14ac:dyDescent="0.25">
      <c r="I763" s="6"/>
      <c r="M763" s="6"/>
    </row>
    <row r="764" spans="9:13" ht="15.75" customHeight="1" x14ac:dyDescent="0.25">
      <c r="I764" s="6"/>
      <c r="M764" s="6"/>
    </row>
    <row r="765" spans="9:13" ht="15.75" customHeight="1" x14ac:dyDescent="0.25">
      <c r="I765" s="6"/>
      <c r="M765" s="6"/>
    </row>
    <row r="766" spans="9:13" ht="15.75" customHeight="1" x14ac:dyDescent="0.25">
      <c r="I766" s="6"/>
      <c r="M766" s="6"/>
    </row>
    <row r="767" spans="9:13" ht="15.75" customHeight="1" x14ac:dyDescent="0.25">
      <c r="I767" s="6"/>
      <c r="M767" s="6"/>
    </row>
    <row r="768" spans="9:13" ht="15.75" customHeight="1" x14ac:dyDescent="0.25">
      <c r="I768" s="6"/>
      <c r="M768" s="6"/>
    </row>
    <row r="769" spans="9:13" ht="15.75" customHeight="1" x14ac:dyDescent="0.25">
      <c r="I769" s="6"/>
      <c r="M769" s="6"/>
    </row>
    <row r="770" spans="9:13" ht="15.75" customHeight="1" x14ac:dyDescent="0.25">
      <c r="I770" s="6"/>
      <c r="M770" s="6"/>
    </row>
    <row r="771" spans="9:13" ht="15.75" customHeight="1" x14ac:dyDescent="0.25">
      <c r="I771" s="6"/>
      <c r="M771" s="6"/>
    </row>
    <row r="772" spans="9:13" ht="15.75" customHeight="1" x14ac:dyDescent="0.25">
      <c r="I772" s="6"/>
      <c r="M772" s="6"/>
    </row>
    <row r="773" spans="9:13" ht="15.75" customHeight="1" x14ac:dyDescent="0.25">
      <c r="I773" s="6"/>
      <c r="M773" s="6"/>
    </row>
    <row r="774" spans="9:13" ht="15.75" customHeight="1" x14ac:dyDescent="0.25">
      <c r="I774" s="6"/>
      <c r="M774" s="6"/>
    </row>
    <row r="775" spans="9:13" ht="15.75" customHeight="1" x14ac:dyDescent="0.25">
      <c r="I775" s="6"/>
      <c r="M775" s="6"/>
    </row>
    <row r="776" spans="9:13" ht="15.75" customHeight="1" x14ac:dyDescent="0.25">
      <c r="I776" s="6"/>
      <c r="M776" s="6"/>
    </row>
    <row r="777" spans="9:13" ht="15.75" customHeight="1" x14ac:dyDescent="0.25">
      <c r="I777" s="6"/>
      <c r="M777" s="6"/>
    </row>
    <row r="778" spans="9:13" ht="15.75" customHeight="1" x14ac:dyDescent="0.25">
      <c r="I778" s="6"/>
      <c r="M778" s="6"/>
    </row>
    <row r="779" spans="9:13" ht="15.75" customHeight="1" x14ac:dyDescent="0.25">
      <c r="I779" s="6"/>
      <c r="M779" s="6"/>
    </row>
    <row r="780" spans="9:13" ht="15.75" customHeight="1" x14ac:dyDescent="0.25">
      <c r="I780" s="6"/>
      <c r="M780" s="6"/>
    </row>
    <row r="781" spans="9:13" ht="15.75" customHeight="1" x14ac:dyDescent="0.25">
      <c r="I781" s="6"/>
      <c r="M781" s="6"/>
    </row>
    <row r="782" spans="9:13" ht="15.75" customHeight="1" x14ac:dyDescent="0.25">
      <c r="I782" s="6"/>
      <c r="M782" s="6"/>
    </row>
    <row r="783" spans="9:13" ht="15.75" customHeight="1" x14ac:dyDescent="0.25">
      <c r="I783" s="6"/>
      <c r="M783" s="6"/>
    </row>
    <row r="784" spans="9:13" ht="15.75" customHeight="1" x14ac:dyDescent="0.25">
      <c r="I784" s="6"/>
      <c r="M784" s="6"/>
    </row>
    <row r="785" spans="9:13" ht="15.75" customHeight="1" x14ac:dyDescent="0.25">
      <c r="I785" s="6"/>
      <c r="M785" s="6"/>
    </row>
    <row r="786" spans="9:13" ht="15.75" customHeight="1" x14ac:dyDescent="0.25">
      <c r="I786" s="6"/>
      <c r="M786" s="6"/>
    </row>
    <row r="787" spans="9:13" ht="15.75" customHeight="1" x14ac:dyDescent="0.25">
      <c r="I787" s="6"/>
      <c r="M787" s="6"/>
    </row>
    <row r="788" spans="9:13" ht="15.75" customHeight="1" x14ac:dyDescent="0.25">
      <c r="I788" s="6"/>
      <c r="M788" s="6"/>
    </row>
    <row r="789" spans="9:13" ht="15.75" customHeight="1" x14ac:dyDescent="0.25">
      <c r="I789" s="6"/>
      <c r="M789" s="6"/>
    </row>
    <row r="790" spans="9:13" ht="15.75" customHeight="1" x14ac:dyDescent="0.25">
      <c r="I790" s="6"/>
      <c r="M790" s="6"/>
    </row>
    <row r="791" spans="9:13" ht="15.75" customHeight="1" x14ac:dyDescent="0.25">
      <c r="I791" s="6"/>
      <c r="M791" s="6"/>
    </row>
    <row r="792" spans="9:13" ht="15.75" customHeight="1" x14ac:dyDescent="0.25">
      <c r="I792" s="6"/>
      <c r="M792" s="6"/>
    </row>
    <row r="793" spans="9:13" ht="15.75" customHeight="1" x14ac:dyDescent="0.25">
      <c r="I793" s="6"/>
      <c r="M793" s="6"/>
    </row>
    <row r="794" spans="9:13" ht="15.75" customHeight="1" x14ac:dyDescent="0.25">
      <c r="I794" s="6"/>
      <c r="M794" s="6"/>
    </row>
    <row r="795" spans="9:13" ht="15.75" customHeight="1" x14ac:dyDescent="0.25">
      <c r="I795" s="6"/>
      <c r="M795" s="6"/>
    </row>
    <row r="796" spans="9:13" ht="15.75" customHeight="1" x14ac:dyDescent="0.25">
      <c r="I796" s="6"/>
      <c r="M796" s="6"/>
    </row>
    <row r="797" spans="9:13" ht="15.75" customHeight="1" x14ac:dyDescent="0.25">
      <c r="I797" s="6"/>
      <c r="M797" s="6"/>
    </row>
    <row r="798" spans="9:13" ht="15.75" customHeight="1" x14ac:dyDescent="0.25">
      <c r="I798" s="6"/>
      <c r="M798" s="6"/>
    </row>
    <row r="799" spans="9:13" ht="15.75" customHeight="1" x14ac:dyDescent="0.25">
      <c r="I799" s="6"/>
      <c r="M799" s="6"/>
    </row>
    <row r="800" spans="9:13" ht="15.75" customHeight="1" x14ac:dyDescent="0.25">
      <c r="I800" s="6"/>
      <c r="M800" s="6"/>
    </row>
    <row r="801" spans="9:13" ht="15.75" customHeight="1" x14ac:dyDescent="0.25">
      <c r="I801" s="6"/>
      <c r="M801" s="6"/>
    </row>
    <row r="802" spans="9:13" ht="15.75" customHeight="1" x14ac:dyDescent="0.25">
      <c r="I802" s="6"/>
      <c r="M802" s="6"/>
    </row>
    <row r="803" spans="9:13" ht="15.75" customHeight="1" x14ac:dyDescent="0.25">
      <c r="I803" s="6"/>
      <c r="M803" s="6"/>
    </row>
    <row r="804" spans="9:13" ht="15.75" customHeight="1" x14ac:dyDescent="0.25">
      <c r="I804" s="6"/>
      <c r="M804" s="6"/>
    </row>
    <row r="805" spans="9:13" ht="15.75" customHeight="1" x14ac:dyDescent="0.25">
      <c r="I805" s="6"/>
      <c r="M805" s="6"/>
    </row>
    <row r="806" spans="9:13" ht="15.75" customHeight="1" x14ac:dyDescent="0.25">
      <c r="I806" s="6"/>
      <c r="M806" s="6"/>
    </row>
    <row r="807" spans="9:13" ht="15.75" customHeight="1" x14ac:dyDescent="0.25">
      <c r="I807" s="6"/>
      <c r="M807" s="6"/>
    </row>
    <row r="808" spans="9:13" ht="15.75" customHeight="1" x14ac:dyDescent="0.25">
      <c r="I808" s="6"/>
      <c r="M808" s="6"/>
    </row>
    <row r="809" spans="9:13" ht="15.75" customHeight="1" x14ac:dyDescent="0.25">
      <c r="I809" s="6"/>
      <c r="M809" s="6"/>
    </row>
    <row r="810" spans="9:13" ht="15.75" customHeight="1" x14ac:dyDescent="0.25">
      <c r="I810" s="6"/>
      <c r="M810" s="6"/>
    </row>
    <row r="811" spans="9:13" ht="15.75" customHeight="1" x14ac:dyDescent="0.25">
      <c r="I811" s="6"/>
      <c r="M811" s="6"/>
    </row>
    <row r="812" spans="9:13" ht="15.75" customHeight="1" x14ac:dyDescent="0.25">
      <c r="I812" s="6"/>
      <c r="M812" s="6"/>
    </row>
    <row r="813" spans="9:13" ht="15.75" customHeight="1" x14ac:dyDescent="0.25">
      <c r="I813" s="6"/>
      <c r="M813" s="6"/>
    </row>
    <row r="814" spans="9:13" ht="15.75" customHeight="1" x14ac:dyDescent="0.25">
      <c r="I814" s="6"/>
      <c r="M814" s="6"/>
    </row>
    <row r="815" spans="9:13" ht="15.75" customHeight="1" x14ac:dyDescent="0.25">
      <c r="I815" s="6"/>
      <c r="M815" s="6"/>
    </row>
    <row r="816" spans="9:13" ht="15.75" customHeight="1" x14ac:dyDescent="0.25">
      <c r="I816" s="6"/>
      <c r="M816" s="6"/>
    </row>
    <row r="817" spans="9:13" ht="15.75" customHeight="1" x14ac:dyDescent="0.25">
      <c r="I817" s="6"/>
      <c r="M817" s="6"/>
    </row>
    <row r="818" spans="9:13" ht="15.75" customHeight="1" x14ac:dyDescent="0.25">
      <c r="I818" s="6"/>
      <c r="M818" s="6"/>
    </row>
    <row r="819" spans="9:13" ht="15.75" customHeight="1" x14ac:dyDescent="0.25">
      <c r="I819" s="6"/>
      <c r="M819" s="6"/>
    </row>
    <row r="820" spans="9:13" ht="15.75" customHeight="1" x14ac:dyDescent="0.25">
      <c r="I820" s="6"/>
      <c r="M820" s="6"/>
    </row>
    <row r="821" spans="9:13" ht="15.75" customHeight="1" x14ac:dyDescent="0.25">
      <c r="I821" s="6"/>
      <c r="M821" s="6"/>
    </row>
    <row r="822" spans="9:13" ht="15.75" customHeight="1" x14ac:dyDescent="0.25">
      <c r="I822" s="6"/>
      <c r="M822" s="6"/>
    </row>
    <row r="823" spans="9:13" ht="15.75" customHeight="1" x14ac:dyDescent="0.25">
      <c r="I823" s="6"/>
      <c r="M823" s="6"/>
    </row>
    <row r="824" spans="9:13" ht="15.75" customHeight="1" x14ac:dyDescent="0.25">
      <c r="I824" s="6"/>
      <c r="M824" s="6"/>
    </row>
    <row r="825" spans="9:13" ht="15.75" customHeight="1" x14ac:dyDescent="0.25">
      <c r="I825" s="6"/>
      <c r="M825" s="6"/>
    </row>
    <row r="826" spans="9:13" ht="15.75" customHeight="1" x14ac:dyDescent="0.25">
      <c r="I826" s="6"/>
      <c r="M826" s="6"/>
    </row>
    <row r="827" spans="9:13" ht="15.75" customHeight="1" x14ac:dyDescent="0.25">
      <c r="I827" s="6"/>
      <c r="M827" s="6"/>
    </row>
    <row r="828" spans="9:13" ht="15.75" customHeight="1" x14ac:dyDescent="0.25">
      <c r="I828" s="6"/>
      <c r="M828" s="6"/>
    </row>
    <row r="829" spans="9:13" ht="15.75" customHeight="1" x14ac:dyDescent="0.25">
      <c r="I829" s="6"/>
      <c r="M829" s="6"/>
    </row>
    <row r="830" spans="9:13" ht="15.75" customHeight="1" x14ac:dyDescent="0.25">
      <c r="I830" s="6"/>
      <c r="M830" s="6"/>
    </row>
    <row r="831" spans="9:13" ht="15.75" customHeight="1" x14ac:dyDescent="0.25">
      <c r="I831" s="6"/>
      <c r="M831" s="6"/>
    </row>
    <row r="832" spans="9:13" ht="15.75" customHeight="1" x14ac:dyDescent="0.25">
      <c r="I832" s="6"/>
      <c r="M832" s="6"/>
    </row>
    <row r="833" spans="9:13" ht="15.75" customHeight="1" x14ac:dyDescent="0.25">
      <c r="I833" s="6"/>
      <c r="M833" s="6"/>
    </row>
    <row r="834" spans="9:13" ht="15.75" customHeight="1" x14ac:dyDescent="0.25">
      <c r="I834" s="6"/>
      <c r="M834" s="6"/>
    </row>
    <row r="835" spans="9:13" ht="15.75" customHeight="1" x14ac:dyDescent="0.25">
      <c r="I835" s="6"/>
      <c r="M835" s="6"/>
    </row>
    <row r="836" spans="9:13" ht="15.75" customHeight="1" x14ac:dyDescent="0.25">
      <c r="I836" s="6"/>
      <c r="M836" s="6"/>
    </row>
    <row r="837" spans="9:13" ht="15.75" customHeight="1" x14ac:dyDescent="0.25">
      <c r="I837" s="6"/>
      <c r="M837" s="6"/>
    </row>
    <row r="838" spans="9:13" ht="15.75" customHeight="1" x14ac:dyDescent="0.25">
      <c r="I838" s="6"/>
      <c r="M838" s="6"/>
    </row>
    <row r="839" spans="9:13" ht="15.75" customHeight="1" x14ac:dyDescent="0.25">
      <c r="I839" s="6"/>
      <c r="M839" s="6"/>
    </row>
    <row r="840" spans="9:13" ht="15.75" customHeight="1" x14ac:dyDescent="0.25">
      <c r="I840" s="6"/>
      <c r="M840" s="6"/>
    </row>
    <row r="841" spans="9:13" ht="15.75" customHeight="1" x14ac:dyDescent="0.25">
      <c r="I841" s="6"/>
      <c r="M841" s="6"/>
    </row>
    <row r="842" spans="9:13" ht="15.75" customHeight="1" x14ac:dyDescent="0.25">
      <c r="I842" s="6"/>
      <c r="M842" s="6"/>
    </row>
    <row r="843" spans="9:13" ht="15.75" customHeight="1" x14ac:dyDescent="0.25">
      <c r="I843" s="6"/>
      <c r="M843" s="6"/>
    </row>
    <row r="844" spans="9:13" ht="15.75" customHeight="1" x14ac:dyDescent="0.25">
      <c r="I844" s="6"/>
      <c r="M844" s="6"/>
    </row>
    <row r="845" spans="9:13" ht="15.75" customHeight="1" x14ac:dyDescent="0.25">
      <c r="I845" s="6"/>
      <c r="M845" s="6"/>
    </row>
    <row r="846" spans="9:13" ht="15.75" customHeight="1" x14ac:dyDescent="0.25">
      <c r="I846" s="6"/>
      <c r="M846" s="6"/>
    </row>
    <row r="847" spans="9:13" ht="15.75" customHeight="1" x14ac:dyDescent="0.25">
      <c r="I847" s="6"/>
      <c r="M847" s="6"/>
    </row>
    <row r="848" spans="9:13" ht="15.75" customHeight="1" x14ac:dyDescent="0.25">
      <c r="I848" s="6"/>
      <c r="M848" s="6"/>
    </row>
    <row r="849" spans="9:13" ht="15.75" customHeight="1" x14ac:dyDescent="0.25">
      <c r="I849" s="6"/>
      <c r="M849" s="6"/>
    </row>
    <row r="850" spans="9:13" ht="15.75" customHeight="1" x14ac:dyDescent="0.25">
      <c r="I850" s="6"/>
      <c r="M850" s="6"/>
    </row>
    <row r="851" spans="9:13" ht="15.75" customHeight="1" x14ac:dyDescent="0.25">
      <c r="I851" s="6"/>
      <c r="M851" s="6"/>
    </row>
    <row r="852" spans="9:13" ht="15.75" customHeight="1" x14ac:dyDescent="0.25">
      <c r="I852" s="6"/>
      <c r="M852" s="6"/>
    </row>
    <row r="853" spans="9:13" ht="15.75" customHeight="1" x14ac:dyDescent="0.25">
      <c r="I853" s="6"/>
      <c r="M853" s="6"/>
    </row>
    <row r="854" spans="9:13" ht="15.75" customHeight="1" x14ac:dyDescent="0.25">
      <c r="I854" s="6"/>
      <c r="M854" s="6"/>
    </row>
    <row r="855" spans="9:13" ht="15.75" customHeight="1" x14ac:dyDescent="0.25">
      <c r="I855" s="6"/>
      <c r="M855" s="6"/>
    </row>
    <row r="856" spans="9:13" ht="15.75" customHeight="1" x14ac:dyDescent="0.25">
      <c r="I856" s="6"/>
      <c r="M856" s="6"/>
    </row>
    <row r="857" spans="9:13" ht="15.75" customHeight="1" x14ac:dyDescent="0.25">
      <c r="I857" s="6"/>
      <c r="M857" s="6"/>
    </row>
    <row r="858" spans="9:13" ht="15.75" customHeight="1" x14ac:dyDescent="0.25">
      <c r="I858" s="6"/>
      <c r="M858" s="6"/>
    </row>
    <row r="859" spans="9:13" ht="15.75" customHeight="1" x14ac:dyDescent="0.25">
      <c r="I859" s="6"/>
      <c r="M859" s="6"/>
    </row>
    <row r="860" spans="9:13" ht="15.75" customHeight="1" x14ac:dyDescent="0.25">
      <c r="I860" s="6"/>
      <c r="M860" s="6"/>
    </row>
    <row r="861" spans="9:13" ht="15.75" customHeight="1" x14ac:dyDescent="0.25">
      <c r="I861" s="6"/>
      <c r="M861" s="6"/>
    </row>
    <row r="862" spans="9:13" ht="15.75" customHeight="1" x14ac:dyDescent="0.25">
      <c r="I862" s="6"/>
      <c r="M862" s="6"/>
    </row>
    <row r="863" spans="9:13" ht="15.75" customHeight="1" x14ac:dyDescent="0.25">
      <c r="I863" s="6"/>
      <c r="M863" s="6"/>
    </row>
    <row r="864" spans="9:13" ht="15.75" customHeight="1" x14ac:dyDescent="0.25">
      <c r="I864" s="6"/>
      <c r="M864" s="6"/>
    </row>
    <row r="865" spans="9:13" ht="15.75" customHeight="1" x14ac:dyDescent="0.25">
      <c r="I865" s="6"/>
      <c r="M865" s="6"/>
    </row>
    <row r="866" spans="9:13" ht="15.75" customHeight="1" x14ac:dyDescent="0.25">
      <c r="I866" s="6"/>
      <c r="M866" s="6"/>
    </row>
    <row r="867" spans="9:13" ht="15.75" customHeight="1" x14ac:dyDescent="0.25">
      <c r="I867" s="6"/>
      <c r="M867" s="6"/>
    </row>
    <row r="868" spans="9:13" ht="15.75" customHeight="1" x14ac:dyDescent="0.25">
      <c r="I868" s="6"/>
      <c r="M868" s="6"/>
    </row>
    <row r="869" spans="9:13" ht="15.75" customHeight="1" x14ac:dyDescent="0.25">
      <c r="I869" s="6"/>
      <c r="M869" s="6"/>
    </row>
    <row r="870" spans="9:13" ht="15.75" customHeight="1" x14ac:dyDescent="0.25">
      <c r="I870" s="6"/>
      <c r="M870" s="6"/>
    </row>
    <row r="871" spans="9:13" ht="15.75" customHeight="1" x14ac:dyDescent="0.25">
      <c r="I871" s="6"/>
      <c r="M871" s="6"/>
    </row>
    <row r="872" spans="9:13" ht="15.75" customHeight="1" x14ac:dyDescent="0.25">
      <c r="I872" s="6"/>
      <c r="M872" s="6"/>
    </row>
    <row r="873" spans="9:13" ht="15.75" customHeight="1" x14ac:dyDescent="0.25">
      <c r="I873" s="6"/>
      <c r="M873" s="6"/>
    </row>
    <row r="874" spans="9:13" ht="15.75" customHeight="1" x14ac:dyDescent="0.25">
      <c r="I874" s="6"/>
      <c r="M874" s="6"/>
    </row>
    <row r="875" spans="9:13" ht="15.75" customHeight="1" x14ac:dyDescent="0.25">
      <c r="I875" s="6"/>
      <c r="M875" s="6"/>
    </row>
    <row r="876" spans="9:13" ht="15.75" customHeight="1" x14ac:dyDescent="0.25">
      <c r="I876" s="6"/>
      <c r="M876" s="6"/>
    </row>
    <row r="877" spans="9:13" ht="15.75" customHeight="1" x14ac:dyDescent="0.25">
      <c r="I877" s="6"/>
      <c r="M877" s="6"/>
    </row>
    <row r="878" spans="9:13" ht="15.75" customHeight="1" x14ac:dyDescent="0.25">
      <c r="I878" s="6"/>
      <c r="M878" s="6"/>
    </row>
    <row r="879" spans="9:13" ht="15.75" customHeight="1" x14ac:dyDescent="0.25">
      <c r="I879" s="6"/>
      <c r="M879" s="6"/>
    </row>
    <row r="880" spans="9:13" ht="15.75" customHeight="1" x14ac:dyDescent="0.25">
      <c r="I880" s="6"/>
      <c r="M880" s="6"/>
    </row>
    <row r="881" spans="9:13" ht="15.75" customHeight="1" x14ac:dyDescent="0.25">
      <c r="I881" s="6"/>
      <c r="M881" s="6"/>
    </row>
    <row r="882" spans="9:13" ht="15.75" customHeight="1" x14ac:dyDescent="0.25">
      <c r="I882" s="6"/>
      <c r="M882" s="6"/>
    </row>
    <row r="883" spans="9:13" ht="15.75" customHeight="1" x14ac:dyDescent="0.25">
      <c r="I883" s="6"/>
      <c r="M883" s="6"/>
    </row>
    <row r="884" spans="9:13" ht="15.75" customHeight="1" x14ac:dyDescent="0.25">
      <c r="I884" s="6"/>
      <c r="M884" s="6"/>
    </row>
    <row r="885" spans="9:13" ht="15.75" customHeight="1" x14ac:dyDescent="0.25">
      <c r="I885" s="6"/>
      <c r="M885" s="6"/>
    </row>
    <row r="886" spans="9:13" ht="15.75" customHeight="1" x14ac:dyDescent="0.25">
      <c r="I886" s="6"/>
      <c r="M886" s="6"/>
    </row>
    <row r="887" spans="9:13" ht="15.75" customHeight="1" x14ac:dyDescent="0.25">
      <c r="I887" s="6"/>
      <c r="M887" s="6"/>
    </row>
    <row r="888" spans="9:13" ht="15.75" customHeight="1" x14ac:dyDescent="0.25">
      <c r="I888" s="6"/>
      <c r="M888" s="6"/>
    </row>
    <row r="889" spans="9:13" ht="15.75" customHeight="1" x14ac:dyDescent="0.25">
      <c r="I889" s="6"/>
      <c r="M889" s="6"/>
    </row>
    <row r="890" spans="9:13" ht="15.75" customHeight="1" x14ac:dyDescent="0.25">
      <c r="I890" s="6"/>
      <c r="M890" s="6"/>
    </row>
    <row r="891" spans="9:13" ht="15.75" customHeight="1" x14ac:dyDescent="0.25">
      <c r="I891" s="6"/>
      <c r="M891" s="6"/>
    </row>
    <row r="892" spans="9:13" ht="15.75" customHeight="1" x14ac:dyDescent="0.25">
      <c r="I892" s="6"/>
      <c r="M892" s="6"/>
    </row>
    <row r="893" spans="9:13" ht="15.75" customHeight="1" x14ac:dyDescent="0.25">
      <c r="I893" s="6"/>
      <c r="M893" s="6"/>
    </row>
    <row r="894" spans="9:13" ht="15.75" customHeight="1" x14ac:dyDescent="0.25">
      <c r="I894" s="6"/>
      <c r="M894" s="6"/>
    </row>
    <row r="895" spans="9:13" ht="15.75" customHeight="1" x14ac:dyDescent="0.25">
      <c r="I895" s="6"/>
      <c r="M895" s="6"/>
    </row>
    <row r="896" spans="9:13" ht="15.75" customHeight="1" x14ac:dyDescent="0.25">
      <c r="I896" s="6"/>
      <c r="M896" s="6"/>
    </row>
    <row r="897" spans="9:13" ht="15.75" customHeight="1" x14ac:dyDescent="0.25">
      <c r="I897" s="6"/>
      <c r="M897" s="6"/>
    </row>
    <row r="898" spans="9:13" ht="15.75" customHeight="1" x14ac:dyDescent="0.25">
      <c r="I898" s="6"/>
      <c r="M898" s="6"/>
    </row>
    <row r="899" spans="9:13" ht="15.75" customHeight="1" x14ac:dyDescent="0.25">
      <c r="I899" s="6"/>
      <c r="M899" s="6"/>
    </row>
    <row r="900" spans="9:13" ht="15.75" customHeight="1" x14ac:dyDescent="0.25">
      <c r="I900" s="6"/>
      <c r="M900" s="6"/>
    </row>
    <row r="901" spans="9:13" ht="15.75" customHeight="1" x14ac:dyDescent="0.25">
      <c r="I901" s="6"/>
      <c r="M901" s="6"/>
    </row>
    <row r="902" spans="9:13" ht="15.75" customHeight="1" x14ac:dyDescent="0.25">
      <c r="I902" s="6"/>
      <c r="M902" s="6"/>
    </row>
    <row r="903" spans="9:13" ht="15.75" customHeight="1" x14ac:dyDescent="0.25">
      <c r="I903" s="6"/>
      <c r="M903" s="6"/>
    </row>
    <row r="904" spans="9:13" ht="15.75" customHeight="1" x14ac:dyDescent="0.25">
      <c r="I904" s="6"/>
      <c r="M904" s="6"/>
    </row>
    <row r="905" spans="9:13" ht="15.75" customHeight="1" x14ac:dyDescent="0.25">
      <c r="I905" s="6"/>
      <c r="M905" s="6"/>
    </row>
    <row r="906" spans="9:13" ht="15.75" customHeight="1" x14ac:dyDescent="0.25">
      <c r="I906" s="6"/>
      <c r="M906" s="6"/>
    </row>
    <row r="907" spans="9:13" ht="15.75" customHeight="1" x14ac:dyDescent="0.25">
      <c r="I907" s="6"/>
      <c r="M907" s="6"/>
    </row>
    <row r="908" spans="9:13" ht="15.75" customHeight="1" x14ac:dyDescent="0.25">
      <c r="I908" s="6"/>
      <c r="M908" s="6"/>
    </row>
    <row r="909" spans="9:13" ht="15.75" customHeight="1" x14ac:dyDescent="0.25">
      <c r="I909" s="6"/>
      <c r="M909" s="6"/>
    </row>
    <row r="910" spans="9:13" ht="15.75" customHeight="1" x14ac:dyDescent="0.25">
      <c r="I910" s="6"/>
      <c r="M910" s="6"/>
    </row>
    <row r="911" spans="9:13" ht="15.75" customHeight="1" x14ac:dyDescent="0.25">
      <c r="I911" s="6"/>
      <c r="M911" s="6"/>
    </row>
    <row r="912" spans="9:13" ht="15.75" customHeight="1" x14ac:dyDescent="0.25">
      <c r="I912" s="6"/>
      <c r="M912" s="6"/>
    </row>
    <row r="913" spans="9:13" ht="15.75" customHeight="1" x14ac:dyDescent="0.25">
      <c r="I913" s="6"/>
      <c r="M913" s="6"/>
    </row>
    <row r="914" spans="9:13" ht="15.75" customHeight="1" x14ac:dyDescent="0.25">
      <c r="I914" s="6"/>
      <c r="M914" s="6"/>
    </row>
    <row r="915" spans="9:13" ht="15.75" customHeight="1" x14ac:dyDescent="0.25">
      <c r="I915" s="6"/>
      <c r="M915" s="6"/>
    </row>
    <row r="916" spans="9:13" ht="15.75" customHeight="1" x14ac:dyDescent="0.25">
      <c r="I916" s="6"/>
      <c r="M916" s="6"/>
    </row>
    <row r="917" spans="9:13" ht="15.75" customHeight="1" x14ac:dyDescent="0.25">
      <c r="I917" s="6"/>
      <c r="M917" s="6"/>
    </row>
    <row r="918" spans="9:13" ht="15.75" customHeight="1" x14ac:dyDescent="0.25">
      <c r="I918" s="6"/>
      <c r="M918" s="6"/>
    </row>
    <row r="919" spans="9:13" ht="15.75" customHeight="1" x14ac:dyDescent="0.25">
      <c r="I919" s="6"/>
      <c r="M919" s="6"/>
    </row>
    <row r="920" spans="9:13" ht="15.75" customHeight="1" x14ac:dyDescent="0.25">
      <c r="I920" s="6"/>
      <c r="M920" s="6"/>
    </row>
    <row r="921" spans="9:13" ht="15.75" customHeight="1" x14ac:dyDescent="0.25">
      <c r="I921" s="6"/>
      <c r="M921" s="6"/>
    </row>
    <row r="922" spans="9:13" ht="15.75" customHeight="1" x14ac:dyDescent="0.25">
      <c r="I922" s="6"/>
      <c r="M922" s="6"/>
    </row>
    <row r="923" spans="9:13" ht="15.75" customHeight="1" x14ac:dyDescent="0.25">
      <c r="I923" s="6"/>
      <c r="M923" s="6"/>
    </row>
    <row r="924" spans="9:13" ht="15.75" customHeight="1" x14ac:dyDescent="0.25">
      <c r="I924" s="6"/>
      <c r="M924" s="6"/>
    </row>
    <row r="925" spans="9:13" ht="15.75" customHeight="1" x14ac:dyDescent="0.25">
      <c r="I925" s="6"/>
      <c r="M925" s="6"/>
    </row>
    <row r="926" spans="9:13" ht="15.75" customHeight="1" x14ac:dyDescent="0.25">
      <c r="I926" s="6"/>
      <c r="M926" s="6"/>
    </row>
    <row r="927" spans="9:13" ht="15.75" customHeight="1" x14ac:dyDescent="0.25">
      <c r="I927" s="6"/>
      <c r="M927" s="6"/>
    </row>
    <row r="928" spans="9:13" ht="15.75" customHeight="1" x14ac:dyDescent="0.25">
      <c r="I928" s="6"/>
      <c r="M928" s="6"/>
    </row>
    <row r="929" spans="9:13" ht="15.75" customHeight="1" x14ac:dyDescent="0.25">
      <c r="I929" s="6"/>
      <c r="M929" s="6"/>
    </row>
    <row r="930" spans="9:13" ht="15.75" customHeight="1" x14ac:dyDescent="0.25">
      <c r="I930" s="6"/>
      <c r="M930" s="6"/>
    </row>
    <row r="931" spans="9:13" ht="15.75" customHeight="1" x14ac:dyDescent="0.25">
      <c r="I931" s="6"/>
      <c r="M931" s="6"/>
    </row>
    <row r="932" spans="9:13" ht="15.75" customHeight="1" x14ac:dyDescent="0.25">
      <c r="I932" s="6"/>
      <c r="M932" s="6"/>
    </row>
    <row r="933" spans="9:13" ht="15.75" customHeight="1" x14ac:dyDescent="0.25">
      <c r="I933" s="6"/>
      <c r="M933" s="6"/>
    </row>
    <row r="934" spans="9:13" ht="15.75" customHeight="1" x14ac:dyDescent="0.25">
      <c r="I934" s="6"/>
      <c r="M934" s="6"/>
    </row>
    <row r="935" spans="9:13" ht="15.75" customHeight="1" x14ac:dyDescent="0.25">
      <c r="I935" s="6"/>
      <c r="M935" s="6"/>
    </row>
    <row r="936" spans="9:13" ht="15.75" customHeight="1" x14ac:dyDescent="0.25">
      <c r="I936" s="6"/>
      <c r="M936" s="6"/>
    </row>
    <row r="937" spans="9:13" ht="15.75" customHeight="1" x14ac:dyDescent="0.25">
      <c r="I937" s="6"/>
      <c r="M937" s="6"/>
    </row>
    <row r="938" spans="9:13" ht="15.75" customHeight="1" x14ac:dyDescent="0.25">
      <c r="I938" s="6"/>
      <c r="M938" s="6"/>
    </row>
    <row r="939" spans="9:13" ht="15.75" customHeight="1" x14ac:dyDescent="0.25">
      <c r="I939" s="6"/>
      <c r="M939" s="6"/>
    </row>
    <row r="940" spans="9:13" ht="15.75" customHeight="1" x14ac:dyDescent="0.25">
      <c r="I940" s="6"/>
      <c r="M940" s="6"/>
    </row>
    <row r="941" spans="9:13" ht="15.75" customHeight="1" x14ac:dyDescent="0.25">
      <c r="I941" s="6"/>
      <c r="M941" s="6"/>
    </row>
    <row r="942" spans="9:13" ht="15.75" customHeight="1" x14ac:dyDescent="0.25">
      <c r="I942" s="6"/>
      <c r="M942" s="6"/>
    </row>
    <row r="943" spans="9:13" ht="15.75" customHeight="1" x14ac:dyDescent="0.25">
      <c r="I943" s="6"/>
      <c r="M943" s="6"/>
    </row>
    <row r="944" spans="9:13" ht="15.75" customHeight="1" x14ac:dyDescent="0.25">
      <c r="I944" s="6"/>
      <c r="M944" s="6"/>
    </row>
    <row r="945" spans="9:13" ht="15.75" customHeight="1" x14ac:dyDescent="0.25">
      <c r="I945" s="6"/>
      <c r="M945" s="6"/>
    </row>
    <row r="946" spans="9:13" ht="15.75" customHeight="1" x14ac:dyDescent="0.25">
      <c r="I946" s="6"/>
      <c r="M946" s="6"/>
    </row>
    <row r="947" spans="9:13" ht="15.75" customHeight="1" x14ac:dyDescent="0.25">
      <c r="I947" s="6"/>
      <c r="M947" s="6"/>
    </row>
    <row r="948" spans="9:13" ht="15.75" customHeight="1" x14ac:dyDescent="0.25">
      <c r="I948" s="6"/>
      <c r="M948" s="6"/>
    </row>
    <row r="949" spans="9:13" ht="15.75" customHeight="1" x14ac:dyDescent="0.25">
      <c r="I949" s="6"/>
      <c r="M949" s="6"/>
    </row>
    <row r="950" spans="9:13" ht="15.75" customHeight="1" x14ac:dyDescent="0.25">
      <c r="I950" s="6"/>
      <c r="M950" s="6"/>
    </row>
    <row r="951" spans="9:13" ht="15.75" customHeight="1" x14ac:dyDescent="0.25">
      <c r="I951" s="6"/>
      <c r="M951" s="6"/>
    </row>
    <row r="952" spans="9:13" ht="15.75" customHeight="1" x14ac:dyDescent="0.25">
      <c r="I952" s="6"/>
      <c r="M952" s="6"/>
    </row>
    <row r="953" spans="9:13" ht="15.75" customHeight="1" x14ac:dyDescent="0.25">
      <c r="I953" s="6"/>
      <c r="M953" s="6"/>
    </row>
    <row r="954" spans="9:13" ht="15.75" customHeight="1" x14ac:dyDescent="0.25">
      <c r="I954" s="6"/>
      <c r="M954" s="6"/>
    </row>
    <row r="955" spans="9:13" ht="15.75" customHeight="1" x14ac:dyDescent="0.25">
      <c r="I955" s="6"/>
      <c r="M955" s="6"/>
    </row>
    <row r="956" spans="9:13" ht="15.75" customHeight="1" x14ac:dyDescent="0.25">
      <c r="I956" s="6"/>
      <c r="M956" s="6"/>
    </row>
    <row r="957" spans="9:13" ht="15.75" customHeight="1" x14ac:dyDescent="0.25">
      <c r="I957" s="6"/>
      <c r="M957" s="6"/>
    </row>
    <row r="958" spans="9:13" ht="15.75" customHeight="1" x14ac:dyDescent="0.25">
      <c r="I958" s="6"/>
      <c r="M958" s="6"/>
    </row>
    <row r="959" spans="9:13" ht="15.75" customHeight="1" x14ac:dyDescent="0.25">
      <c r="I959" s="6"/>
      <c r="M959" s="6"/>
    </row>
    <row r="960" spans="9:13" ht="15.75" customHeight="1" x14ac:dyDescent="0.25">
      <c r="I960" s="6"/>
      <c r="M960" s="6"/>
    </row>
    <row r="961" spans="9:13" ht="15.75" customHeight="1" x14ac:dyDescent="0.25">
      <c r="I961" s="6"/>
      <c r="M961" s="6"/>
    </row>
    <row r="962" spans="9:13" ht="15.75" customHeight="1" x14ac:dyDescent="0.25">
      <c r="I962" s="6"/>
      <c r="M962" s="6"/>
    </row>
    <row r="963" spans="9:13" ht="15.75" customHeight="1" x14ac:dyDescent="0.25">
      <c r="I963" s="6"/>
      <c r="M963" s="6"/>
    </row>
    <row r="964" spans="9:13" ht="15.75" customHeight="1" x14ac:dyDescent="0.25">
      <c r="I964" s="6"/>
      <c r="M964" s="6"/>
    </row>
    <row r="965" spans="9:13" ht="15.75" customHeight="1" x14ac:dyDescent="0.25">
      <c r="I965" s="6"/>
      <c r="M965" s="6"/>
    </row>
    <row r="966" spans="9:13" ht="15.75" customHeight="1" x14ac:dyDescent="0.25">
      <c r="I966" s="6"/>
      <c r="M966" s="6"/>
    </row>
    <row r="967" spans="9:13" ht="15.75" customHeight="1" x14ac:dyDescent="0.25">
      <c r="I967" s="6"/>
      <c r="M967" s="6"/>
    </row>
    <row r="968" spans="9:13" ht="15.75" customHeight="1" x14ac:dyDescent="0.25">
      <c r="I968" s="6"/>
      <c r="M968" s="6"/>
    </row>
    <row r="969" spans="9:13" ht="15.75" customHeight="1" x14ac:dyDescent="0.25">
      <c r="I969" s="6"/>
      <c r="M969" s="6"/>
    </row>
    <row r="970" spans="9:13" ht="15.75" customHeight="1" x14ac:dyDescent="0.25">
      <c r="I970" s="6"/>
      <c r="M970" s="6"/>
    </row>
    <row r="971" spans="9:13" ht="15.75" customHeight="1" x14ac:dyDescent="0.25">
      <c r="I971" s="6"/>
      <c r="M971" s="6"/>
    </row>
    <row r="972" spans="9:13" ht="15.75" customHeight="1" x14ac:dyDescent="0.25">
      <c r="I972" s="6"/>
      <c r="M972" s="6"/>
    </row>
    <row r="973" spans="9:13" ht="15.75" customHeight="1" x14ac:dyDescent="0.25">
      <c r="I973" s="6"/>
      <c r="M973" s="6"/>
    </row>
    <row r="974" spans="9:13" ht="15.75" customHeight="1" x14ac:dyDescent="0.25">
      <c r="I974" s="6"/>
      <c r="M974" s="6"/>
    </row>
    <row r="975" spans="9:13" ht="15.75" customHeight="1" x14ac:dyDescent="0.25">
      <c r="I975" s="6"/>
      <c r="M975" s="6"/>
    </row>
    <row r="976" spans="9:13" ht="15.75" customHeight="1" x14ac:dyDescent="0.25">
      <c r="I976" s="6"/>
      <c r="M976" s="6"/>
    </row>
    <row r="977" spans="9:13" ht="15.75" customHeight="1" x14ac:dyDescent="0.25">
      <c r="I977" s="6"/>
      <c r="M977" s="6"/>
    </row>
    <row r="978" spans="9:13" ht="15.75" customHeight="1" x14ac:dyDescent="0.25">
      <c r="I978" s="6"/>
      <c r="M978" s="6"/>
    </row>
    <row r="979" spans="9:13" ht="15.75" customHeight="1" x14ac:dyDescent="0.25">
      <c r="I979" s="6"/>
      <c r="M979" s="6"/>
    </row>
    <row r="980" spans="9:13" ht="15.75" customHeight="1" x14ac:dyDescent="0.25">
      <c r="I980" s="6"/>
      <c r="M980" s="6"/>
    </row>
    <row r="981" spans="9:13" ht="15.75" customHeight="1" x14ac:dyDescent="0.25">
      <c r="I981" s="6"/>
      <c r="M981" s="6"/>
    </row>
    <row r="982" spans="9:13" ht="15.75" customHeight="1" x14ac:dyDescent="0.25">
      <c r="I982" s="6"/>
      <c r="M982" s="6"/>
    </row>
    <row r="983" spans="9:13" ht="15.75" customHeight="1" x14ac:dyDescent="0.25">
      <c r="I983" s="6"/>
      <c r="M983" s="6"/>
    </row>
    <row r="984" spans="9:13" ht="15.75" customHeight="1" x14ac:dyDescent="0.25">
      <c r="I984" s="6"/>
      <c r="M984" s="6"/>
    </row>
    <row r="985" spans="9:13" ht="15.75" customHeight="1" x14ac:dyDescent="0.25">
      <c r="I985" s="6"/>
      <c r="M985" s="6"/>
    </row>
    <row r="986" spans="9:13" ht="15.75" customHeight="1" x14ac:dyDescent="0.25">
      <c r="I986" s="6"/>
      <c r="M986" s="6"/>
    </row>
    <row r="987" spans="9:13" ht="15.75" customHeight="1" x14ac:dyDescent="0.25">
      <c r="I987" s="6"/>
      <c r="M987" s="6"/>
    </row>
    <row r="988" spans="9:13" ht="15.75" customHeight="1" x14ac:dyDescent="0.25">
      <c r="I988" s="6"/>
      <c r="M988" s="6"/>
    </row>
    <row r="989" spans="9:13" ht="15.75" customHeight="1" x14ac:dyDescent="0.25">
      <c r="I989" s="6"/>
      <c r="M989" s="6"/>
    </row>
    <row r="990" spans="9:13" ht="15.75" customHeight="1" x14ac:dyDescent="0.25">
      <c r="I990" s="6"/>
      <c r="M990" s="6"/>
    </row>
    <row r="991" spans="9:13" ht="15.75" customHeight="1" x14ac:dyDescent="0.25">
      <c r="I991" s="6"/>
      <c r="M991" s="6"/>
    </row>
    <row r="992" spans="9:13" ht="15.75" customHeight="1" x14ac:dyDescent="0.25">
      <c r="I992" s="6"/>
      <c r="M992" s="6"/>
    </row>
    <row r="993" spans="9:13" ht="15.75" customHeight="1" x14ac:dyDescent="0.25">
      <c r="I993" s="6"/>
      <c r="M993" s="6"/>
    </row>
    <row r="994" spans="9:13" ht="15.75" customHeight="1" x14ac:dyDescent="0.25">
      <c r="I994" s="6"/>
      <c r="M994" s="6"/>
    </row>
    <row r="995" spans="9:13" ht="15.75" customHeight="1" x14ac:dyDescent="0.25">
      <c r="I995" s="6"/>
      <c r="M995" s="6"/>
    </row>
    <row r="996" spans="9:13" ht="15.75" customHeight="1" x14ac:dyDescent="0.25">
      <c r="I996" s="6"/>
      <c r="M996" s="6"/>
    </row>
    <row r="997" spans="9:13" ht="15.75" customHeight="1" x14ac:dyDescent="0.25">
      <c r="I997" s="6"/>
      <c r="M997" s="6"/>
    </row>
    <row r="998" spans="9:13" ht="15.75" customHeight="1" x14ac:dyDescent="0.25">
      <c r="I998" s="6"/>
      <c r="M998" s="6"/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0"/>
  <sheetViews>
    <sheetView topLeftCell="B1" workbookViewId="0">
      <selection activeCell="H4" sqref="H4"/>
    </sheetView>
  </sheetViews>
  <sheetFormatPr baseColWidth="10" defaultColWidth="12.5703125" defaultRowHeight="15" customHeight="1" x14ac:dyDescent="0.25"/>
  <cols>
    <col min="1" max="1" width="28" customWidth="1"/>
    <col min="2" max="2" width="53.42578125" customWidth="1"/>
    <col min="3" max="3" width="13.85546875" customWidth="1"/>
    <col min="4" max="4" width="17.28515625" customWidth="1"/>
    <col min="5" max="5" width="23.7109375" customWidth="1"/>
    <col min="6" max="6" width="13.85546875" customWidth="1"/>
    <col min="7" max="7" width="13.85546875" style="16" customWidth="1"/>
    <col min="8" max="10" width="13.85546875" customWidth="1"/>
    <col min="11" max="12" width="13.85546875" style="16" customWidth="1"/>
    <col min="13" max="13" width="19.85546875" customWidth="1"/>
    <col min="14" max="14" width="10.5703125" customWidth="1"/>
    <col min="15" max="15" width="14.140625" customWidth="1"/>
    <col min="16" max="28" width="10.5703125" customWidth="1"/>
  </cols>
  <sheetData>
    <row r="1" spans="1:13" x14ac:dyDescent="0.25">
      <c r="I1" s="6"/>
      <c r="M1" s="6"/>
    </row>
    <row r="2" spans="1:13" x14ac:dyDescent="0.25">
      <c r="I2" s="6"/>
      <c r="M2" s="6"/>
    </row>
    <row r="3" spans="1:13" ht="35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7" t="s">
        <v>6</v>
      </c>
      <c r="H3" s="15" t="s">
        <v>100</v>
      </c>
      <c r="I3" s="2" t="s">
        <v>71</v>
      </c>
      <c r="J3" s="1" t="s">
        <v>8</v>
      </c>
      <c r="K3" s="17" t="s">
        <v>6</v>
      </c>
      <c r="L3" s="19" t="s">
        <v>101</v>
      </c>
      <c r="M3" s="2" t="s">
        <v>9</v>
      </c>
    </row>
    <row r="4" spans="1:13" x14ac:dyDescent="0.25">
      <c r="A4" s="9" t="s">
        <v>15</v>
      </c>
      <c r="B4" s="9" t="s">
        <v>63</v>
      </c>
      <c r="C4" s="10" t="s">
        <v>17</v>
      </c>
      <c r="D4" s="9" t="s">
        <v>13</v>
      </c>
      <c r="E4" s="9" t="s">
        <v>14</v>
      </c>
      <c r="F4" s="10">
        <v>163</v>
      </c>
      <c r="G4" s="18">
        <v>43851</v>
      </c>
      <c r="H4" s="14">
        <f t="shared" ref="H4" si="0">YEAR(G4)</f>
        <v>2020</v>
      </c>
      <c r="I4" s="12">
        <f>157.85*50978</f>
        <v>8046877.2999999998</v>
      </c>
      <c r="J4" s="10">
        <v>2961</v>
      </c>
      <c r="K4" s="18">
        <v>44515</v>
      </c>
      <c r="L4" s="14">
        <f t="shared" ref="L4" si="1">YEAR(K4)</f>
        <v>2021</v>
      </c>
      <c r="M4" s="12">
        <v>0</v>
      </c>
    </row>
    <row r="5" spans="1:13" x14ac:dyDescent="0.25">
      <c r="A5" s="9" t="s">
        <v>15</v>
      </c>
      <c r="B5" s="9" t="s">
        <v>63</v>
      </c>
      <c r="C5" s="10" t="s">
        <v>17</v>
      </c>
      <c r="D5" s="9" t="s">
        <v>13</v>
      </c>
      <c r="E5" s="9" t="s">
        <v>14</v>
      </c>
      <c r="F5" s="10">
        <v>769</v>
      </c>
      <c r="G5" s="18">
        <v>43893</v>
      </c>
      <c r="H5" s="14">
        <f>YEAR(G5)</f>
        <v>2020</v>
      </c>
      <c r="I5" s="12">
        <f>194.25*50021</f>
        <v>9716579.25</v>
      </c>
      <c r="J5" s="10">
        <v>614</v>
      </c>
      <c r="K5" s="18">
        <v>44259</v>
      </c>
      <c r="L5" s="14">
        <f>YEAR(K5)</f>
        <v>2021</v>
      </c>
      <c r="M5" s="12">
        <f>173*51489</f>
        <v>8907597</v>
      </c>
    </row>
    <row r="6" spans="1:13" x14ac:dyDescent="0.25">
      <c r="A6" s="9" t="s">
        <v>15</v>
      </c>
      <c r="B6" s="9" t="s">
        <v>63</v>
      </c>
      <c r="C6" s="10" t="s">
        <v>17</v>
      </c>
      <c r="D6" s="9" t="s">
        <v>13</v>
      </c>
      <c r="E6" s="9" t="s">
        <v>47</v>
      </c>
      <c r="F6" s="10">
        <v>768</v>
      </c>
      <c r="G6" s="18">
        <v>43893</v>
      </c>
      <c r="H6" s="14">
        <f>YEAR(G6)</f>
        <v>2020</v>
      </c>
      <c r="I6" s="12">
        <f>22.4*50021</f>
        <v>1120470.3999999999</v>
      </c>
      <c r="J6" s="10">
        <v>1994</v>
      </c>
      <c r="K6" s="18">
        <v>44379</v>
      </c>
      <c r="L6" s="14">
        <f t="shared" ref="L6:L69" si="2">YEAR(K6)</f>
        <v>2021</v>
      </c>
      <c r="M6" s="12">
        <f>22.4*52161</f>
        <v>1168406.3999999999</v>
      </c>
    </row>
    <row r="7" spans="1:13" x14ac:dyDescent="0.25">
      <c r="A7" s="9" t="s">
        <v>15</v>
      </c>
      <c r="B7" s="9" t="s">
        <v>63</v>
      </c>
      <c r="C7" s="10" t="s">
        <v>17</v>
      </c>
      <c r="D7" s="9" t="s">
        <v>13</v>
      </c>
      <c r="E7" s="9" t="s">
        <v>14</v>
      </c>
      <c r="F7" s="10">
        <v>1119</v>
      </c>
      <c r="G7" s="18">
        <v>43923</v>
      </c>
      <c r="H7" s="14">
        <f t="shared" ref="H7:H70" si="3">YEAR(G7)</f>
        <v>2020</v>
      </c>
      <c r="I7" s="12">
        <f>47.25*50221</f>
        <v>2372942.25</v>
      </c>
      <c r="J7" s="10">
        <v>615</v>
      </c>
      <c r="K7" s="18">
        <v>44259</v>
      </c>
      <c r="L7" s="14">
        <f t="shared" si="2"/>
        <v>2021</v>
      </c>
      <c r="M7" s="12">
        <f>47*51489</f>
        <v>2419983</v>
      </c>
    </row>
    <row r="8" spans="1:13" ht="18" customHeight="1" x14ac:dyDescent="0.25">
      <c r="A8" s="9" t="s">
        <v>15</v>
      </c>
      <c r="B8" s="9" t="s">
        <v>63</v>
      </c>
      <c r="C8" s="10" t="s">
        <v>17</v>
      </c>
      <c r="D8" s="9" t="s">
        <v>13</v>
      </c>
      <c r="E8" s="9" t="s">
        <v>47</v>
      </c>
      <c r="F8" s="10">
        <v>1120</v>
      </c>
      <c r="G8" s="18">
        <v>43923</v>
      </c>
      <c r="H8" s="14">
        <f t="shared" si="3"/>
        <v>2020</v>
      </c>
      <c r="I8" s="12">
        <f>40.3*50221</f>
        <v>2023906.2999999998</v>
      </c>
      <c r="J8" s="10">
        <v>1995</v>
      </c>
      <c r="K8" s="18">
        <v>44379</v>
      </c>
      <c r="L8" s="14">
        <f t="shared" si="2"/>
        <v>2021</v>
      </c>
      <c r="M8" s="12">
        <f>40.3*52161</f>
        <v>2102088.2999999998</v>
      </c>
    </row>
    <row r="9" spans="1:13" x14ac:dyDescent="0.25">
      <c r="A9" s="9" t="s">
        <v>57</v>
      </c>
      <c r="B9" s="9" t="s">
        <v>63</v>
      </c>
      <c r="C9" s="10" t="s">
        <v>17</v>
      </c>
      <c r="D9" s="9" t="s">
        <v>13</v>
      </c>
      <c r="E9" s="9" t="s">
        <v>58</v>
      </c>
      <c r="F9" s="10">
        <v>2987</v>
      </c>
      <c r="G9" s="18">
        <v>44182</v>
      </c>
      <c r="H9" s="14">
        <f t="shared" si="3"/>
        <v>2020</v>
      </c>
      <c r="I9" s="12">
        <v>2684378</v>
      </c>
      <c r="J9" s="10">
        <v>2067</v>
      </c>
      <c r="K9" s="18">
        <v>44386</v>
      </c>
      <c r="L9" s="14">
        <f t="shared" si="2"/>
        <v>2021</v>
      </c>
      <c r="M9" s="12">
        <v>2684378</v>
      </c>
    </row>
    <row r="10" spans="1:13" x14ac:dyDescent="0.25">
      <c r="A10" s="9" t="s">
        <v>59</v>
      </c>
      <c r="B10" s="9" t="s">
        <v>63</v>
      </c>
      <c r="C10" s="10" t="s">
        <v>17</v>
      </c>
      <c r="D10" s="9" t="s">
        <v>13</v>
      </c>
      <c r="E10" s="9" t="s">
        <v>65</v>
      </c>
      <c r="F10" s="10">
        <v>1872</v>
      </c>
      <c r="G10" s="18">
        <v>44371</v>
      </c>
      <c r="H10" s="14">
        <f t="shared" si="3"/>
        <v>2021</v>
      </c>
      <c r="I10" s="12">
        <v>281669</v>
      </c>
      <c r="J10" s="10">
        <v>2960</v>
      </c>
      <c r="K10" s="18">
        <v>44515</v>
      </c>
      <c r="L10" s="14">
        <f t="shared" si="2"/>
        <v>2021</v>
      </c>
      <c r="M10" s="12">
        <v>0</v>
      </c>
    </row>
    <row r="11" spans="1:13" x14ac:dyDescent="0.25">
      <c r="A11" s="9" t="s">
        <v>15</v>
      </c>
      <c r="B11" s="9" t="s">
        <v>20</v>
      </c>
      <c r="C11" s="10" t="s">
        <v>21</v>
      </c>
      <c r="D11" s="9" t="s">
        <v>22</v>
      </c>
      <c r="E11" s="9" t="s">
        <v>14</v>
      </c>
      <c r="F11" s="10">
        <v>2979</v>
      </c>
      <c r="G11" s="18">
        <v>44182</v>
      </c>
      <c r="H11" s="14">
        <f t="shared" si="3"/>
        <v>2020</v>
      </c>
      <c r="I11" s="12">
        <f>1893.85*51029</f>
        <v>96641271.649999991</v>
      </c>
      <c r="J11" s="10">
        <v>966</v>
      </c>
      <c r="K11" s="18">
        <v>44294</v>
      </c>
      <c r="L11" s="14">
        <f t="shared" si="2"/>
        <v>2021</v>
      </c>
      <c r="M11" s="12">
        <v>97707495</v>
      </c>
    </row>
    <row r="12" spans="1:13" x14ac:dyDescent="0.25">
      <c r="A12" s="9" t="s">
        <v>15</v>
      </c>
      <c r="B12" s="9" t="s">
        <v>20</v>
      </c>
      <c r="C12" s="10" t="s">
        <v>21</v>
      </c>
      <c r="D12" s="9" t="s">
        <v>13</v>
      </c>
      <c r="E12" s="9" t="s">
        <v>47</v>
      </c>
      <c r="F12" s="10">
        <v>68</v>
      </c>
      <c r="G12" s="18">
        <v>44207</v>
      </c>
      <c r="H12" s="14">
        <f t="shared" si="3"/>
        <v>2021</v>
      </c>
      <c r="I12" s="12">
        <f>52.85*50978</f>
        <v>2694187.3000000003</v>
      </c>
      <c r="J12" s="10">
        <v>965</v>
      </c>
      <c r="K12" s="18">
        <v>44294</v>
      </c>
      <c r="L12" s="14">
        <f t="shared" si="2"/>
        <v>2021</v>
      </c>
      <c r="M12" s="12">
        <v>2726637</v>
      </c>
    </row>
    <row r="13" spans="1:13" x14ac:dyDescent="0.25">
      <c r="A13" s="9" t="s">
        <v>15</v>
      </c>
      <c r="B13" s="9" t="s">
        <v>20</v>
      </c>
      <c r="C13" s="10" t="s">
        <v>21</v>
      </c>
      <c r="D13" s="9" t="s">
        <v>13</v>
      </c>
      <c r="E13" s="9" t="s">
        <v>47</v>
      </c>
      <c r="F13" s="10">
        <v>71</v>
      </c>
      <c r="G13" s="18">
        <v>44207</v>
      </c>
      <c r="H13" s="14">
        <f t="shared" si="3"/>
        <v>2021</v>
      </c>
      <c r="I13" s="12">
        <f>754.25*50978</f>
        <v>38450156.5</v>
      </c>
      <c r="J13" s="10">
        <v>962</v>
      </c>
      <c r="K13" s="18">
        <v>44294</v>
      </c>
      <c r="L13" s="14">
        <f t="shared" si="2"/>
        <v>2021</v>
      </c>
      <c r="M13" s="12">
        <v>38913268</v>
      </c>
    </row>
    <row r="14" spans="1:13" x14ac:dyDescent="0.25">
      <c r="A14" s="9" t="s">
        <v>59</v>
      </c>
      <c r="B14" s="9" t="s">
        <v>20</v>
      </c>
      <c r="C14" s="10" t="s">
        <v>12</v>
      </c>
      <c r="D14" s="9" t="s">
        <v>40</v>
      </c>
      <c r="E14" s="9" t="s">
        <v>47</v>
      </c>
      <c r="F14" s="10">
        <v>240</v>
      </c>
      <c r="G14" s="18">
        <v>43601</v>
      </c>
      <c r="H14" s="14">
        <f t="shared" si="3"/>
        <v>2019</v>
      </c>
      <c r="I14" s="12">
        <v>6413081</v>
      </c>
      <c r="J14" s="10">
        <v>503</v>
      </c>
      <c r="K14" s="18">
        <v>44246</v>
      </c>
      <c r="L14" s="14">
        <f t="shared" si="2"/>
        <v>2021</v>
      </c>
      <c r="M14" s="12">
        <v>6413081</v>
      </c>
    </row>
    <row r="15" spans="1:13" x14ac:dyDescent="0.25">
      <c r="A15" s="9" t="s">
        <v>59</v>
      </c>
      <c r="B15" s="9" t="s">
        <v>20</v>
      </c>
      <c r="C15" s="10" t="s">
        <v>12</v>
      </c>
      <c r="D15" s="9" t="s">
        <v>40</v>
      </c>
      <c r="E15" s="9" t="s">
        <v>47</v>
      </c>
      <c r="F15" s="10">
        <v>241</v>
      </c>
      <c r="G15" s="18">
        <v>43601</v>
      </c>
      <c r="H15" s="14">
        <f t="shared" si="3"/>
        <v>2019</v>
      </c>
      <c r="I15" s="12">
        <v>4808961</v>
      </c>
      <c r="J15" s="10">
        <v>502</v>
      </c>
      <c r="K15" s="18">
        <v>44246</v>
      </c>
      <c r="L15" s="14">
        <f t="shared" si="2"/>
        <v>2021</v>
      </c>
      <c r="M15" s="12">
        <v>3833175</v>
      </c>
    </row>
    <row r="16" spans="1:13" x14ac:dyDescent="0.25">
      <c r="A16" s="9" t="s">
        <v>10</v>
      </c>
      <c r="B16" s="9" t="s">
        <v>20</v>
      </c>
      <c r="C16" s="10" t="s">
        <v>12</v>
      </c>
      <c r="D16" s="9" t="s">
        <v>40</v>
      </c>
      <c r="E16" s="9" t="s">
        <v>47</v>
      </c>
      <c r="F16" s="10">
        <v>543</v>
      </c>
      <c r="G16" s="18">
        <v>43794</v>
      </c>
      <c r="H16" s="14">
        <f t="shared" si="3"/>
        <v>2019</v>
      </c>
      <c r="I16" s="12">
        <v>14907528</v>
      </c>
      <c r="J16" s="10">
        <v>2068</v>
      </c>
      <c r="K16" s="18">
        <v>44390</v>
      </c>
      <c r="L16" s="14">
        <f t="shared" si="2"/>
        <v>2021</v>
      </c>
      <c r="M16" s="12">
        <v>14127249</v>
      </c>
    </row>
    <row r="17" spans="1:13" x14ac:dyDescent="0.25">
      <c r="A17" s="9" t="s">
        <v>10</v>
      </c>
      <c r="B17" s="9" t="s">
        <v>20</v>
      </c>
      <c r="C17" s="10" t="s">
        <v>12</v>
      </c>
      <c r="D17" s="9" t="s">
        <v>37</v>
      </c>
      <c r="E17" s="9" t="s">
        <v>47</v>
      </c>
      <c r="F17" s="10">
        <v>223</v>
      </c>
      <c r="G17" s="18">
        <v>43668</v>
      </c>
      <c r="H17" s="14">
        <f t="shared" si="3"/>
        <v>2019</v>
      </c>
      <c r="I17" s="12">
        <v>1856392</v>
      </c>
      <c r="J17" s="10">
        <v>702</v>
      </c>
      <c r="K17" s="18">
        <v>44267</v>
      </c>
      <c r="L17" s="14">
        <f t="shared" si="2"/>
        <v>2021</v>
      </c>
      <c r="M17" s="12">
        <v>1192484</v>
      </c>
    </row>
    <row r="18" spans="1:13" x14ac:dyDescent="0.25">
      <c r="A18" s="9" t="s">
        <v>10</v>
      </c>
      <c r="B18" s="9" t="s">
        <v>20</v>
      </c>
      <c r="C18" s="10" t="s">
        <v>39</v>
      </c>
      <c r="D18" s="9" t="s">
        <v>40</v>
      </c>
      <c r="E18" s="9" t="s">
        <v>47</v>
      </c>
      <c r="F18" s="10">
        <v>546</v>
      </c>
      <c r="G18" s="18">
        <v>43794</v>
      </c>
      <c r="H18" s="14">
        <f t="shared" si="3"/>
        <v>2019</v>
      </c>
      <c r="I18" s="12">
        <v>11847455</v>
      </c>
      <c r="J18" s="10">
        <v>1447</v>
      </c>
      <c r="K18" s="18">
        <v>44335</v>
      </c>
      <c r="L18" s="14">
        <f t="shared" si="2"/>
        <v>2021</v>
      </c>
      <c r="M18" s="12">
        <v>11753920</v>
      </c>
    </row>
    <row r="19" spans="1:13" x14ac:dyDescent="0.25">
      <c r="A19" s="9" t="s">
        <v>10</v>
      </c>
      <c r="B19" s="9" t="s">
        <v>20</v>
      </c>
      <c r="C19" s="10" t="s">
        <v>39</v>
      </c>
      <c r="D19" s="9" t="s">
        <v>40</v>
      </c>
      <c r="E19" s="9" t="s">
        <v>47</v>
      </c>
      <c r="F19" s="10">
        <v>547</v>
      </c>
      <c r="G19" s="18">
        <v>43794</v>
      </c>
      <c r="H19" s="14">
        <f t="shared" si="3"/>
        <v>2019</v>
      </c>
      <c r="I19" s="12">
        <v>5185294</v>
      </c>
      <c r="J19" s="10">
        <v>1314</v>
      </c>
      <c r="K19" s="18">
        <v>44322</v>
      </c>
      <c r="L19" s="14">
        <f t="shared" si="2"/>
        <v>2021</v>
      </c>
      <c r="M19" s="12">
        <v>3915186</v>
      </c>
    </row>
    <row r="20" spans="1:13" x14ac:dyDescent="0.25">
      <c r="A20" s="9" t="s">
        <v>10</v>
      </c>
      <c r="B20" s="9" t="s">
        <v>20</v>
      </c>
      <c r="C20" s="10" t="s">
        <v>39</v>
      </c>
      <c r="D20" s="9" t="s">
        <v>40</v>
      </c>
      <c r="E20" s="9" t="s">
        <v>47</v>
      </c>
      <c r="F20" s="10">
        <v>548</v>
      </c>
      <c r="G20" s="18">
        <v>43794</v>
      </c>
      <c r="H20" s="14">
        <f t="shared" si="3"/>
        <v>2019</v>
      </c>
      <c r="I20" s="12">
        <v>5351686</v>
      </c>
      <c r="J20" s="10">
        <v>1448</v>
      </c>
      <c r="K20" s="18">
        <v>44335</v>
      </c>
      <c r="L20" s="14">
        <f t="shared" si="2"/>
        <v>2021</v>
      </c>
      <c r="M20" s="12">
        <v>2310811</v>
      </c>
    </row>
    <row r="21" spans="1:13" ht="15.75" customHeight="1" x14ac:dyDescent="0.25">
      <c r="A21" s="9" t="s">
        <v>10</v>
      </c>
      <c r="B21" s="9" t="s">
        <v>20</v>
      </c>
      <c r="C21" s="10" t="s">
        <v>12</v>
      </c>
      <c r="D21" s="9" t="s">
        <v>37</v>
      </c>
      <c r="E21" s="9" t="s">
        <v>65</v>
      </c>
      <c r="F21" s="10">
        <v>207</v>
      </c>
      <c r="G21" s="18">
        <v>43658</v>
      </c>
      <c r="H21" s="14">
        <f t="shared" si="3"/>
        <v>2019</v>
      </c>
      <c r="I21" s="12">
        <v>240262</v>
      </c>
      <c r="J21" s="10">
        <v>572</v>
      </c>
      <c r="K21" s="18">
        <v>44256</v>
      </c>
      <c r="L21" s="14">
        <f t="shared" si="2"/>
        <v>2021</v>
      </c>
      <c r="M21" s="12">
        <v>0</v>
      </c>
    </row>
    <row r="22" spans="1:13" ht="15.75" customHeight="1" x14ac:dyDescent="0.25">
      <c r="A22" s="9" t="s">
        <v>59</v>
      </c>
      <c r="B22" s="9" t="s">
        <v>20</v>
      </c>
      <c r="C22" s="10" t="s">
        <v>12</v>
      </c>
      <c r="D22" s="9" t="s">
        <v>40</v>
      </c>
      <c r="E22" s="9" t="s">
        <v>65</v>
      </c>
      <c r="F22" s="10">
        <v>448</v>
      </c>
      <c r="G22" s="18">
        <v>43734</v>
      </c>
      <c r="H22" s="14">
        <f t="shared" si="3"/>
        <v>2019</v>
      </c>
      <c r="I22" s="12">
        <v>241222</v>
      </c>
      <c r="J22" s="10">
        <v>564</v>
      </c>
      <c r="K22" s="18">
        <v>44256</v>
      </c>
      <c r="L22" s="14">
        <f t="shared" si="2"/>
        <v>2021</v>
      </c>
      <c r="M22" s="12">
        <v>0</v>
      </c>
    </row>
    <row r="23" spans="1:13" ht="15.75" customHeight="1" x14ac:dyDescent="0.25">
      <c r="A23" s="9" t="s">
        <v>59</v>
      </c>
      <c r="B23" s="9" t="s">
        <v>20</v>
      </c>
      <c r="C23" s="10" t="s">
        <v>39</v>
      </c>
      <c r="D23" s="9" t="s">
        <v>40</v>
      </c>
      <c r="E23" s="9" t="s">
        <v>65</v>
      </c>
      <c r="F23" s="10">
        <v>449</v>
      </c>
      <c r="G23" s="18">
        <v>43734</v>
      </c>
      <c r="H23" s="14">
        <f t="shared" si="3"/>
        <v>2019</v>
      </c>
      <c r="I23" s="12">
        <v>290451</v>
      </c>
      <c r="J23" s="10">
        <v>565</v>
      </c>
      <c r="K23" s="18">
        <v>44256</v>
      </c>
      <c r="L23" s="14">
        <f t="shared" si="2"/>
        <v>2021</v>
      </c>
      <c r="M23" s="12">
        <v>0</v>
      </c>
    </row>
    <row r="24" spans="1:13" ht="15.75" customHeight="1" x14ac:dyDescent="0.25">
      <c r="A24" s="9" t="s">
        <v>10</v>
      </c>
      <c r="B24" s="9" t="s">
        <v>20</v>
      </c>
      <c r="C24" s="10" t="s">
        <v>12</v>
      </c>
      <c r="D24" s="9" t="s">
        <v>40</v>
      </c>
      <c r="E24" s="9" t="s">
        <v>65</v>
      </c>
      <c r="F24" s="10">
        <v>412</v>
      </c>
      <c r="G24" s="18">
        <v>43712</v>
      </c>
      <c r="H24" s="14">
        <f t="shared" si="3"/>
        <v>2019</v>
      </c>
      <c r="I24" s="12">
        <v>240742</v>
      </c>
      <c r="J24" s="10">
        <v>573</v>
      </c>
      <c r="K24" s="18">
        <v>44256</v>
      </c>
      <c r="L24" s="14">
        <f t="shared" si="2"/>
        <v>2021</v>
      </c>
      <c r="M24" s="12">
        <v>0</v>
      </c>
    </row>
    <row r="25" spans="1:13" ht="15.75" customHeight="1" x14ac:dyDescent="0.25">
      <c r="A25" s="9" t="s">
        <v>10</v>
      </c>
      <c r="B25" s="9" t="s">
        <v>20</v>
      </c>
      <c r="C25" s="10" t="s">
        <v>39</v>
      </c>
      <c r="D25" s="9" t="s">
        <v>40</v>
      </c>
      <c r="E25" s="9" t="s">
        <v>65</v>
      </c>
      <c r="F25" s="10">
        <v>413</v>
      </c>
      <c r="G25" s="18">
        <v>43712</v>
      </c>
      <c r="H25" s="14">
        <f t="shared" si="3"/>
        <v>2019</v>
      </c>
      <c r="I25" s="12">
        <v>289873</v>
      </c>
      <c r="J25" s="10">
        <v>571</v>
      </c>
      <c r="K25" s="18">
        <v>44256</v>
      </c>
      <c r="L25" s="14">
        <f t="shared" si="2"/>
        <v>2021</v>
      </c>
      <c r="M25" s="12">
        <v>0</v>
      </c>
    </row>
    <row r="26" spans="1:13" ht="15.75" customHeight="1" x14ac:dyDescent="0.25">
      <c r="A26" s="9" t="s">
        <v>15</v>
      </c>
      <c r="B26" s="9" t="s">
        <v>20</v>
      </c>
      <c r="C26" s="10" t="s">
        <v>21</v>
      </c>
      <c r="D26" s="9" t="s">
        <v>22</v>
      </c>
      <c r="E26" s="9" t="s">
        <v>19</v>
      </c>
      <c r="F26" s="10">
        <v>3051</v>
      </c>
      <c r="G26" s="18">
        <v>43795</v>
      </c>
      <c r="H26" s="14">
        <f t="shared" si="3"/>
        <v>2019</v>
      </c>
      <c r="I26" s="12">
        <v>44412184</v>
      </c>
      <c r="J26" s="10">
        <v>772</v>
      </c>
      <c r="K26" s="18">
        <v>44277</v>
      </c>
      <c r="L26" s="14">
        <f t="shared" si="2"/>
        <v>2021</v>
      </c>
      <c r="M26" s="12">
        <v>43201711</v>
      </c>
    </row>
    <row r="27" spans="1:13" ht="15.75" customHeight="1" x14ac:dyDescent="0.25">
      <c r="A27" s="9" t="s">
        <v>15</v>
      </c>
      <c r="B27" s="9" t="s">
        <v>20</v>
      </c>
      <c r="C27" s="10" t="s">
        <v>12</v>
      </c>
      <c r="D27" s="9" t="s">
        <v>40</v>
      </c>
      <c r="E27" s="9" t="s">
        <v>36</v>
      </c>
      <c r="F27" s="10">
        <v>585</v>
      </c>
      <c r="G27" s="18">
        <v>43805</v>
      </c>
      <c r="H27" s="14">
        <f t="shared" si="3"/>
        <v>2019</v>
      </c>
      <c r="I27" s="12">
        <v>42554706</v>
      </c>
      <c r="J27" s="10">
        <v>2967</v>
      </c>
      <c r="K27" s="18">
        <v>44515</v>
      </c>
      <c r="L27" s="14">
        <f t="shared" si="2"/>
        <v>2021</v>
      </c>
      <c r="M27" s="12">
        <v>38336253</v>
      </c>
    </row>
    <row r="28" spans="1:13" ht="15.75" customHeight="1" x14ac:dyDescent="0.25">
      <c r="A28" s="9" t="s">
        <v>15</v>
      </c>
      <c r="B28" s="9" t="s">
        <v>20</v>
      </c>
      <c r="C28" s="10" t="s">
        <v>12</v>
      </c>
      <c r="D28" s="9" t="s">
        <v>37</v>
      </c>
      <c r="E28" s="9" t="s">
        <v>36</v>
      </c>
      <c r="F28" s="10">
        <v>325</v>
      </c>
      <c r="G28" s="18">
        <v>43796</v>
      </c>
      <c r="H28" s="14">
        <f t="shared" si="3"/>
        <v>2019</v>
      </c>
      <c r="I28" s="12">
        <v>8755876</v>
      </c>
      <c r="J28" s="10">
        <v>2544</v>
      </c>
      <c r="K28" s="18">
        <v>44469</v>
      </c>
      <c r="L28" s="14">
        <f t="shared" si="2"/>
        <v>2021</v>
      </c>
      <c r="M28" s="12">
        <v>8755876</v>
      </c>
    </row>
    <row r="29" spans="1:13" ht="15.75" customHeight="1" x14ac:dyDescent="0.25">
      <c r="A29" s="9" t="s">
        <v>15</v>
      </c>
      <c r="B29" s="9" t="s">
        <v>20</v>
      </c>
      <c r="C29" s="10" t="s">
        <v>12</v>
      </c>
      <c r="D29" s="9" t="s">
        <v>40</v>
      </c>
      <c r="E29" s="9" t="s">
        <v>36</v>
      </c>
      <c r="F29" s="10">
        <v>618</v>
      </c>
      <c r="G29" s="18">
        <v>43829</v>
      </c>
      <c r="H29" s="14">
        <f t="shared" si="3"/>
        <v>2019</v>
      </c>
      <c r="I29" s="12">
        <v>15126418</v>
      </c>
      <c r="J29" s="10">
        <v>2564</v>
      </c>
      <c r="K29" s="18">
        <v>44470</v>
      </c>
      <c r="L29" s="14">
        <f t="shared" si="2"/>
        <v>2021</v>
      </c>
      <c r="M29" s="12">
        <v>14380826</v>
      </c>
    </row>
    <row r="30" spans="1:13" ht="15.75" customHeight="1" x14ac:dyDescent="0.25">
      <c r="A30" s="9" t="s">
        <v>15</v>
      </c>
      <c r="B30" s="9" t="s">
        <v>20</v>
      </c>
      <c r="C30" s="10" t="s">
        <v>39</v>
      </c>
      <c r="D30" s="9" t="s">
        <v>40</v>
      </c>
      <c r="E30" s="9" t="s">
        <v>36</v>
      </c>
      <c r="F30" s="10">
        <v>309</v>
      </c>
      <c r="G30" s="18">
        <v>44125</v>
      </c>
      <c r="H30" s="14">
        <f t="shared" si="3"/>
        <v>2020</v>
      </c>
      <c r="I30" s="12">
        <v>2812268</v>
      </c>
      <c r="J30" s="10">
        <v>436</v>
      </c>
      <c r="K30" s="18">
        <v>44239</v>
      </c>
      <c r="L30" s="14">
        <f t="shared" si="2"/>
        <v>2021</v>
      </c>
      <c r="M30" s="12">
        <v>2812268</v>
      </c>
    </row>
    <row r="31" spans="1:13" ht="15.75" customHeight="1" x14ac:dyDescent="0.25">
      <c r="A31" s="9" t="s">
        <v>15</v>
      </c>
      <c r="B31" s="9" t="s">
        <v>20</v>
      </c>
      <c r="C31" s="10" t="s">
        <v>12</v>
      </c>
      <c r="D31" s="9" t="s">
        <v>40</v>
      </c>
      <c r="E31" s="9" t="s">
        <v>72</v>
      </c>
      <c r="F31" s="10">
        <v>26</v>
      </c>
      <c r="G31" s="18">
        <v>44214</v>
      </c>
      <c r="H31" s="14">
        <f t="shared" si="3"/>
        <v>2021</v>
      </c>
      <c r="I31" s="12">
        <v>11075797</v>
      </c>
      <c r="J31" s="10">
        <v>1114</v>
      </c>
      <c r="K31" s="18">
        <v>44302</v>
      </c>
      <c r="L31" s="14">
        <f t="shared" si="2"/>
        <v>2021</v>
      </c>
      <c r="M31" s="12">
        <v>11075797</v>
      </c>
    </row>
    <row r="32" spans="1:13" ht="15.75" customHeight="1" x14ac:dyDescent="0.25">
      <c r="A32" s="9" t="s">
        <v>15</v>
      </c>
      <c r="B32" s="9" t="s">
        <v>20</v>
      </c>
      <c r="C32" s="10" t="s">
        <v>39</v>
      </c>
      <c r="D32" s="9" t="s">
        <v>40</v>
      </c>
      <c r="E32" s="9" t="s">
        <v>72</v>
      </c>
      <c r="F32" s="10">
        <v>27</v>
      </c>
      <c r="G32" s="18">
        <v>44214</v>
      </c>
      <c r="H32" s="14">
        <f t="shared" si="3"/>
        <v>2021</v>
      </c>
      <c r="I32" s="12">
        <v>38177158</v>
      </c>
      <c r="J32" s="10">
        <v>1116</v>
      </c>
      <c r="K32" s="18">
        <v>44302</v>
      </c>
      <c r="L32" s="14">
        <f t="shared" si="2"/>
        <v>2021</v>
      </c>
      <c r="M32" s="12">
        <v>38177158</v>
      </c>
    </row>
    <row r="33" spans="1:13" ht="15.75" customHeight="1" x14ac:dyDescent="0.25">
      <c r="A33" s="9" t="s">
        <v>15</v>
      </c>
      <c r="B33" s="9" t="s">
        <v>20</v>
      </c>
      <c r="C33" s="10" t="s">
        <v>12</v>
      </c>
      <c r="D33" s="9" t="s">
        <v>37</v>
      </c>
      <c r="E33" s="9" t="s">
        <v>72</v>
      </c>
      <c r="F33" s="10">
        <v>222</v>
      </c>
      <c r="G33" s="18">
        <v>44176</v>
      </c>
      <c r="H33" s="14">
        <f t="shared" si="3"/>
        <v>2020</v>
      </c>
      <c r="I33" s="12">
        <v>1624196</v>
      </c>
      <c r="J33" s="10">
        <v>797</v>
      </c>
      <c r="K33" s="18">
        <v>44279</v>
      </c>
      <c r="L33" s="14">
        <f t="shared" si="2"/>
        <v>2021</v>
      </c>
      <c r="M33" s="12">
        <v>1624196</v>
      </c>
    </row>
    <row r="34" spans="1:13" ht="15.75" customHeight="1" x14ac:dyDescent="0.25">
      <c r="A34" s="9" t="s">
        <v>15</v>
      </c>
      <c r="B34" s="9" t="s">
        <v>20</v>
      </c>
      <c r="C34" s="10" t="s">
        <v>12</v>
      </c>
      <c r="D34" s="9" t="s">
        <v>37</v>
      </c>
      <c r="E34" s="9" t="s">
        <v>72</v>
      </c>
      <c r="F34" s="10">
        <v>223</v>
      </c>
      <c r="G34" s="18">
        <v>44176</v>
      </c>
      <c r="H34" s="14">
        <f t="shared" si="3"/>
        <v>2020</v>
      </c>
      <c r="I34" s="12">
        <v>8583510</v>
      </c>
      <c r="J34" s="10">
        <v>796</v>
      </c>
      <c r="K34" s="18">
        <v>44279</v>
      </c>
      <c r="L34" s="14">
        <f t="shared" si="2"/>
        <v>2021</v>
      </c>
      <c r="M34" s="12">
        <v>8583510</v>
      </c>
    </row>
    <row r="35" spans="1:13" ht="15.75" customHeight="1" x14ac:dyDescent="0.25">
      <c r="A35" s="9" t="s">
        <v>15</v>
      </c>
      <c r="B35" s="9" t="s">
        <v>20</v>
      </c>
      <c r="C35" s="10" t="s">
        <v>12</v>
      </c>
      <c r="D35" s="9" t="s">
        <v>37</v>
      </c>
      <c r="E35" s="9" t="s">
        <v>72</v>
      </c>
      <c r="F35" s="10">
        <v>224</v>
      </c>
      <c r="G35" s="18">
        <v>44176</v>
      </c>
      <c r="H35" s="14">
        <f t="shared" si="3"/>
        <v>2020</v>
      </c>
      <c r="I35" s="12">
        <v>92831513</v>
      </c>
      <c r="J35" s="10">
        <v>795</v>
      </c>
      <c r="K35" s="18">
        <v>44279</v>
      </c>
      <c r="L35" s="14">
        <f t="shared" si="2"/>
        <v>2021</v>
      </c>
      <c r="M35" s="12">
        <v>92831513</v>
      </c>
    </row>
    <row r="36" spans="1:13" ht="15.75" customHeight="1" x14ac:dyDescent="0.25">
      <c r="A36" s="9" t="s">
        <v>10</v>
      </c>
      <c r="B36" s="9" t="s">
        <v>20</v>
      </c>
      <c r="C36" s="10" t="s">
        <v>12</v>
      </c>
      <c r="D36" s="9" t="s">
        <v>37</v>
      </c>
      <c r="E36" s="9" t="s">
        <v>72</v>
      </c>
      <c r="F36" s="10">
        <v>6</v>
      </c>
      <c r="G36" s="18">
        <v>44209</v>
      </c>
      <c r="H36" s="14">
        <f t="shared" si="3"/>
        <v>2021</v>
      </c>
      <c r="I36" s="12">
        <v>1488039</v>
      </c>
      <c r="J36" s="10">
        <v>1446</v>
      </c>
      <c r="K36" s="18">
        <v>44335</v>
      </c>
      <c r="L36" s="14">
        <f t="shared" si="2"/>
        <v>2021</v>
      </c>
      <c r="M36" s="12">
        <v>1488039</v>
      </c>
    </row>
    <row r="37" spans="1:13" ht="15.75" customHeight="1" x14ac:dyDescent="0.25">
      <c r="A37" s="9" t="s">
        <v>15</v>
      </c>
      <c r="B37" s="9" t="s">
        <v>20</v>
      </c>
      <c r="C37" s="10" t="s">
        <v>12</v>
      </c>
      <c r="D37" s="9" t="s">
        <v>40</v>
      </c>
      <c r="E37" s="9" t="s">
        <v>72</v>
      </c>
      <c r="F37" s="10">
        <v>35</v>
      </c>
      <c r="G37" s="18">
        <v>44214</v>
      </c>
      <c r="H37" s="14">
        <f t="shared" si="3"/>
        <v>2021</v>
      </c>
      <c r="I37" s="12">
        <v>8069864</v>
      </c>
      <c r="J37" s="10">
        <v>1115</v>
      </c>
      <c r="K37" s="18">
        <v>44302</v>
      </c>
      <c r="L37" s="14">
        <f t="shared" si="2"/>
        <v>2021</v>
      </c>
      <c r="M37" s="12">
        <v>8069864</v>
      </c>
    </row>
    <row r="38" spans="1:13" ht="15.75" customHeight="1" x14ac:dyDescent="0.25">
      <c r="A38" s="9" t="s">
        <v>15</v>
      </c>
      <c r="B38" s="9" t="s">
        <v>20</v>
      </c>
      <c r="C38" s="10" t="s">
        <v>12</v>
      </c>
      <c r="D38" s="9" t="s">
        <v>40</v>
      </c>
      <c r="E38" s="9" t="s">
        <v>72</v>
      </c>
      <c r="F38" s="10">
        <v>36</v>
      </c>
      <c r="G38" s="18">
        <v>44214</v>
      </c>
      <c r="H38" s="14">
        <f t="shared" si="3"/>
        <v>2021</v>
      </c>
      <c r="I38" s="12">
        <v>8328185</v>
      </c>
      <c r="J38" s="10">
        <v>1113</v>
      </c>
      <c r="K38" s="18">
        <v>44302</v>
      </c>
      <c r="L38" s="14">
        <f t="shared" si="2"/>
        <v>2021</v>
      </c>
      <c r="M38" s="12">
        <v>8328185</v>
      </c>
    </row>
    <row r="39" spans="1:13" ht="15.75" customHeight="1" x14ac:dyDescent="0.25">
      <c r="A39" s="9" t="s">
        <v>10</v>
      </c>
      <c r="B39" s="9" t="s">
        <v>20</v>
      </c>
      <c r="C39" s="10" t="s">
        <v>12</v>
      </c>
      <c r="D39" s="9" t="s">
        <v>40</v>
      </c>
      <c r="E39" s="9" t="s">
        <v>72</v>
      </c>
      <c r="F39" s="10">
        <v>11</v>
      </c>
      <c r="G39" s="18">
        <v>44214</v>
      </c>
      <c r="H39" s="14">
        <f t="shared" si="3"/>
        <v>2021</v>
      </c>
      <c r="I39" s="12">
        <v>12745770</v>
      </c>
      <c r="J39" s="10">
        <v>1111</v>
      </c>
      <c r="K39" s="18">
        <v>44302</v>
      </c>
      <c r="L39" s="14">
        <f t="shared" si="2"/>
        <v>2021</v>
      </c>
      <c r="M39" s="12">
        <v>12745770</v>
      </c>
    </row>
    <row r="40" spans="1:13" ht="15.75" customHeight="1" x14ac:dyDescent="0.25">
      <c r="A40" s="9" t="s">
        <v>10</v>
      </c>
      <c r="B40" s="9" t="s">
        <v>20</v>
      </c>
      <c r="C40" s="10" t="s">
        <v>12</v>
      </c>
      <c r="D40" s="9" t="s">
        <v>40</v>
      </c>
      <c r="E40" s="9" t="s">
        <v>72</v>
      </c>
      <c r="F40" s="10">
        <v>19</v>
      </c>
      <c r="G40" s="18">
        <v>44214</v>
      </c>
      <c r="H40" s="14">
        <f t="shared" si="3"/>
        <v>2021</v>
      </c>
      <c r="I40" s="12">
        <v>344937</v>
      </c>
      <c r="J40" s="10">
        <v>1112</v>
      </c>
      <c r="K40" s="18">
        <v>44302</v>
      </c>
      <c r="L40" s="14">
        <f t="shared" si="2"/>
        <v>2021</v>
      </c>
      <c r="M40" s="12">
        <v>344937</v>
      </c>
    </row>
    <row r="41" spans="1:13" ht="15.75" customHeight="1" x14ac:dyDescent="0.25">
      <c r="A41" s="9" t="s">
        <v>10</v>
      </c>
      <c r="B41" s="9" t="s">
        <v>20</v>
      </c>
      <c r="C41" s="10" t="s">
        <v>12</v>
      </c>
      <c r="D41" s="9" t="s">
        <v>40</v>
      </c>
      <c r="E41" s="9" t="s">
        <v>72</v>
      </c>
      <c r="F41" s="10">
        <v>281</v>
      </c>
      <c r="G41" s="18">
        <v>44386</v>
      </c>
      <c r="H41" s="14">
        <f t="shared" si="3"/>
        <v>2021</v>
      </c>
      <c r="I41" s="12">
        <v>674590</v>
      </c>
      <c r="J41" s="10">
        <v>3138</v>
      </c>
      <c r="K41" s="18">
        <v>44536</v>
      </c>
      <c r="L41" s="14">
        <f t="shared" si="2"/>
        <v>2021</v>
      </c>
      <c r="M41" s="12">
        <v>674590</v>
      </c>
    </row>
    <row r="42" spans="1:13" ht="15.75" customHeight="1" x14ac:dyDescent="0.25">
      <c r="A42" s="9" t="s">
        <v>15</v>
      </c>
      <c r="B42" s="9" t="s">
        <v>20</v>
      </c>
      <c r="C42" s="10" t="s">
        <v>39</v>
      </c>
      <c r="D42" s="9" t="s">
        <v>40</v>
      </c>
      <c r="E42" s="9" t="s">
        <v>72</v>
      </c>
      <c r="F42" s="10">
        <v>31</v>
      </c>
      <c r="G42" s="18">
        <v>44214</v>
      </c>
      <c r="H42" s="14">
        <f t="shared" si="3"/>
        <v>2021</v>
      </c>
      <c r="I42" s="12">
        <v>9216717</v>
      </c>
      <c r="J42" s="10">
        <v>1118</v>
      </c>
      <c r="K42" s="18">
        <v>44302</v>
      </c>
      <c r="L42" s="14">
        <f t="shared" si="2"/>
        <v>2021</v>
      </c>
      <c r="M42" s="12">
        <v>9216717</v>
      </c>
    </row>
    <row r="43" spans="1:13" ht="15.75" customHeight="1" x14ac:dyDescent="0.25">
      <c r="A43" s="9" t="s">
        <v>15</v>
      </c>
      <c r="B43" s="9" t="s">
        <v>20</v>
      </c>
      <c r="C43" s="10" t="s">
        <v>39</v>
      </c>
      <c r="D43" s="9" t="s">
        <v>40</v>
      </c>
      <c r="E43" s="9" t="s">
        <v>72</v>
      </c>
      <c r="F43" s="10">
        <v>37</v>
      </c>
      <c r="G43" s="18">
        <v>44214</v>
      </c>
      <c r="H43" s="14">
        <f t="shared" si="3"/>
        <v>2021</v>
      </c>
      <c r="I43" s="12">
        <v>8826876</v>
      </c>
      <c r="J43" s="10">
        <v>1117</v>
      </c>
      <c r="K43" s="18">
        <v>44302</v>
      </c>
      <c r="L43" s="14">
        <f t="shared" si="2"/>
        <v>2021</v>
      </c>
      <c r="M43" s="12">
        <v>8826876</v>
      </c>
    </row>
    <row r="44" spans="1:13" ht="15.75" customHeight="1" x14ac:dyDescent="0.25">
      <c r="A44" s="9" t="s">
        <v>10</v>
      </c>
      <c r="B44" s="9" t="s">
        <v>20</v>
      </c>
      <c r="C44" s="10" t="s">
        <v>39</v>
      </c>
      <c r="D44" s="9" t="s">
        <v>40</v>
      </c>
      <c r="E44" s="9" t="s">
        <v>72</v>
      </c>
      <c r="F44" s="10">
        <v>12</v>
      </c>
      <c r="G44" s="18">
        <v>44214</v>
      </c>
      <c r="H44" s="14">
        <f t="shared" si="3"/>
        <v>2021</v>
      </c>
      <c r="I44" s="12">
        <v>5165912</v>
      </c>
      <c r="J44" s="10">
        <v>1119</v>
      </c>
      <c r="K44" s="18">
        <v>44302</v>
      </c>
      <c r="L44" s="14">
        <f t="shared" si="2"/>
        <v>2021</v>
      </c>
      <c r="M44" s="12">
        <v>5165912</v>
      </c>
    </row>
    <row r="45" spans="1:13" ht="15.75" customHeight="1" x14ac:dyDescent="0.25">
      <c r="A45" s="9" t="s">
        <v>10</v>
      </c>
      <c r="B45" s="9" t="s">
        <v>20</v>
      </c>
      <c r="C45" s="10" t="s">
        <v>39</v>
      </c>
      <c r="D45" s="9" t="s">
        <v>40</v>
      </c>
      <c r="E45" s="9" t="s">
        <v>72</v>
      </c>
      <c r="F45" s="10">
        <v>20</v>
      </c>
      <c r="G45" s="18">
        <v>44214</v>
      </c>
      <c r="H45" s="14">
        <f t="shared" si="3"/>
        <v>2021</v>
      </c>
      <c r="I45" s="12">
        <v>1663789</v>
      </c>
      <c r="J45" s="10">
        <v>1120</v>
      </c>
      <c r="K45" s="18">
        <v>44302</v>
      </c>
      <c r="L45" s="14">
        <f t="shared" si="2"/>
        <v>2021</v>
      </c>
      <c r="M45" s="12">
        <v>1663789</v>
      </c>
    </row>
    <row r="46" spans="1:13" ht="15.75" customHeight="1" x14ac:dyDescent="0.25">
      <c r="A46" s="9" t="s">
        <v>10</v>
      </c>
      <c r="B46" s="9" t="s">
        <v>20</v>
      </c>
      <c r="C46" s="10" t="s">
        <v>39</v>
      </c>
      <c r="D46" s="9" t="s">
        <v>40</v>
      </c>
      <c r="E46" s="9" t="s">
        <v>72</v>
      </c>
      <c r="F46" s="10">
        <v>21</v>
      </c>
      <c r="G46" s="18">
        <v>44214</v>
      </c>
      <c r="H46" s="14">
        <f t="shared" si="3"/>
        <v>2021</v>
      </c>
      <c r="I46" s="12">
        <v>416190</v>
      </c>
      <c r="J46" s="10">
        <v>1121</v>
      </c>
      <c r="K46" s="18">
        <v>44302</v>
      </c>
      <c r="L46" s="14">
        <f t="shared" si="2"/>
        <v>2021</v>
      </c>
      <c r="M46" s="12">
        <v>416190</v>
      </c>
    </row>
    <row r="47" spans="1:13" ht="15.75" customHeight="1" x14ac:dyDescent="0.25">
      <c r="A47" s="9" t="s">
        <v>10</v>
      </c>
      <c r="B47" s="9" t="s">
        <v>20</v>
      </c>
      <c r="C47" s="10" t="s">
        <v>12</v>
      </c>
      <c r="D47" s="9" t="s">
        <v>37</v>
      </c>
      <c r="E47" s="9" t="s">
        <v>72</v>
      </c>
      <c r="F47" s="10">
        <v>7</v>
      </c>
      <c r="G47" s="18">
        <v>44209</v>
      </c>
      <c r="H47" s="14">
        <f t="shared" si="3"/>
        <v>2021</v>
      </c>
      <c r="I47" s="12">
        <v>255522</v>
      </c>
      <c r="J47" s="10">
        <v>1445</v>
      </c>
      <c r="K47" s="18">
        <v>44335</v>
      </c>
      <c r="L47" s="14">
        <f t="shared" si="2"/>
        <v>2021</v>
      </c>
      <c r="M47" s="12">
        <v>255522</v>
      </c>
    </row>
    <row r="48" spans="1:13" ht="15.75" customHeight="1" x14ac:dyDescent="0.25">
      <c r="A48" s="9" t="s">
        <v>10</v>
      </c>
      <c r="B48" s="9" t="s">
        <v>20</v>
      </c>
      <c r="C48" s="10" t="s">
        <v>12</v>
      </c>
      <c r="D48" s="9" t="s">
        <v>37</v>
      </c>
      <c r="E48" s="9" t="s">
        <v>72</v>
      </c>
      <c r="F48" s="10">
        <v>8</v>
      </c>
      <c r="G48" s="18">
        <v>44209</v>
      </c>
      <c r="H48" s="14">
        <f t="shared" si="3"/>
        <v>2021</v>
      </c>
      <c r="I48" s="12">
        <v>7532994</v>
      </c>
      <c r="J48" s="10">
        <v>1410</v>
      </c>
      <c r="K48" s="18">
        <v>44334</v>
      </c>
      <c r="L48" s="14">
        <f t="shared" si="2"/>
        <v>2021</v>
      </c>
      <c r="M48" s="12">
        <v>7532994</v>
      </c>
    </row>
    <row r="49" spans="1:13" ht="15.75" customHeight="1" x14ac:dyDescent="0.25">
      <c r="A49" s="9" t="s">
        <v>15</v>
      </c>
      <c r="B49" s="9" t="s">
        <v>20</v>
      </c>
      <c r="C49" s="10" t="s">
        <v>21</v>
      </c>
      <c r="D49" s="9" t="s">
        <v>22</v>
      </c>
      <c r="E49" s="9" t="s">
        <v>14</v>
      </c>
      <c r="F49" s="10">
        <v>3192</v>
      </c>
      <c r="G49" s="18">
        <v>44195</v>
      </c>
      <c r="H49" s="14">
        <f t="shared" si="3"/>
        <v>2020</v>
      </c>
      <c r="I49" s="12">
        <f>142.45*51029</f>
        <v>7269081.0499999998</v>
      </c>
      <c r="J49" s="10">
        <v>1188</v>
      </c>
      <c r="K49" s="18">
        <v>44314</v>
      </c>
      <c r="L49" s="14">
        <f t="shared" si="2"/>
        <v>2021</v>
      </c>
      <c r="M49" s="12">
        <v>7349280</v>
      </c>
    </row>
    <row r="50" spans="1:13" ht="15.75" customHeight="1" x14ac:dyDescent="0.25">
      <c r="A50" s="9" t="s">
        <v>15</v>
      </c>
      <c r="B50" s="9" t="s">
        <v>20</v>
      </c>
      <c r="C50" s="10" t="s">
        <v>21</v>
      </c>
      <c r="D50" s="9" t="s">
        <v>22</v>
      </c>
      <c r="E50" s="9" t="s">
        <v>14</v>
      </c>
      <c r="F50" s="10">
        <v>3200</v>
      </c>
      <c r="G50" s="18">
        <v>44195</v>
      </c>
      <c r="H50" s="14">
        <f t="shared" si="3"/>
        <v>2020</v>
      </c>
      <c r="I50" s="12">
        <f>168.7*51029</f>
        <v>8608592.2999999989</v>
      </c>
      <c r="J50" s="10">
        <v>1189</v>
      </c>
      <c r="K50" s="18">
        <v>44314</v>
      </c>
      <c r="L50" s="14">
        <f t="shared" si="2"/>
        <v>2021</v>
      </c>
      <c r="M50" s="12">
        <v>8703570</v>
      </c>
    </row>
    <row r="51" spans="1:13" ht="15.75" customHeight="1" x14ac:dyDescent="0.25">
      <c r="A51" s="9" t="s">
        <v>15</v>
      </c>
      <c r="B51" s="9" t="s">
        <v>20</v>
      </c>
      <c r="C51" s="10" t="s">
        <v>21</v>
      </c>
      <c r="D51" s="9" t="s">
        <v>13</v>
      </c>
      <c r="E51" s="9" t="s">
        <v>14</v>
      </c>
      <c r="F51" s="10">
        <v>3206</v>
      </c>
      <c r="G51" s="18">
        <v>44195</v>
      </c>
      <c r="H51" s="14">
        <f t="shared" si="3"/>
        <v>2020</v>
      </c>
      <c r="I51" s="12">
        <f>490.7*51029</f>
        <v>25039930.300000001</v>
      </c>
      <c r="J51" s="10">
        <v>1191</v>
      </c>
      <c r="K51" s="18">
        <v>44314</v>
      </c>
      <c r="L51" s="14">
        <f t="shared" si="2"/>
        <v>2021</v>
      </c>
      <c r="M51" s="12">
        <v>25316193</v>
      </c>
    </row>
    <row r="52" spans="1:13" ht="15.75" customHeight="1" x14ac:dyDescent="0.25">
      <c r="A52" s="9" t="s">
        <v>15</v>
      </c>
      <c r="B52" s="9" t="s">
        <v>20</v>
      </c>
      <c r="C52" s="10" t="s">
        <v>21</v>
      </c>
      <c r="D52" s="9" t="s">
        <v>22</v>
      </c>
      <c r="E52" s="9" t="s">
        <v>14</v>
      </c>
      <c r="F52" s="10">
        <v>3220</v>
      </c>
      <c r="G52" s="18">
        <v>44195</v>
      </c>
      <c r="H52" s="14">
        <f t="shared" si="3"/>
        <v>2020</v>
      </c>
      <c r="I52" s="12">
        <f>26.25*51029</f>
        <v>1339511.25</v>
      </c>
      <c r="J52" s="10">
        <v>1187</v>
      </c>
      <c r="K52" s="18">
        <v>44314</v>
      </c>
      <c r="L52" s="14">
        <f t="shared" si="2"/>
        <v>2021</v>
      </c>
      <c r="M52" s="12">
        <v>1354290</v>
      </c>
    </row>
    <row r="53" spans="1:13" ht="15.75" customHeight="1" x14ac:dyDescent="0.25">
      <c r="A53" s="9" t="s">
        <v>15</v>
      </c>
      <c r="B53" s="9" t="s">
        <v>20</v>
      </c>
      <c r="C53" s="10" t="s">
        <v>21</v>
      </c>
      <c r="D53" s="9" t="s">
        <v>13</v>
      </c>
      <c r="E53" s="9" t="s">
        <v>14</v>
      </c>
      <c r="F53" s="10">
        <v>3227</v>
      </c>
      <c r="G53" s="18">
        <v>44195</v>
      </c>
      <c r="H53" s="14">
        <f t="shared" si="3"/>
        <v>2020</v>
      </c>
      <c r="I53" s="12">
        <f>15.75*51029</f>
        <v>803706.75</v>
      </c>
      <c r="J53" s="10">
        <v>1190</v>
      </c>
      <c r="K53" s="18">
        <v>44314</v>
      </c>
      <c r="L53" s="14">
        <f t="shared" si="2"/>
        <v>2021</v>
      </c>
      <c r="M53" s="12">
        <v>812574</v>
      </c>
    </row>
    <row r="54" spans="1:13" ht="15.75" customHeight="1" x14ac:dyDescent="0.25">
      <c r="A54" s="9" t="s">
        <v>15</v>
      </c>
      <c r="B54" s="9" t="s">
        <v>20</v>
      </c>
      <c r="C54" s="10" t="s">
        <v>21</v>
      </c>
      <c r="D54" s="9" t="s">
        <v>13</v>
      </c>
      <c r="E54" s="9" t="s">
        <v>14</v>
      </c>
      <c r="F54" s="10">
        <v>3228</v>
      </c>
      <c r="G54" s="18">
        <v>44195</v>
      </c>
      <c r="H54" s="14">
        <f t="shared" si="3"/>
        <v>2020</v>
      </c>
      <c r="I54" s="12">
        <f>275.4*51029</f>
        <v>14053386.6</v>
      </c>
      <c r="J54" s="10">
        <v>1192</v>
      </c>
      <c r="K54" s="18">
        <v>44314</v>
      </c>
      <c r="L54" s="14">
        <f t="shared" si="2"/>
        <v>2021</v>
      </c>
      <c r="M54" s="12">
        <v>14156844</v>
      </c>
    </row>
    <row r="55" spans="1:13" ht="15.75" customHeight="1" x14ac:dyDescent="0.25">
      <c r="A55" s="9" t="s">
        <v>15</v>
      </c>
      <c r="B55" s="9" t="s">
        <v>20</v>
      </c>
      <c r="C55" s="10" t="s">
        <v>21</v>
      </c>
      <c r="D55" s="9" t="s">
        <v>22</v>
      </c>
      <c r="E55" s="9" t="s">
        <v>73</v>
      </c>
      <c r="F55" s="10">
        <v>305</v>
      </c>
      <c r="G55" s="18">
        <v>44225</v>
      </c>
      <c r="H55" s="14">
        <f t="shared" si="3"/>
        <v>2021</v>
      </c>
      <c r="I55" s="12">
        <v>13805370</v>
      </c>
      <c r="J55" s="10">
        <v>504</v>
      </c>
      <c r="K55" s="18">
        <v>44246</v>
      </c>
      <c r="L55" s="14">
        <f t="shared" si="2"/>
        <v>2021</v>
      </c>
      <c r="M55" s="12">
        <v>13805370</v>
      </c>
    </row>
    <row r="56" spans="1:13" ht="15.75" customHeight="1" x14ac:dyDescent="0.25">
      <c r="A56" s="9" t="s">
        <v>15</v>
      </c>
      <c r="B56" s="9" t="s">
        <v>20</v>
      </c>
      <c r="C56" s="10" t="s">
        <v>21</v>
      </c>
      <c r="D56" s="9" t="s">
        <v>22</v>
      </c>
      <c r="E56" s="9" t="s">
        <v>19</v>
      </c>
      <c r="F56" s="10">
        <v>334</v>
      </c>
      <c r="G56" s="18">
        <v>44231</v>
      </c>
      <c r="H56" s="14">
        <f t="shared" si="3"/>
        <v>2021</v>
      </c>
      <c r="I56" s="12">
        <v>837760</v>
      </c>
      <c r="J56" s="10">
        <v>746</v>
      </c>
      <c r="K56" s="18">
        <v>44274</v>
      </c>
      <c r="L56" s="14">
        <f t="shared" si="2"/>
        <v>2021</v>
      </c>
      <c r="M56" s="12">
        <v>837760</v>
      </c>
    </row>
    <row r="57" spans="1:13" ht="15.75" customHeight="1" x14ac:dyDescent="0.25">
      <c r="A57" s="9" t="s">
        <v>15</v>
      </c>
      <c r="B57" s="9" t="s">
        <v>20</v>
      </c>
      <c r="C57" s="10" t="s">
        <v>21</v>
      </c>
      <c r="D57" s="9" t="s">
        <v>13</v>
      </c>
      <c r="E57" s="9" t="s">
        <v>14</v>
      </c>
      <c r="F57" s="10">
        <v>32</v>
      </c>
      <c r="G57" s="18">
        <v>44207</v>
      </c>
      <c r="H57" s="14">
        <f t="shared" si="3"/>
        <v>2021</v>
      </c>
      <c r="I57" s="12">
        <f>770.35*50978</f>
        <v>39270902.300000004</v>
      </c>
      <c r="J57" s="10">
        <v>1193</v>
      </c>
      <c r="K57" s="18">
        <v>44314</v>
      </c>
      <c r="L57" s="14">
        <f t="shared" si="2"/>
        <v>2021</v>
      </c>
      <c r="M57" s="12">
        <v>39743895</v>
      </c>
    </row>
    <row r="58" spans="1:13" ht="15.75" customHeight="1" x14ac:dyDescent="0.25">
      <c r="A58" s="9" t="s">
        <v>15</v>
      </c>
      <c r="B58" s="9" t="s">
        <v>20</v>
      </c>
      <c r="C58" s="10" t="s">
        <v>21</v>
      </c>
      <c r="D58" s="9" t="s">
        <v>13</v>
      </c>
      <c r="E58" s="9" t="s">
        <v>14</v>
      </c>
      <c r="F58" s="10">
        <v>33</v>
      </c>
      <c r="G58" s="18">
        <v>44207</v>
      </c>
      <c r="H58" s="14">
        <f t="shared" si="3"/>
        <v>2021</v>
      </c>
      <c r="I58" s="12">
        <f>578.9*50978</f>
        <v>29511164.199999999</v>
      </c>
      <c r="J58" s="10">
        <v>1194</v>
      </c>
      <c r="K58" s="18">
        <v>44314</v>
      </c>
      <c r="L58" s="14">
        <f t="shared" si="2"/>
        <v>2021</v>
      </c>
      <c r="M58" s="12">
        <v>29866605</v>
      </c>
    </row>
    <row r="59" spans="1:13" ht="15.75" customHeight="1" x14ac:dyDescent="0.25">
      <c r="A59" s="9" t="s">
        <v>15</v>
      </c>
      <c r="B59" s="9" t="s">
        <v>20</v>
      </c>
      <c r="C59" s="10" t="s">
        <v>21</v>
      </c>
      <c r="D59" s="9" t="s">
        <v>22</v>
      </c>
      <c r="E59" s="9" t="s">
        <v>14</v>
      </c>
      <c r="F59" s="10">
        <v>34</v>
      </c>
      <c r="G59" s="18">
        <v>44207</v>
      </c>
      <c r="H59" s="14">
        <f t="shared" si="3"/>
        <v>2021</v>
      </c>
      <c r="I59" s="12">
        <f>3126.9*50978</f>
        <v>159403108.20000002</v>
      </c>
      <c r="J59" s="10">
        <v>1195</v>
      </c>
      <c r="K59" s="18">
        <v>44314</v>
      </c>
      <c r="L59" s="14">
        <f t="shared" si="2"/>
        <v>2021</v>
      </c>
      <c r="M59" s="12">
        <v>161323011</v>
      </c>
    </row>
    <row r="60" spans="1:13" ht="15.75" customHeight="1" x14ac:dyDescent="0.25">
      <c r="A60" s="9" t="s">
        <v>15</v>
      </c>
      <c r="B60" s="9" t="s">
        <v>20</v>
      </c>
      <c r="C60" s="10" t="s">
        <v>21</v>
      </c>
      <c r="D60" s="9" t="s">
        <v>22</v>
      </c>
      <c r="E60" s="9" t="s">
        <v>14</v>
      </c>
      <c r="F60" s="10">
        <v>35</v>
      </c>
      <c r="G60" s="18">
        <v>44207</v>
      </c>
      <c r="H60" s="14">
        <f t="shared" si="3"/>
        <v>2021</v>
      </c>
      <c r="I60" s="12">
        <f>70.35*50978</f>
        <v>3586302.3</v>
      </c>
      <c r="J60" s="10">
        <v>1196</v>
      </c>
      <c r="K60" s="18">
        <v>44314</v>
      </c>
      <c r="L60" s="14">
        <f t="shared" si="2"/>
        <v>2021</v>
      </c>
      <c r="M60" s="12">
        <v>3629496</v>
      </c>
    </row>
    <row r="61" spans="1:13" ht="15.75" customHeight="1" x14ac:dyDescent="0.25">
      <c r="A61" s="9" t="s">
        <v>15</v>
      </c>
      <c r="B61" s="9" t="s">
        <v>20</v>
      </c>
      <c r="C61" s="10" t="s">
        <v>21</v>
      </c>
      <c r="D61" s="9" t="s">
        <v>22</v>
      </c>
      <c r="E61" s="9" t="s">
        <v>14</v>
      </c>
      <c r="F61" s="10">
        <v>36</v>
      </c>
      <c r="G61" s="18">
        <v>44207</v>
      </c>
      <c r="H61" s="14">
        <f t="shared" si="3"/>
        <v>2021</v>
      </c>
      <c r="I61" s="12">
        <f>3853.15*50978</f>
        <v>196425880.70000002</v>
      </c>
      <c r="J61" s="10">
        <v>1197</v>
      </c>
      <c r="K61" s="18">
        <v>44314</v>
      </c>
      <c r="L61" s="14">
        <f t="shared" si="2"/>
        <v>2021</v>
      </c>
      <c r="M61" s="12">
        <v>198791697</v>
      </c>
    </row>
    <row r="62" spans="1:13" ht="15.75" customHeight="1" x14ac:dyDescent="0.25">
      <c r="A62" s="9" t="s">
        <v>15</v>
      </c>
      <c r="B62" s="9" t="s">
        <v>20</v>
      </c>
      <c r="C62" s="10" t="s">
        <v>21</v>
      </c>
      <c r="D62" s="9" t="s">
        <v>13</v>
      </c>
      <c r="E62" s="9" t="s">
        <v>14</v>
      </c>
      <c r="F62" s="10">
        <v>37</v>
      </c>
      <c r="G62" s="18">
        <v>44207</v>
      </c>
      <c r="H62" s="14">
        <f t="shared" si="3"/>
        <v>2021</v>
      </c>
      <c r="I62" s="12">
        <f>89.95*50978</f>
        <v>4585471.1000000006</v>
      </c>
      <c r="J62" s="10">
        <v>1199</v>
      </c>
      <c r="K62" s="18">
        <v>44316</v>
      </c>
      <c r="L62" s="14">
        <f t="shared" si="2"/>
        <v>2021</v>
      </c>
      <c r="M62" s="12">
        <v>4640700</v>
      </c>
    </row>
    <row r="63" spans="1:13" ht="15.75" customHeight="1" x14ac:dyDescent="0.25">
      <c r="A63" s="9" t="s">
        <v>15</v>
      </c>
      <c r="B63" s="9" t="s">
        <v>20</v>
      </c>
      <c r="C63" s="10" t="s">
        <v>21</v>
      </c>
      <c r="D63" s="9" t="s">
        <v>22</v>
      </c>
      <c r="E63" s="9" t="s">
        <v>47</v>
      </c>
      <c r="F63" s="10">
        <v>58</v>
      </c>
      <c r="G63" s="18">
        <v>44207</v>
      </c>
      <c r="H63" s="14">
        <f t="shared" si="3"/>
        <v>2021</v>
      </c>
      <c r="I63" s="12">
        <f>4180.05*50978</f>
        <v>213090588.90000001</v>
      </c>
      <c r="J63" s="10">
        <v>964</v>
      </c>
      <c r="K63" s="18">
        <v>44294</v>
      </c>
      <c r="L63" s="14">
        <f t="shared" si="2"/>
        <v>2021</v>
      </c>
      <c r="M63" s="12">
        <v>215657135</v>
      </c>
    </row>
    <row r="64" spans="1:13" ht="15.75" customHeight="1" x14ac:dyDescent="0.25">
      <c r="A64" s="9" t="s">
        <v>15</v>
      </c>
      <c r="B64" s="9" t="s">
        <v>20</v>
      </c>
      <c r="C64" s="10" t="s">
        <v>21</v>
      </c>
      <c r="D64" s="9" t="s">
        <v>22</v>
      </c>
      <c r="E64" s="9" t="s">
        <v>47</v>
      </c>
      <c r="F64" s="10">
        <v>59</v>
      </c>
      <c r="G64" s="18">
        <v>44207</v>
      </c>
      <c r="H64" s="14">
        <f t="shared" si="3"/>
        <v>2021</v>
      </c>
      <c r="I64" s="12">
        <f>4592.35*50978</f>
        <v>234108818.30000001</v>
      </c>
      <c r="J64" s="10">
        <v>963</v>
      </c>
      <c r="K64" s="18">
        <v>44294</v>
      </c>
      <c r="L64" s="14">
        <f t="shared" si="2"/>
        <v>2021</v>
      </c>
      <c r="M64" s="12">
        <v>236928502</v>
      </c>
    </row>
    <row r="65" spans="1:13" ht="15.75" customHeight="1" x14ac:dyDescent="0.25">
      <c r="A65" s="9" t="s">
        <v>15</v>
      </c>
      <c r="B65" s="9" t="s">
        <v>20</v>
      </c>
      <c r="C65" s="10" t="s">
        <v>21</v>
      </c>
      <c r="D65" s="9" t="s">
        <v>22</v>
      </c>
      <c r="E65" s="9" t="s">
        <v>47</v>
      </c>
      <c r="F65" s="10">
        <v>60</v>
      </c>
      <c r="G65" s="18">
        <v>44207</v>
      </c>
      <c r="H65" s="14">
        <f t="shared" si="3"/>
        <v>2021</v>
      </c>
      <c r="I65" s="12">
        <f>1487.15*50978</f>
        <v>75811932.700000003</v>
      </c>
      <c r="J65" s="10">
        <v>969</v>
      </c>
      <c r="K65" s="18">
        <v>44294</v>
      </c>
      <c r="L65" s="14">
        <f t="shared" si="2"/>
        <v>2021</v>
      </c>
      <c r="M65" s="12">
        <v>76725035</v>
      </c>
    </row>
    <row r="66" spans="1:13" ht="15.75" customHeight="1" x14ac:dyDescent="0.25">
      <c r="A66" s="9" t="s">
        <v>15</v>
      </c>
      <c r="B66" s="9" t="s">
        <v>20</v>
      </c>
      <c r="C66" s="10" t="s">
        <v>21</v>
      </c>
      <c r="D66" s="9" t="s">
        <v>22</v>
      </c>
      <c r="E66" s="9" t="s">
        <v>14</v>
      </c>
      <c r="F66" s="10">
        <v>66</v>
      </c>
      <c r="G66" s="18">
        <v>44207</v>
      </c>
      <c r="H66" s="14">
        <f t="shared" si="3"/>
        <v>2021</v>
      </c>
      <c r="I66" s="12">
        <f>190.4*50978</f>
        <v>9706211.2000000011</v>
      </c>
      <c r="J66" s="10">
        <v>1200</v>
      </c>
      <c r="K66" s="18">
        <v>44316</v>
      </c>
      <c r="L66" s="14">
        <f t="shared" si="2"/>
        <v>2021</v>
      </c>
      <c r="M66" s="12">
        <v>9823116</v>
      </c>
    </row>
    <row r="67" spans="1:13" ht="15.75" customHeight="1" x14ac:dyDescent="0.25">
      <c r="A67" s="9" t="s">
        <v>15</v>
      </c>
      <c r="B67" s="9" t="s">
        <v>20</v>
      </c>
      <c r="C67" s="10" t="s">
        <v>21</v>
      </c>
      <c r="D67" s="9" t="s">
        <v>13</v>
      </c>
      <c r="E67" s="9" t="s">
        <v>14</v>
      </c>
      <c r="F67" s="10">
        <v>67</v>
      </c>
      <c r="G67" s="18">
        <v>44207</v>
      </c>
      <c r="H67" s="14">
        <f t="shared" si="3"/>
        <v>2021</v>
      </c>
      <c r="I67" s="12">
        <f>21.35*50978</f>
        <v>1088380.3</v>
      </c>
      <c r="J67" s="10">
        <v>1198</v>
      </c>
      <c r="K67" s="18">
        <v>44314</v>
      </c>
      <c r="L67" s="14">
        <f t="shared" si="2"/>
        <v>2021</v>
      </c>
      <c r="M67" s="12">
        <v>1101489</v>
      </c>
    </row>
    <row r="68" spans="1:13" ht="15.75" customHeight="1" x14ac:dyDescent="0.25">
      <c r="A68" s="9" t="s">
        <v>15</v>
      </c>
      <c r="B68" s="9" t="s">
        <v>20</v>
      </c>
      <c r="C68" s="10" t="s">
        <v>39</v>
      </c>
      <c r="D68" s="9" t="s">
        <v>40</v>
      </c>
      <c r="E68" s="9" t="s">
        <v>74</v>
      </c>
      <c r="F68" s="10">
        <v>301</v>
      </c>
      <c r="G68" s="18">
        <v>44432</v>
      </c>
      <c r="H68" s="14">
        <f t="shared" si="3"/>
        <v>2021</v>
      </c>
      <c r="I68" s="12">
        <v>422925</v>
      </c>
      <c r="J68" s="10">
        <v>3081</v>
      </c>
      <c r="K68" s="18">
        <v>44526</v>
      </c>
      <c r="L68" s="14">
        <f t="shared" si="2"/>
        <v>2021</v>
      </c>
      <c r="M68" s="12">
        <v>422925</v>
      </c>
    </row>
    <row r="69" spans="1:13" ht="15.75" customHeight="1" x14ac:dyDescent="0.25">
      <c r="A69" s="9" t="s">
        <v>15</v>
      </c>
      <c r="B69" s="9" t="s">
        <v>20</v>
      </c>
      <c r="C69" s="10" t="s">
        <v>39</v>
      </c>
      <c r="D69" s="9" t="s">
        <v>40</v>
      </c>
      <c r="E69" s="9" t="s">
        <v>74</v>
      </c>
      <c r="F69" s="10">
        <v>304</v>
      </c>
      <c r="G69" s="18">
        <v>44432</v>
      </c>
      <c r="H69" s="14">
        <f t="shared" si="3"/>
        <v>2021</v>
      </c>
      <c r="I69" s="12">
        <v>422925</v>
      </c>
      <c r="J69" s="10">
        <v>3080</v>
      </c>
      <c r="K69" s="18">
        <v>44526</v>
      </c>
      <c r="L69" s="14">
        <f t="shared" si="2"/>
        <v>2021</v>
      </c>
      <c r="M69" s="12">
        <v>422925</v>
      </c>
    </row>
    <row r="70" spans="1:13" ht="15.75" customHeight="1" x14ac:dyDescent="0.25">
      <c r="A70" s="9" t="s">
        <v>10</v>
      </c>
      <c r="B70" s="9" t="s">
        <v>20</v>
      </c>
      <c r="C70" s="10" t="s">
        <v>12</v>
      </c>
      <c r="D70" s="9" t="s">
        <v>40</v>
      </c>
      <c r="E70" s="9" t="s">
        <v>74</v>
      </c>
      <c r="F70" s="10">
        <v>305</v>
      </c>
      <c r="G70" s="18">
        <v>44432</v>
      </c>
      <c r="H70" s="14">
        <f t="shared" si="3"/>
        <v>2021</v>
      </c>
      <c r="I70" s="12">
        <v>725760</v>
      </c>
      <c r="J70" s="10">
        <v>3079</v>
      </c>
      <c r="K70" s="18">
        <v>44526</v>
      </c>
      <c r="L70" s="14">
        <f t="shared" ref="L70:L133" si="4">YEAR(K70)</f>
        <v>2021</v>
      </c>
      <c r="M70" s="12">
        <v>725760</v>
      </c>
    </row>
    <row r="71" spans="1:13" ht="15.75" customHeight="1" x14ac:dyDescent="0.25">
      <c r="A71" s="9" t="s">
        <v>15</v>
      </c>
      <c r="B71" s="9" t="s">
        <v>20</v>
      </c>
      <c r="C71" s="10" t="s">
        <v>12</v>
      </c>
      <c r="D71" s="9" t="s">
        <v>37</v>
      </c>
      <c r="E71" s="9" t="s">
        <v>74</v>
      </c>
      <c r="F71" s="10">
        <v>173</v>
      </c>
      <c r="G71" s="18">
        <v>44427</v>
      </c>
      <c r="H71" s="14">
        <f t="shared" ref="H71:H134" si="5">YEAR(G71)</f>
        <v>2021</v>
      </c>
      <c r="I71" s="12">
        <v>422925</v>
      </c>
      <c r="J71" s="10">
        <v>3082</v>
      </c>
      <c r="K71" s="18">
        <v>44526</v>
      </c>
      <c r="L71" s="14">
        <f t="shared" si="4"/>
        <v>2021</v>
      </c>
      <c r="M71" s="12">
        <v>422925</v>
      </c>
    </row>
    <row r="72" spans="1:13" ht="15.75" customHeight="1" x14ac:dyDescent="0.25">
      <c r="A72" s="9" t="s">
        <v>10</v>
      </c>
      <c r="B72" s="9" t="s">
        <v>20</v>
      </c>
      <c r="C72" s="10" t="s">
        <v>12</v>
      </c>
      <c r="D72" s="9" t="s">
        <v>37</v>
      </c>
      <c r="E72" s="9" t="s">
        <v>74</v>
      </c>
      <c r="F72" s="10">
        <v>174</v>
      </c>
      <c r="G72" s="18">
        <v>44427</v>
      </c>
      <c r="H72" s="14">
        <f t="shared" si="5"/>
        <v>2021</v>
      </c>
      <c r="I72" s="12">
        <v>527351</v>
      </c>
      <c r="J72" s="10">
        <v>3083</v>
      </c>
      <c r="K72" s="18">
        <v>44526</v>
      </c>
      <c r="L72" s="14">
        <f t="shared" si="4"/>
        <v>2021</v>
      </c>
      <c r="M72" s="12">
        <v>527351</v>
      </c>
    </row>
    <row r="73" spans="1:13" ht="15.75" customHeight="1" x14ac:dyDescent="0.25">
      <c r="A73" s="9" t="s">
        <v>59</v>
      </c>
      <c r="B73" s="9" t="s">
        <v>42</v>
      </c>
      <c r="C73" s="10" t="s">
        <v>21</v>
      </c>
      <c r="D73" s="9" t="s">
        <v>22</v>
      </c>
      <c r="E73" s="9" t="s">
        <v>19</v>
      </c>
      <c r="F73" s="10">
        <v>3562</v>
      </c>
      <c r="G73" s="18">
        <v>43830</v>
      </c>
      <c r="H73" s="14">
        <f t="shared" si="5"/>
        <v>2019</v>
      </c>
      <c r="I73" s="12">
        <v>62229</v>
      </c>
      <c r="J73" s="10">
        <v>304</v>
      </c>
      <c r="K73" s="18">
        <v>44225</v>
      </c>
      <c r="L73" s="14">
        <f t="shared" si="4"/>
        <v>2021</v>
      </c>
      <c r="M73" s="12">
        <v>62229</v>
      </c>
    </row>
    <row r="74" spans="1:13" ht="15.75" customHeight="1" x14ac:dyDescent="0.25">
      <c r="A74" s="9" t="s">
        <v>10</v>
      </c>
      <c r="B74" s="9" t="s">
        <v>42</v>
      </c>
      <c r="C74" s="10" t="s">
        <v>21</v>
      </c>
      <c r="D74" s="9" t="s">
        <v>22</v>
      </c>
      <c r="E74" s="9" t="s">
        <v>19</v>
      </c>
      <c r="F74" s="10">
        <v>3594</v>
      </c>
      <c r="G74" s="18">
        <v>43830</v>
      </c>
      <c r="H74" s="14">
        <f t="shared" si="5"/>
        <v>2019</v>
      </c>
      <c r="I74" s="12">
        <v>100804</v>
      </c>
      <c r="J74" s="10">
        <v>303</v>
      </c>
      <c r="K74" s="18">
        <v>44225</v>
      </c>
      <c r="L74" s="14">
        <f t="shared" si="4"/>
        <v>2021</v>
      </c>
      <c r="M74" s="12">
        <v>100804</v>
      </c>
    </row>
    <row r="75" spans="1:13" ht="15.75" customHeight="1" x14ac:dyDescent="0.25">
      <c r="A75" s="9" t="s">
        <v>15</v>
      </c>
      <c r="B75" s="9" t="s">
        <v>42</v>
      </c>
      <c r="C75" s="10" t="s">
        <v>21</v>
      </c>
      <c r="D75" s="9" t="s">
        <v>22</v>
      </c>
      <c r="E75" s="9" t="s">
        <v>23</v>
      </c>
      <c r="F75" s="10">
        <v>2795</v>
      </c>
      <c r="G75" s="18">
        <v>44165</v>
      </c>
      <c r="H75" s="14">
        <f t="shared" si="5"/>
        <v>2020</v>
      </c>
      <c r="I75" s="12">
        <v>5947168</v>
      </c>
      <c r="J75" s="10">
        <v>888</v>
      </c>
      <c r="K75" s="18">
        <v>44286</v>
      </c>
      <c r="L75" s="14">
        <f t="shared" si="4"/>
        <v>2021</v>
      </c>
      <c r="M75" s="12">
        <v>5947168</v>
      </c>
    </row>
    <row r="76" spans="1:13" ht="15.75" customHeight="1" x14ac:dyDescent="0.25">
      <c r="A76" s="9" t="s">
        <v>15</v>
      </c>
      <c r="B76" s="9" t="s">
        <v>42</v>
      </c>
      <c r="C76" s="10" t="s">
        <v>21</v>
      </c>
      <c r="D76" s="9" t="s">
        <v>75</v>
      </c>
      <c r="E76" s="9" t="s">
        <v>23</v>
      </c>
      <c r="F76" s="10">
        <v>2783</v>
      </c>
      <c r="G76" s="18">
        <v>44165</v>
      </c>
      <c r="H76" s="14">
        <f t="shared" si="5"/>
        <v>2020</v>
      </c>
      <c r="I76" s="12">
        <v>1551755</v>
      </c>
      <c r="J76" s="10">
        <v>1477</v>
      </c>
      <c r="K76" s="18">
        <v>44341</v>
      </c>
      <c r="L76" s="14">
        <f t="shared" si="4"/>
        <v>2021</v>
      </c>
      <c r="M76" s="12">
        <v>1551755</v>
      </c>
    </row>
    <row r="77" spans="1:13" ht="15.75" customHeight="1" x14ac:dyDescent="0.25">
      <c r="A77" s="9" t="s">
        <v>15</v>
      </c>
      <c r="B77" s="9" t="s">
        <v>42</v>
      </c>
      <c r="C77" s="10" t="s">
        <v>21</v>
      </c>
      <c r="D77" s="9" t="s">
        <v>22</v>
      </c>
      <c r="E77" s="9" t="s">
        <v>73</v>
      </c>
      <c r="F77" s="10">
        <v>254</v>
      </c>
      <c r="G77" s="18">
        <v>44215</v>
      </c>
      <c r="H77" s="14">
        <f t="shared" si="5"/>
        <v>2021</v>
      </c>
      <c r="I77" s="12">
        <v>4601790</v>
      </c>
      <c r="J77" s="10">
        <v>510</v>
      </c>
      <c r="K77" s="18">
        <v>44246</v>
      </c>
      <c r="L77" s="14">
        <f t="shared" si="4"/>
        <v>2021</v>
      </c>
      <c r="M77" s="12">
        <v>4601790</v>
      </c>
    </row>
    <row r="78" spans="1:13" ht="15.75" customHeight="1" x14ac:dyDescent="0.25">
      <c r="A78" s="9" t="s">
        <v>15</v>
      </c>
      <c r="B78" s="9" t="s">
        <v>42</v>
      </c>
      <c r="C78" s="10" t="s">
        <v>21</v>
      </c>
      <c r="D78" s="9" t="s">
        <v>75</v>
      </c>
      <c r="E78" s="9" t="s">
        <v>19</v>
      </c>
      <c r="F78" s="10">
        <v>337</v>
      </c>
      <c r="G78" s="18">
        <v>44231</v>
      </c>
      <c r="H78" s="14">
        <f t="shared" si="5"/>
        <v>2021</v>
      </c>
      <c r="I78" s="12">
        <v>3404893</v>
      </c>
      <c r="J78" s="10">
        <v>1476</v>
      </c>
      <c r="K78" s="18">
        <v>44341</v>
      </c>
      <c r="L78" s="14">
        <f t="shared" si="4"/>
        <v>2021</v>
      </c>
      <c r="M78" s="12">
        <v>3306957</v>
      </c>
    </row>
    <row r="79" spans="1:13" ht="15.75" customHeight="1" x14ac:dyDescent="0.25">
      <c r="A79" s="9" t="s">
        <v>15</v>
      </c>
      <c r="B79" s="9" t="s">
        <v>42</v>
      </c>
      <c r="C79" s="10" t="s">
        <v>21</v>
      </c>
      <c r="D79" s="9" t="s">
        <v>22</v>
      </c>
      <c r="E79" s="9" t="s">
        <v>14</v>
      </c>
      <c r="F79" s="10">
        <v>25</v>
      </c>
      <c r="G79" s="18">
        <v>44207</v>
      </c>
      <c r="H79" s="14">
        <f t="shared" si="5"/>
        <v>2021</v>
      </c>
      <c r="I79" s="12">
        <f>173.6*50978</f>
        <v>8849780.7999999989</v>
      </c>
      <c r="J79" s="10">
        <v>3287</v>
      </c>
      <c r="K79" s="18">
        <v>44546</v>
      </c>
      <c r="L79" s="14">
        <f t="shared" si="4"/>
        <v>2021</v>
      </c>
      <c r="M79" s="12">
        <v>9404090</v>
      </c>
    </row>
    <row r="80" spans="1:13" ht="15.75" customHeight="1" x14ac:dyDescent="0.25">
      <c r="A80" s="9" t="s">
        <v>59</v>
      </c>
      <c r="B80" s="9" t="s">
        <v>42</v>
      </c>
      <c r="C80" s="10" t="s">
        <v>21</v>
      </c>
      <c r="D80" s="9" t="s">
        <v>22</v>
      </c>
      <c r="E80" s="9" t="s">
        <v>65</v>
      </c>
      <c r="F80" s="10">
        <v>1895</v>
      </c>
      <c r="G80" s="18">
        <v>44371</v>
      </c>
      <c r="H80" s="14">
        <f t="shared" si="5"/>
        <v>2021</v>
      </c>
      <c r="I80" s="12">
        <v>780750</v>
      </c>
      <c r="J80" s="10">
        <v>2956</v>
      </c>
      <c r="K80" s="18">
        <v>44515</v>
      </c>
      <c r="L80" s="14">
        <f t="shared" si="4"/>
        <v>2021</v>
      </c>
      <c r="M80" s="12">
        <v>0</v>
      </c>
    </row>
    <row r="81" spans="1:13" ht="15.75" customHeight="1" x14ac:dyDescent="0.25">
      <c r="A81" s="9" t="s">
        <v>10</v>
      </c>
      <c r="B81" s="9" t="s">
        <v>42</v>
      </c>
      <c r="C81" s="10" t="s">
        <v>21</v>
      </c>
      <c r="D81" s="9" t="s">
        <v>22</v>
      </c>
      <c r="E81" s="9" t="s">
        <v>65</v>
      </c>
      <c r="F81" s="10">
        <v>1894</v>
      </c>
      <c r="G81" s="18">
        <v>44371</v>
      </c>
      <c r="H81" s="14">
        <f t="shared" si="5"/>
        <v>2021</v>
      </c>
      <c r="I81" s="12">
        <v>256685</v>
      </c>
      <c r="J81" s="10">
        <v>2954</v>
      </c>
      <c r="K81" s="18">
        <v>44515</v>
      </c>
      <c r="L81" s="14">
        <f t="shared" si="4"/>
        <v>2021</v>
      </c>
      <c r="M81" s="12">
        <v>256685</v>
      </c>
    </row>
    <row r="82" spans="1:13" ht="15.75" customHeight="1" x14ac:dyDescent="0.25">
      <c r="A82" s="9" t="s">
        <v>59</v>
      </c>
      <c r="B82" s="9" t="s">
        <v>42</v>
      </c>
      <c r="C82" s="10" t="s">
        <v>21</v>
      </c>
      <c r="D82" s="9" t="s">
        <v>22</v>
      </c>
      <c r="E82" s="9" t="s">
        <v>65</v>
      </c>
      <c r="F82" s="10">
        <v>1893</v>
      </c>
      <c r="G82" s="18">
        <v>44371</v>
      </c>
      <c r="H82" s="14">
        <f t="shared" si="5"/>
        <v>2021</v>
      </c>
      <c r="I82" s="12">
        <v>395722</v>
      </c>
      <c r="J82" s="10">
        <v>2955</v>
      </c>
      <c r="K82" s="18">
        <v>44515</v>
      </c>
      <c r="L82" s="14">
        <f t="shared" si="4"/>
        <v>2021</v>
      </c>
      <c r="M82" s="12">
        <v>395722</v>
      </c>
    </row>
    <row r="83" spans="1:13" ht="15.75" customHeight="1" x14ac:dyDescent="0.25">
      <c r="A83" s="9" t="s">
        <v>15</v>
      </c>
      <c r="B83" s="9" t="s">
        <v>42</v>
      </c>
      <c r="C83" s="10" t="s">
        <v>21</v>
      </c>
      <c r="D83" s="9" t="s">
        <v>22</v>
      </c>
      <c r="E83" s="9" t="s">
        <v>14</v>
      </c>
      <c r="F83" s="10">
        <v>3199</v>
      </c>
      <c r="G83" s="18">
        <v>44195</v>
      </c>
      <c r="H83" s="14">
        <f t="shared" si="5"/>
        <v>2020</v>
      </c>
      <c r="I83" s="12">
        <f>58.45*51029</f>
        <v>2982645.0500000003</v>
      </c>
      <c r="J83" s="10">
        <v>2266</v>
      </c>
      <c r="K83" s="18">
        <v>44440</v>
      </c>
      <c r="L83" s="14">
        <f t="shared" si="4"/>
        <v>2021</v>
      </c>
      <c r="M83" s="12">
        <v>2741183</v>
      </c>
    </row>
    <row r="84" spans="1:13" ht="15.75" customHeight="1" x14ac:dyDescent="0.25">
      <c r="A84" s="9" t="s">
        <v>15</v>
      </c>
      <c r="B84" s="9" t="s">
        <v>16</v>
      </c>
      <c r="C84" s="10" t="s">
        <v>17</v>
      </c>
      <c r="D84" s="9" t="s">
        <v>18</v>
      </c>
      <c r="E84" s="9" t="s">
        <v>14</v>
      </c>
      <c r="F84" s="10">
        <v>1139</v>
      </c>
      <c r="G84" s="18">
        <v>43923</v>
      </c>
      <c r="H84" s="14">
        <f t="shared" si="5"/>
        <v>2020</v>
      </c>
      <c r="I84" s="12">
        <f>672.35*50221</f>
        <v>33766089.350000001</v>
      </c>
      <c r="J84" s="10">
        <v>2952</v>
      </c>
      <c r="K84" s="18">
        <v>44515</v>
      </c>
      <c r="L84" s="14">
        <f t="shared" si="4"/>
        <v>2021</v>
      </c>
      <c r="M84" s="12">
        <f>672.35*53476</f>
        <v>35954588.600000001</v>
      </c>
    </row>
    <row r="85" spans="1:13" ht="15.75" customHeight="1" x14ac:dyDescent="0.25">
      <c r="A85" s="9" t="s">
        <v>15</v>
      </c>
      <c r="B85" s="9" t="s">
        <v>16</v>
      </c>
      <c r="C85" s="10" t="s">
        <v>17</v>
      </c>
      <c r="D85" s="9" t="s">
        <v>18</v>
      </c>
      <c r="E85" s="9" t="s">
        <v>47</v>
      </c>
      <c r="F85" s="10">
        <v>1140</v>
      </c>
      <c r="G85" s="18">
        <v>43923</v>
      </c>
      <c r="H85" s="14">
        <f t="shared" si="5"/>
        <v>2020</v>
      </c>
      <c r="I85" s="12">
        <f>669.2*50221</f>
        <v>33607893.200000003</v>
      </c>
      <c r="J85" s="10">
        <v>2804</v>
      </c>
      <c r="K85" s="18">
        <v>44491</v>
      </c>
      <c r="L85" s="14">
        <f t="shared" si="4"/>
        <v>2021</v>
      </c>
      <c r="M85" s="12">
        <v>33623371</v>
      </c>
    </row>
    <row r="86" spans="1:13" ht="15.75" customHeight="1" x14ac:dyDescent="0.25">
      <c r="A86" s="9" t="s">
        <v>15</v>
      </c>
      <c r="B86" s="9" t="s">
        <v>16</v>
      </c>
      <c r="C86" s="10" t="s">
        <v>17</v>
      </c>
      <c r="D86" s="9" t="s">
        <v>18</v>
      </c>
      <c r="E86" s="9" t="s">
        <v>23</v>
      </c>
      <c r="F86" s="10">
        <v>2155</v>
      </c>
      <c r="G86" s="18">
        <v>44068</v>
      </c>
      <c r="H86" s="14">
        <f t="shared" si="5"/>
        <v>2020</v>
      </c>
      <c r="I86" s="12">
        <v>100270113</v>
      </c>
      <c r="J86" s="10">
        <v>1759</v>
      </c>
      <c r="K86" s="18">
        <v>44361</v>
      </c>
      <c r="L86" s="14">
        <f t="shared" si="4"/>
        <v>2021</v>
      </c>
      <c r="M86" s="12">
        <v>83460005</v>
      </c>
    </row>
    <row r="87" spans="1:13" ht="15.75" customHeight="1" x14ac:dyDescent="0.25">
      <c r="A87" s="9" t="s">
        <v>57</v>
      </c>
      <c r="B87" s="9" t="s">
        <v>16</v>
      </c>
      <c r="C87" s="10" t="s">
        <v>17</v>
      </c>
      <c r="D87" s="9" t="s">
        <v>18</v>
      </c>
      <c r="E87" s="9" t="s">
        <v>58</v>
      </c>
      <c r="F87" s="10">
        <v>2988</v>
      </c>
      <c r="G87" s="18">
        <v>44182</v>
      </c>
      <c r="H87" s="14">
        <f t="shared" si="5"/>
        <v>2020</v>
      </c>
      <c r="I87" s="12">
        <v>8379835</v>
      </c>
      <c r="J87" s="10">
        <v>651</v>
      </c>
      <c r="K87" s="18">
        <v>44264</v>
      </c>
      <c r="L87" s="14">
        <f t="shared" si="4"/>
        <v>2021</v>
      </c>
      <c r="M87" s="12">
        <v>8379835</v>
      </c>
    </row>
    <row r="88" spans="1:13" ht="15.75" customHeight="1" x14ac:dyDescent="0.25">
      <c r="A88" s="9" t="s">
        <v>57</v>
      </c>
      <c r="B88" s="9" t="s">
        <v>16</v>
      </c>
      <c r="C88" s="10" t="s">
        <v>17</v>
      </c>
      <c r="D88" s="9" t="s">
        <v>18</v>
      </c>
      <c r="E88" s="9" t="s">
        <v>58</v>
      </c>
      <c r="F88" s="10">
        <v>3219</v>
      </c>
      <c r="G88" s="18">
        <v>44195</v>
      </c>
      <c r="H88" s="14">
        <f t="shared" si="5"/>
        <v>2020</v>
      </c>
      <c r="I88" s="12">
        <v>7839201</v>
      </c>
      <c r="J88" s="10">
        <v>850</v>
      </c>
      <c r="K88" s="18">
        <v>44284</v>
      </c>
      <c r="L88" s="14">
        <f t="shared" si="4"/>
        <v>2021</v>
      </c>
      <c r="M88" s="12">
        <v>7298566</v>
      </c>
    </row>
    <row r="89" spans="1:13" ht="15.75" customHeight="1" x14ac:dyDescent="0.25">
      <c r="A89" s="9" t="s">
        <v>15</v>
      </c>
      <c r="B89" s="9" t="s">
        <v>16</v>
      </c>
      <c r="C89" s="10" t="s">
        <v>17</v>
      </c>
      <c r="D89" s="9" t="s">
        <v>18</v>
      </c>
      <c r="E89" s="9" t="s">
        <v>19</v>
      </c>
      <c r="F89" s="10">
        <v>340</v>
      </c>
      <c r="G89" s="18">
        <v>44231</v>
      </c>
      <c r="H89" s="14">
        <f t="shared" si="5"/>
        <v>2021</v>
      </c>
      <c r="I89" s="12">
        <v>2390166</v>
      </c>
      <c r="J89" s="10">
        <v>745</v>
      </c>
      <c r="K89" s="18">
        <v>44274</v>
      </c>
      <c r="L89" s="14">
        <f t="shared" si="4"/>
        <v>2021</v>
      </c>
      <c r="M89" s="12">
        <v>2390166</v>
      </c>
    </row>
    <row r="90" spans="1:13" ht="15.75" customHeight="1" x14ac:dyDescent="0.25">
      <c r="A90" s="9" t="s">
        <v>10</v>
      </c>
      <c r="B90" s="9" t="s">
        <v>27</v>
      </c>
      <c r="C90" s="10" t="s">
        <v>17</v>
      </c>
      <c r="D90" s="9" t="s">
        <v>34</v>
      </c>
      <c r="E90" s="9" t="s">
        <v>65</v>
      </c>
      <c r="F90" s="10">
        <v>1657</v>
      </c>
      <c r="G90" s="18">
        <v>44354</v>
      </c>
      <c r="H90" s="14">
        <f t="shared" si="5"/>
        <v>2021</v>
      </c>
      <c r="I90" s="12">
        <v>179663</v>
      </c>
      <c r="J90" s="10">
        <v>2619</v>
      </c>
      <c r="K90" s="18">
        <v>44477</v>
      </c>
      <c r="L90" s="14">
        <f t="shared" si="4"/>
        <v>2021</v>
      </c>
      <c r="M90" s="12">
        <v>179663</v>
      </c>
    </row>
    <row r="91" spans="1:13" ht="15.75" customHeight="1" x14ac:dyDescent="0.25">
      <c r="A91" s="9" t="s">
        <v>15</v>
      </c>
      <c r="B91" s="9" t="s">
        <v>27</v>
      </c>
      <c r="C91" s="10" t="s">
        <v>17</v>
      </c>
      <c r="D91" s="9" t="s">
        <v>18</v>
      </c>
      <c r="E91" s="9" t="s">
        <v>14</v>
      </c>
      <c r="F91" s="10">
        <v>759</v>
      </c>
      <c r="G91" s="18">
        <v>43893</v>
      </c>
      <c r="H91" s="14">
        <f t="shared" si="5"/>
        <v>2020</v>
      </c>
      <c r="I91" s="12">
        <f>2358*50021</f>
        <v>117949518</v>
      </c>
      <c r="J91" s="10">
        <v>2620</v>
      </c>
      <c r="K91" s="18">
        <v>44477</v>
      </c>
      <c r="L91" s="14">
        <f t="shared" si="4"/>
        <v>2021</v>
      </c>
      <c r="M91" s="12">
        <f>2241.4*52842</f>
        <v>118440058.80000001</v>
      </c>
    </row>
    <row r="92" spans="1:13" ht="15.75" customHeight="1" x14ac:dyDescent="0.25">
      <c r="A92" s="9" t="s">
        <v>15</v>
      </c>
      <c r="B92" s="9" t="s">
        <v>27</v>
      </c>
      <c r="C92" s="10" t="s">
        <v>17</v>
      </c>
      <c r="D92" s="9" t="s">
        <v>13</v>
      </c>
      <c r="E92" s="9" t="s">
        <v>14</v>
      </c>
      <c r="F92" s="10">
        <v>755</v>
      </c>
      <c r="G92" s="18">
        <v>43893</v>
      </c>
      <c r="H92" s="14">
        <f t="shared" si="5"/>
        <v>2020</v>
      </c>
      <c r="I92" s="12">
        <f>1481.9*50021</f>
        <v>74126119.900000006</v>
      </c>
      <c r="J92" s="10">
        <v>2374</v>
      </c>
      <c r="K92" s="18">
        <v>44390</v>
      </c>
      <c r="L92" s="14">
        <f t="shared" si="4"/>
        <v>2021</v>
      </c>
      <c r="M92" s="12">
        <v>73463566</v>
      </c>
    </row>
    <row r="93" spans="1:13" ht="15.75" customHeight="1" x14ac:dyDescent="0.25">
      <c r="A93" s="9" t="s">
        <v>15</v>
      </c>
      <c r="B93" s="9" t="s">
        <v>27</v>
      </c>
      <c r="C93" s="10" t="s">
        <v>17</v>
      </c>
      <c r="D93" s="9" t="s">
        <v>28</v>
      </c>
      <c r="E93" s="9" t="s">
        <v>47</v>
      </c>
      <c r="F93" s="10">
        <v>1143</v>
      </c>
      <c r="G93" s="18">
        <v>43923</v>
      </c>
      <c r="H93" s="14">
        <f t="shared" si="5"/>
        <v>2020</v>
      </c>
      <c r="I93" s="12">
        <f>152.95*50221</f>
        <v>7681301.9499999993</v>
      </c>
      <c r="J93" s="10">
        <v>2375</v>
      </c>
      <c r="K93" s="18">
        <v>44379</v>
      </c>
      <c r="L93" s="14">
        <f t="shared" si="4"/>
        <v>2021</v>
      </c>
      <c r="M93" s="12">
        <f>142.45*52161</f>
        <v>7430334.4499999993</v>
      </c>
    </row>
    <row r="94" spans="1:13" ht="15.75" customHeight="1" x14ac:dyDescent="0.25">
      <c r="A94" s="9" t="s">
        <v>15</v>
      </c>
      <c r="B94" s="9" t="s">
        <v>27</v>
      </c>
      <c r="C94" s="10" t="s">
        <v>17</v>
      </c>
      <c r="D94" s="9" t="s">
        <v>13</v>
      </c>
      <c r="E94" s="9" t="s">
        <v>14</v>
      </c>
      <c r="F94" s="10">
        <v>1146</v>
      </c>
      <c r="G94" s="18">
        <v>43923</v>
      </c>
      <c r="H94" s="14">
        <f t="shared" si="5"/>
        <v>2020</v>
      </c>
      <c r="I94" s="12">
        <f>774.2*50221</f>
        <v>38881098.200000003</v>
      </c>
      <c r="J94" s="10">
        <v>2047</v>
      </c>
      <c r="K94" s="18">
        <v>44383</v>
      </c>
      <c r="L94" s="14">
        <f t="shared" si="4"/>
        <v>2021</v>
      </c>
      <c r="M94" s="12">
        <v>36238860</v>
      </c>
    </row>
    <row r="95" spans="1:13" ht="15.75" customHeight="1" x14ac:dyDescent="0.25">
      <c r="A95" s="9" t="s">
        <v>15</v>
      </c>
      <c r="B95" s="9" t="s">
        <v>27</v>
      </c>
      <c r="C95" s="10" t="s">
        <v>17</v>
      </c>
      <c r="D95" s="9" t="s">
        <v>13</v>
      </c>
      <c r="E95" s="9" t="s">
        <v>14</v>
      </c>
      <c r="F95" s="10">
        <v>1147</v>
      </c>
      <c r="G95" s="18">
        <v>43923</v>
      </c>
      <c r="H95" s="14">
        <f t="shared" si="5"/>
        <v>2020</v>
      </c>
      <c r="I95" s="12">
        <f>110.25*50221</f>
        <v>5536865.25</v>
      </c>
      <c r="J95" s="10">
        <v>617</v>
      </c>
      <c r="K95" s="18">
        <v>44259</v>
      </c>
      <c r="L95" s="14">
        <f t="shared" si="4"/>
        <v>2021</v>
      </c>
      <c r="M95" s="12">
        <f>110*51489</f>
        <v>5663790</v>
      </c>
    </row>
    <row r="96" spans="1:13" ht="15.75" customHeight="1" x14ac:dyDescent="0.25">
      <c r="A96" s="9" t="s">
        <v>15</v>
      </c>
      <c r="B96" s="9" t="s">
        <v>27</v>
      </c>
      <c r="C96" s="10" t="s">
        <v>17</v>
      </c>
      <c r="D96" s="9" t="s">
        <v>28</v>
      </c>
      <c r="E96" s="9" t="s">
        <v>14</v>
      </c>
      <c r="F96" s="10">
        <v>1150</v>
      </c>
      <c r="G96" s="18">
        <v>43923</v>
      </c>
      <c r="H96" s="14">
        <f t="shared" si="5"/>
        <v>2020</v>
      </c>
      <c r="I96" s="12">
        <f>94.5*50221</f>
        <v>4745884.5</v>
      </c>
      <c r="J96" s="10">
        <v>655</v>
      </c>
      <c r="K96" s="18">
        <v>44264</v>
      </c>
      <c r="L96" s="14">
        <f t="shared" si="4"/>
        <v>2021</v>
      </c>
      <c r="M96" s="12">
        <f>89*51489</f>
        <v>4582521</v>
      </c>
    </row>
    <row r="97" spans="1:13" ht="15.75" customHeight="1" x14ac:dyDescent="0.25">
      <c r="A97" s="9" t="s">
        <v>15</v>
      </c>
      <c r="B97" s="9" t="s">
        <v>27</v>
      </c>
      <c r="C97" s="10" t="s">
        <v>17</v>
      </c>
      <c r="D97" s="9" t="s">
        <v>18</v>
      </c>
      <c r="E97" s="9" t="s">
        <v>14</v>
      </c>
      <c r="F97" s="10">
        <v>1151</v>
      </c>
      <c r="G97" s="18">
        <v>43923</v>
      </c>
      <c r="H97" s="14">
        <f t="shared" si="5"/>
        <v>2020</v>
      </c>
      <c r="I97" s="12">
        <f>74.2*50221</f>
        <v>3726398.2</v>
      </c>
      <c r="J97" s="10">
        <v>656</v>
      </c>
      <c r="K97" s="18">
        <v>44264</v>
      </c>
      <c r="L97" s="14">
        <f t="shared" si="4"/>
        <v>2021</v>
      </c>
      <c r="M97" s="12">
        <f>74*51489</f>
        <v>3810186</v>
      </c>
    </row>
    <row r="98" spans="1:13" ht="15.75" customHeight="1" x14ac:dyDescent="0.25">
      <c r="A98" s="9" t="s">
        <v>15</v>
      </c>
      <c r="B98" s="9" t="s">
        <v>27</v>
      </c>
      <c r="C98" s="10" t="s">
        <v>17</v>
      </c>
      <c r="D98" s="9" t="s">
        <v>13</v>
      </c>
      <c r="E98" s="9" t="s">
        <v>47</v>
      </c>
      <c r="F98" s="10">
        <v>1152</v>
      </c>
      <c r="G98" s="18">
        <v>43923</v>
      </c>
      <c r="H98" s="14">
        <f t="shared" si="5"/>
        <v>2020</v>
      </c>
      <c r="I98" s="12">
        <f>783.65*50221</f>
        <v>39355686.649999999</v>
      </c>
      <c r="J98" s="10">
        <v>2376</v>
      </c>
      <c r="K98" s="18">
        <v>44390</v>
      </c>
      <c r="L98" s="14">
        <f t="shared" si="4"/>
        <v>2021</v>
      </c>
      <c r="M98" s="12">
        <v>32952711</v>
      </c>
    </row>
    <row r="99" spans="1:13" ht="15.75" customHeight="1" x14ac:dyDescent="0.25">
      <c r="A99" s="9" t="s">
        <v>15</v>
      </c>
      <c r="B99" s="9" t="s">
        <v>27</v>
      </c>
      <c r="C99" s="10" t="s">
        <v>17</v>
      </c>
      <c r="D99" s="9" t="s">
        <v>34</v>
      </c>
      <c r="E99" s="9" t="s">
        <v>47</v>
      </c>
      <c r="F99" s="10">
        <v>1155</v>
      </c>
      <c r="G99" s="18">
        <v>43923</v>
      </c>
      <c r="H99" s="14">
        <f t="shared" si="5"/>
        <v>2020</v>
      </c>
      <c r="I99" s="12">
        <f>147.7*50221</f>
        <v>7417641.6999999993</v>
      </c>
      <c r="J99" s="10">
        <v>1223</v>
      </c>
      <c r="K99" s="18">
        <v>44315</v>
      </c>
      <c r="L99" s="14">
        <f t="shared" si="4"/>
        <v>2021</v>
      </c>
      <c r="M99" s="12">
        <f>136.85*51592</f>
        <v>7060365.1999999993</v>
      </c>
    </row>
    <row r="100" spans="1:13" ht="15.75" customHeight="1" x14ac:dyDescent="0.25">
      <c r="A100" s="9" t="s">
        <v>15</v>
      </c>
      <c r="B100" s="9" t="s">
        <v>27</v>
      </c>
      <c r="C100" s="10" t="s">
        <v>17</v>
      </c>
      <c r="D100" s="9" t="s">
        <v>34</v>
      </c>
      <c r="E100" s="9" t="s">
        <v>14</v>
      </c>
      <c r="F100" s="10">
        <v>1159</v>
      </c>
      <c r="G100" s="18">
        <v>43923</v>
      </c>
      <c r="H100" s="14">
        <f t="shared" si="5"/>
        <v>2020</v>
      </c>
      <c r="I100" s="12">
        <f>173.25*50221</f>
        <v>8700788.25</v>
      </c>
      <c r="J100" s="10">
        <v>1344</v>
      </c>
      <c r="K100" s="18">
        <v>44326</v>
      </c>
      <c r="L100" s="14">
        <f t="shared" si="4"/>
        <v>2021</v>
      </c>
      <c r="M100" s="12">
        <f>157.5*                 51798</f>
        <v>8158185</v>
      </c>
    </row>
    <row r="101" spans="1:13" ht="15.75" customHeight="1" x14ac:dyDescent="0.25">
      <c r="A101" s="9" t="s">
        <v>15</v>
      </c>
      <c r="B101" s="9" t="s">
        <v>27</v>
      </c>
      <c r="C101" s="10" t="s">
        <v>17</v>
      </c>
      <c r="D101" s="9" t="s">
        <v>28</v>
      </c>
      <c r="E101" s="9" t="s">
        <v>19</v>
      </c>
      <c r="F101" s="10">
        <v>2096</v>
      </c>
      <c r="G101" s="18">
        <v>44057</v>
      </c>
      <c r="H101" s="14">
        <f t="shared" si="5"/>
        <v>2020</v>
      </c>
      <c r="I101" s="12">
        <v>54534593</v>
      </c>
      <c r="J101" s="10">
        <v>1773</v>
      </c>
      <c r="K101" s="18">
        <v>44361</v>
      </c>
      <c r="L101" s="14">
        <f t="shared" si="4"/>
        <v>2021</v>
      </c>
      <c r="M101" s="12">
        <v>54534593</v>
      </c>
    </row>
    <row r="102" spans="1:13" ht="15.75" customHeight="1" x14ac:dyDescent="0.25">
      <c r="A102" s="9" t="s">
        <v>15</v>
      </c>
      <c r="B102" s="9" t="s">
        <v>27</v>
      </c>
      <c r="C102" s="10" t="s">
        <v>17</v>
      </c>
      <c r="D102" s="9" t="s">
        <v>34</v>
      </c>
      <c r="E102" s="9" t="s">
        <v>19</v>
      </c>
      <c r="F102" s="10">
        <v>2087</v>
      </c>
      <c r="G102" s="18">
        <v>44057</v>
      </c>
      <c r="H102" s="14">
        <f t="shared" si="5"/>
        <v>2020</v>
      </c>
      <c r="I102" s="12">
        <v>8865965</v>
      </c>
      <c r="J102" s="10">
        <v>1850</v>
      </c>
      <c r="K102" s="18">
        <v>44365</v>
      </c>
      <c r="L102" s="14">
        <f t="shared" si="4"/>
        <v>2021</v>
      </c>
      <c r="M102" s="12">
        <v>8865965</v>
      </c>
    </row>
    <row r="103" spans="1:13" ht="15.75" customHeight="1" x14ac:dyDescent="0.25">
      <c r="A103" s="9" t="s">
        <v>10</v>
      </c>
      <c r="B103" s="9" t="s">
        <v>27</v>
      </c>
      <c r="C103" s="10" t="s">
        <v>17</v>
      </c>
      <c r="D103" s="9" t="s">
        <v>34</v>
      </c>
      <c r="E103" s="9" t="s">
        <v>19</v>
      </c>
      <c r="F103" s="10">
        <v>2089</v>
      </c>
      <c r="G103" s="18">
        <v>44057</v>
      </c>
      <c r="H103" s="14">
        <f t="shared" si="5"/>
        <v>2020</v>
      </c>
      <c r="I103" s="12">
        <v>2211957</v>
      </c>
      <c r="J103" s="10">
        <v>1849</v>
      </c>
      <c r="K103" s="18">
        <v>44365</v>
      </c>
      <c r="L103" s="14">
        <f t="shared" si="4"/>
        <v>2021</v>
      </c>
      <c r="M103" s="12">
        <v>2211957</v>
      </c>
    </row>
    <row r="104" spans="1:13" ht="15.75" customHeight="1" x14ac:dyDescent="0.25">
      <c r="A104" s="9" t="s">
        <v>15</v>
      </c>
      <c r="B104" s="9" t="s">
        <v>27</v>
      </c>
      <c r="C104" s="10" t="s">
        <v>17</v>
      </c>
      <c r="D104" s="9" t="s">
        <v>18</v>
      </c>
      <c r="E104" s="9" t="s">
        <v>19</v>
      </c>
      <c r="F104" s="10">
        <v>2090</v>
      </c>
      <c r="G104" s="18">
        <v>44057</v>
      </c>
      <c r="H104" s="14">
        <f t="shared" si="5"/>
        <v>2020</v>
      </c>
      <c r="I104" s="12">
        <v>30712035</v>
      </c>
      <c r="J104" s="10">
        <v>1848</v>
      </c>
      <c r="K104" s="18">
        <v>44365</v>
      </c>
      <c r="L104" s="14">
        <f t="shared" si="4"/>
        <v>2021</v>
      </c>
      <c r="M104" s="12">
        <v>30712035</v>
      </c>
    </row>
    <row r="105" spans="1:13" ht="15.75" customHeight="1" x14ac:dyDescent="0.25">
      <c r="A105" s="9" t="s">
        <v>10</v>
      </c>
      <c r="B105" s="9" t="s">
        <v>27</v>
      </c>
      <c r="C105" s="10" t="s">
        <v>17</v>
      </c>
      <c r="D105" s="9" t="s">
        <v>18</v>
      </c>
      <c r="E105" s="9" t="s">
        <v>19</v>
      </c>
      <c r="F105" s="10">
        <v>2091</v>
      </c>
      <c r="G105" s="18">
        <v>44057</v>
      </c>
      <c r="H105" s="14">
        <f t="shared" si="5"/>
        <v>2020</v>
      </c>
      <c r="I105" s="12">
        <v>66379</v>
      </c>
      <c r="J105" s="10">
        <v>1847</v>
      </c>
      <c r="K105" s="18">
        <v>44365</v>
      </c>
      <c r="L105" s="14">
        <f t="shared" si="4"/>
        <v>2021</v>
      </c>
      <c r="M105" s="12">
        <v>66379</v>
      </c>
    </row>
    <row r="106" spans="1:13" ht="15.75" customHeight="1" x14ac:dyDescent="0.25">
      <c r="A106" s="9" t="s">
        <v>59</v>
      </c>
      <c r="B106" s="9" t="s">
        <v>27</v>
      </c>
      <c r="C106" s="10" t="s">
        <v>17</v>
      </c>
      <c r="D106" s="9" t="s">
        <v>13</v>
      </c>
      <c r="E106" s="9" t="s">
        <v>19</v>
      </c>
      <c r="F106" s="10">
        <v>2092</v>
      </c>
      <c r="G106" s="18">
        <v>44057</v>
      </c>
      <c r="H106" s="14">
        <f t="shared" si="5"/>
        <v>2020</v>
      </c>
      <c r="I106" s="12">
        <v>452546</v>
      </c>
      <c r="J106" s="10">
        <v>1846</v>
      </c>
      <c r="K106" s="18">
        <v>44365</v>
      </c>
      <c r="L106" s="14">
        <f t="shared" si="4"/>
        <v>2021</v>
      </c>
      <c r="M106" s="12">
        <v>333712</v>
      </c>
    </row>
    <row r="107" spans="1:13" ht="15.75" customHeight="1" x14ac:dyDescent="0.25">
      <c r="A107" s="9" t="s">
        <v>15</v>
      </c>
      <c r="B107" s="9" t="s">
        <v>27</v>
      </c>
      <c r="C107" s="10" t="s">
        <v>17</v>
      </c>
      <c r="D107" s="9" t="s">
        <v>13</v>
      </c>
      <c r="E107" s="9" t="s">
        <v>19</v>
      </c>
      <c r="F107" s="10">
        <v>2094</v>
      </c>
      <c r="G107" s="18">
        <v>44057</v>
      </c>
      <c r="H107" s="14">
        <f t="shared" si="5"/>
        <v>2020</v>
      </c>
      <c r="I107" s="12">
        <v>28542232</v>
      </c>
      <c r="J107" s="10">
        <v>1845</v>
      </c>
      <c r="K107" s="18">
        <v>44365</v>
      </c>
      <c r="L107" s="14">
        <f t="shared" si="4"/>
        <v>2021</v>
      </c>
      <c r="M107" s="12">
        <v>28542232</v>
      </c>
    </row>
    <row r="108" spans="1:13" ht="15.75" customHeight="1" x14ac:dyDescent="0.25">
      <c r="A108" s="9" t="s">
        <v>15</v>
      </c>
      <c r="B108" s="9" t="s">
        <v>27</v>
      </c>
      <c r="C108" s="10" t="s">
        <v>17</v>
      </c>
      <c r="D108" s="9" t="s">
        <v>18</v>
      </c>
      <c r="E108" s="9" t="s">
        <v>23</v>
      </c>
      <c r="F108" s="10">
        <v>2779</v>
      </c>
      <c r="G108" s="18">
        <v>44165</v>
      </c>
      <c r="H108" s="14">
        <f t="shared" si="5"/>
        <v>2020</v>
      </c>
      <c r="I108" s="12">
        <v>639292</v>
      </c>
      <c r="J108" s="10">
        <v>2711</v>
      </c>
      <c r="K108" s="18">
        <v>44482</v>
      </c>
      <c r="L108" s="14">
        <f t="shared" si="4"/>
        <v>2021</v>
      </c>
      <c r="M108" s="12">
        <v>639292</v>
      </c>
    </row>
    <row r="109" spans="1:13" ht="15.75" customHeight="1" x14ac:dyDescent="0.25">
      <c r="A109" s="9" t="s">
        <v>57</v>
      </c>
      <c r="B109" s="9" t="s">
        <v>27</v>
      </c>
      <c r="C109" s="10" t="s">
        <v>17</v>
      </c>
      <c r="D109" s="9" t="s">
        <v>34</v>
      </c>
      <c r="E109" s="9" t="s">
        <v>58</v>
      </c>
      <c r="F109" s="10">
        <v>2999</v>
      </c>
      <c r="G109" s="18">
        <v>44182</v>
      </c>
      <c r="H109" s="14">
        <f t="shared" si="5"/>
        <v>2020</v>
      </c>
      <c r="I109" s="12">
        <v>11512967</v>
      </c>
      <c r="J109" s="10">
        <v>2294</v>
      </c>
      <c r="K109" s="18">
        <v>44435</v>
      </c>
      <c r="L109" s="14">
        <f t="shared" si="4"/>
        <v>2021</v>
      </c>
      <c r="M109" s="12">
        <v>11512967</v>
      </c>
    </row>
    <row r="110" spans="1:13" ht="15.75" customHeight="1" x14ac:dyDescent="0.25">
      <c r="A110" s="9" t="s">
        <v>57</v>
      </c>
      <c r="B110" s="9" t="s">
        <v>27</v>
      </c>
      <c r="C110" s="10" t="s">
        <v>17</v>
      </c>
      <c r="D110" s="9" t="s">
        <v>18</v>
      </c>
      <c r="E110" s="9" t="s">
        <v>58</v>
      </c>
      <c r="F110" s="10">
        <v>2996</v>
      </c>
      <c r="G110" s="18">
        <v>44182</v>
      </c>
      <c r="H110" s="14">
        <f t="shared" si="5"/>
        <v>2020</v>
      </c>
      <c r="I110" s="12">
        <v>6298441</v>
      </c>
      <c r="J110" s="10">
        <v>2066</v>
      </c>
      <c r="K110" s="18">
        <v>44386</v>
      </c>
      <c r="L110" s="14">
        <f t="shared" si="4"/>
        <v>2021</v>
      </c>
      <c r="M110" s="12">
        <v>6298441</v>
      </c>
    </row>
    <row r="111" spans="1:13" ht="15.75" customHeight="1" x14ac:dyDescent="0.25">
      <c r="A111" s="9" t="s">
        <v>57</v>
      </c>
      <c r="B111" s="9" t="s">
        <v>27</v>
      </c>
      <c r="C111" s="10" t="s">
        <v>17</v>
      </c>
      <c r="D111" s="9" t="s">
        <v>28</v>
      </c>
      <c r="E111" s="9" t="s">
        <v>58</v>
      </c>
      <c r="F111" s="10">
        <v>2997</v>
      </c>
      <c r="G111" s="18">
        <v>44182</v>
      </c>
      <c r="H111" s="14">
        <f t="shared" si="5"/>
        <v>2020</v>
      </c>
      <c r="I111" s="12">
        <v>9517883</v>
      </c>
      <c r="J111" s="10">
        <v>1540</v>
      </c>
      <c r="K111" s="18">
        <v>44347</v>
      </c>
      <c r="L111" s="14">
        <f t="shared" si="4"/>
        <v>2021</v>
      </c>
      <c r="M111" s="12">
        <v>9517883</v>
      </c>
    </row>
    <row r="112" spans="1:13" ht="15.75" customHeight="1" x14ac:dyDescent="0.25">
      <c r="A112" s="9" t="s">
        <v>57</v>
      </c>
      <c r="B112" s="9" t="s">
        <v>27</v>
      </c>
      <c r="C112" s="10" t="s">
        <v>17</v>
      </c>
      <c r="D112" s="9" t="s">
        <v>13</v>
      </c>
      <c r="E112" s="9" t="s">
        <v>58</v>
      </c>
      <c r="F112" s="10">
        <v>2998</v>
      </c>
      <c r="G112" s="18">
        <v>44182</v>
      </c>
      <c r="H112" s="14">
        <f t="shared" si="5"/>
        <v>2020</v>
      </c>
      <c r="I112" s="12">
        <v>17948007</v>
      </c>
      <c r="J112" s="10">
        <v>1539</v>
      </c>
      <c r="K112" s="18">
        <v>44347</v>
      </c>
      <c r="L112" s="14">
        <f t="shared" si="4"/>
        <v>2021</v>
      </c>
      <c r="M112" s="12">
        <v>17948007</v>
      </c>
    </row>
    <row r="113" spans="1:13" ht="15.75" customHeight="1" x14ac:dyDescent="0.25">
      <c r="A113" s="9" t="s">
        <v>57</v>
      </c>
      <c r="B113" s="9" t="s">
        <v>27</v>
      </c>
      <c r="C113" s="10" t="s">
        <v>17</v>
      </c>
      <c r="D113" s="9" t="s">
        <v>34</v>
      </c>
      <c r="E113" s="9" t="s">
        <v>58</v>
      </c>
      <c r="F113" s="10">
        <v>3216</v>
      </c>
      <c r="G113" s="18">
        <v>44195</v>
      </c>
      <c r="H113" s="14">
        <f t="shared" si="5"/>
        <v>2020</v>
      </c>
      <c r="I113" s="12">
        <v>2432855</v>
      </c>
      <c r="J113" s="10">
        <v>907</v>
      </c>
      <c r="K113" s="18">
        <v>44286</v>
      </c>
      <c r="L113" s="14">
        <f t="shared" si="4"/>
        <v>2021</v>
      </c>
      <c r="M113" s="12">
        <v>2432855</v>
      </c>
    </row>
    <row r="114" spans="1:13" ht="15.75" customHeight="1" x14ac:dyDescent="0.25">
      <c r="A114" s="9" t="s">
        <v>57</v>
      </c>
      <c r="B114" s="9" t="s">
        <v>27</v>
      </c>
      <c r="C114" s="10" t="s">
        <v>17</v>
      </c>
      <c r="D114" s="9" t="s">
        <v>13</v>
      </c>
      <c r="E114" s="9" t="s">
        <v>58</v>
      </c>
      <c r="F114" s="10">
        <v>3215</v>
      </c>
      <c r="G114" s="18">
        <v>44195</v>
      </c>
      <c r="H114" s="14">
        <f t="shared" si="5"/>
        <v>2020</v>
      </c>
      <c r="I114" s="12">
        <v>2741183</v>
      </c>
      <c r="J114" s="10">
        <v>2293</v>
      </c>
      <c r="K114" s="18">
        <v>44435</v>
      </c>
      <c r="L114" s="14">
        <f t="shared" si="4"/>
        <v>2021</v>
      </c>
      <c r="M114" s="12">
        <v>2741183</v>
      </c>
    </row>
    <row r="115" spans="1:13" ht="15.75" customHeight="1" x14ac:dyDescent="0.25">
      <c r="A115" s="9" t="s">
        <v>57</v>
      </c>
      <c r="B115" s="9" t="s">
        <v>27</v>
      </c>
      <c r="C115" s="10" t="s">
        <v>17</v>
      </c>
      <c r="D115" s="9" t="s">
        <v>28</v>
      </c>
      <c r="E115" s="9" t="s">
        <v>58</v>
      </c>
      <c r="F115" s="10">
        <v>3211</v>
      </c>
      <c r="G115" s="18">
        <v>44195</v>
      </c>
      <c r="H115" s="14">
        <f t="shared" si="5"/>
        <v>2020</v>
      </c>
      <c r="I115" s="12">
        <v>1892221</v>
      </c>
      <c r="J115" s="10">
        <v>744</v>
      </c>
      <c r="K115" s="18">
        <v>44274</v>
      </c>
      <c r="L115" s="14">
        <f t="shared" si="4"/>
        <v>2021</v>
      </c>
      <c r="M115" s="12">
        <v>1892221</v>
      </c>
    </row>
    <row r="116" spans="1:13" ht="15.75" customHeight="1" x14ac:dyDescent="0.25">
      <c r="A116" s="9" t="s">
        <v>57</v>
      </c>
      <c r="B116" s="9" t="s">
        <v>27</v>
      </c>
      <c r="C116" s="10" t="s">
        <v>17</v>
      </c>
      <c r="D116" s="9" t="s">
        <v>18</v>
      </c>
      <c r="E116" s="9" t="s">
        <v>58</v>
      </c>
      <c r="F116" s="10">
        <v>3218</v>
      </c>
      <c r="G116" s="18">
        <v>44195</v>
      </c>
      <c r="H116" s="14">
        <f t="shared" si="5"/>
        <v>2020</v>
      </c>
      <c r="I116" s="12">
        <v>4438728</v>
      </c>
      <c r="J116" s="10">
        <v>2807</v>
      </c>
      <c r="K116" s="18">
        <v>44491</v>
      </c>
      <c r="L116" s="14">
        <f t="shared" si="4"/>
        <v>2021</v>
      </c>
      <c r="M116" s="12">
        <v>4438728</v>
      </c>
    </row>
    <row r="117" spans="1:13" ht="15.75" customHeight="1" x14ac:dyDescent="0.25">
      <c r="A117" s="9" t="s">
        <v>15</v>
      </c>
      <c r="B117" s="9" t="s">
        <v>27</v>
      </c>
      <c r="C117" s="10" t="s">
        <v>17</v>
      </c>
      <c r="D117" s="9" t="s">
        <v>18</v>
      </c>
      <c r="E117" s="9" t="s">
        <v>19</v>
      </c>
      <c r="F117" s="10">
        <v>339</v>
      </c>
      <c r="G117" s="18">
        <v>44231</v>
      </c>
      <c r="H117" s="14">
        <f t="shared" si="5"/>
        <v>2021</v>
      </c>
      <c r="I117" s="12">
        <v>192089</v>
      </c>
      <c r="J117" s="10">
        <v>3323</v>
      </c>
      <c r="K117" s="18">
        <v>44551</v>
      </c>
      <c r="L117" s="14">
        <f t="shared" si="4"/>
        <v>2021</v>
      </c>
      <c r="M117" s="12">
        <v>0</v>
      </c>
    </row>
    <row r="118" spans="1:13" ht="15.75" customHeight="1" x14ac:dyDescent="0.25">
      <c r="A118" s="9" t="s">
        <v>15</v>
      </c>
      <c r="B118" s="9" t="s">
        <v>27</v>
      </c>
      <c r="C118" s="10" t="s">
        <v>17</v>
      </c>
      <c r="D118" s="9" t="s">
        <v>28</v>
      </c>
      <c r="E118" s="9" t="s">
        <v>47</v>
      </c>
      <c r="F118" s="10">
        <v>1659</v>
      </c>
      <c r="G118" s="18">
        <v>44354</v>
      </c>
      <c r="H118" s="14">
        <f t="shared" si="5"/>
        <v>2021</v>
      </c>
      <c r="I118" s="12">
        <f>156.8*52005</f>
        <v>8154384.0000000009</v>
      </c>
      <c r="J118" s="10">
        <v>1989</v>
      </c>
      <c r="K118" s="18">
        <v>44379</v>
      </c>
      <c r="L118" s="14">
        <f t="shared" si="4"/>
        <v>2021</v>
      </c>
      <c r="M118" s="12">
        <v>8154387</v>
      </c>
    </row>
    <row r="119" spans="1:13" ht="15.75" customHeight="1" x14ac:dyDescent="0.25">
      <c r="A119" s="9" t="s">
        <v>15</v>
      </c>
      <c r="B119" s="9" t="s">
        <v>27</v>
      </c>
      <c r="C119" s="10" t="s">
        <v>17</v>
      </c>
      <c r="D119" s="9" t="s">
        <v>34</v>
      </c>
      <c r="E119" s="9" t="s">
        <v>47</v>
      </c>
      <c r="F119" s="10">
        <v>1661</v>
      </c>
      <c r="G119" s="18">
        <v>44354</v>
      </c>
      <c r="H119" s="14">
        <f t="shared" si="5"/>
        <v>2021</v>
      </c>
      <c r="I119" s="12">
        <f>0.7*52005</f>
        <v>36403.5</v>
      </c>
      <c r="J119" s="10">
        <v>1990</v>
      </c>
      <c r="K119" s="18">
        <v>44379</v>
      </c>
      <c r="L119" s="14">
        <f t="shared" si="4"/>
        <v>2021</v>
      </c>
      <c r="M119" s="12">
        <v>36404</v>
      </c>
    </row>
    <row r="120" spans="1:13" ht="15.75" customHeight="1" x14ac:dyDescent="0.25">
      <c r="A120" s="9" t="s">
        <v>59</v>
      </c>
      <c r="B120" s="9" t="s">
        <v>27</v>
      </c>
      <c r="C120" s="10" t="s">
        <v>17</v>
      </c>
      <c r="D120" s="9" t="s">
        <v>18</v>
      </c>
      <c r="E120" s="9" t="s">
        <v>65</v>
      </c>
      <c r="F120" s="10">
        <v>1770</v>
      </c>
      <c r="G120" s="18">
        <v>44361</v>
      </c>
      <c r="H120" s="14">
        <f t="shared" si="5"/>
        <v>2021</v>
      </c>
      <c r="I120" s="12">
        <v>166915</v>
      </c>
      <c r="J120" s="10">
        <v>2044</v>
      </c>
      <c r="K120" s="18">
        <v>44383</v>
      </c>
      <c r="L120" s="14">
        <f t="shared" si="4"/>
        <v>2021</v>
      </c>
      <c r="M120" s="12">
        <v>166915</v>
      </c>
    </row>
    <row r="121" spans="1:13" ht="15.75" customHeight="1" x14ac:dyDescent="0.25">
      <c r="A121" s="9" t="s">
        <v>59</v>
      </c>
      <c r="B121" s="9" t="s">
        <v>27</v>
      </c>
      <c r="C121" s="10" t="s">
        <v>17</v>
      </c>
      <c r="D121" s="9" t="s">
        <v>28</v>
      </c>
      <c r="E121" s="9" t="s">
        <v>65</v>
      </c>
      <c r="F121" s="10">
        <v>1871</v>
      </c>
      <c r="G121" s="18">
        <v>44371</v>
      </c>
      <c r="H121" s="14">
        <f t="shared" si="5"/>
        <v>2021</v>
      </c>
      <c r="I121" s="12">
        <v>179663</v>
      </c>
      <c r="J121" s="10">
        <v>2805</v>
      </c>
      <c r="K121" s="18">
        <v>44491</v>
      </c>
      <c r="L121" s="14">
        <f t="shared" si="4"/>
        <v>2021</v>
      </c>
      <c r="M121" s="12">
        <v>0</v>
      </c>
    </row>
    <row r="122" spans="1:13" ht="15.75" customHeight="1" x14ac:dyDescent="0.25">
      <c r="A122" s="9" t="s">
        <v>15</v>
      </c>
      <c r="B122" s="9" t="s">
        <v>32</v>
      </c>
      <c r="C122" s="10" t="s">
        <v>21</v>
      </c>
      <c r="D122" s="9" t="s">
        <v>13</v>
      </c>
      <c r="E122" s="9" t="s">
        <v>14</v>
      </c>
      <c r="F122" s="10">
        <v>2981</v>
      </c>
      <c r="G122" s="18">
        <v>44182</v>
      </c>
      <c r="H122" s="14">
        <f t="shared" si="5"/>
        <v>2020</v>
      </c>
      <c r="I122" s="12">
        <f>614.95*51029</f>
        <v>31380283.550000001</v>
      </c>
      <c r="J122" s="10">
        <v>2268</v>
      </c>
      <c r="K122" s="18">
        <v>44435</v>
      </c>
      <c r="L122" s="14">
        <f t="shared" si="4"/>
        <v>2021</v>
      </c>
      <c r="M122" s="12">
        <v>30189559</v>
      </c>
    </row>
    <row r="123" spans="1:13" ht="15.75" customHeight="1" x14ac:dyDescent="0.25">
      <c r="A123" s="9" t="s">
        <v>15</v>
      </c>
      <c r="B123" s="9" t="s">
        <v>32</v>
      </c>
      <c r="C123" s="10" t="s">
        <v>21</v>
      </c>
      <c r="D123" s="9" t="s">
        <v>41</v>
      </c>
      <c r="E123" s="9" t="s">
        <v>14</v>
      </c>
      <c r="F123" s="10">
        <v>2982</v>
      </c>
      <c r="G123" s="18">
        <v>44182</v>
      </c>
      <c r="H123" s="14">
        <f t="shared" si="5"/>
        <v>2020</v>
      </c>
      <c r="I123" s="12">
        <f>3252.2*51029</f>
        <v>165956513.79999998</v>
      </c>
      <c r="J123" s="10">
        <v>3344</v>
      </c>
      <c r="K123" s="18">
        <v>44551</v>
      </c>
      <c r="L123" s="14">
        <f t="shared" si="4"/>
        <v>2021</v>
      </c>
      <c r="M123" s="12">
        <f>2996.7*54171</f>
        <v>162334235.69999999</v>
      </c>
    </row>
    <row r="124" spans="1:13" ht="15.75" customHeight="1" x14ac:dyDescent="0.25">
      <c r="A124" s="9" t="s">
        <v>59</v>
      </c>
      <c r="B124" s="9" t="s">
        <v>32</v>
      </c>
      <c r="C124" s="10" t="s">
        <v>39</v>
      </c>
      <c r="D124" s="9" t="s">
        <v>40</v>
      </c>
      <c r="E124" s="9" t="s">
        <v>47</v>
      </c>
      <c r="F124" s="10">
        <v>248</v>
      </c>
      <c r="G124" s="18">
        <v>43605</v>
      </c>
      <c r="H124" s="14">
        <f t="shared" si="5"/>
        <v>2019</v>
      </c>
      <c r="I124" s="12">
        <v>4367234</v>
      </c>
      <c r="J124" s="10">
        <v>1307</v>
      </c>
      <c r="K124" s="18">
        <v>44322</v>
      </c>
      <c r="L124" s="14">
        <f t="shared" si="4"/>
        <v>2021</v>
      </c>
      <c r="M124" s="12">
        <v>4254494</v>
      </c>
    </row>
    <row r="125" spans="1:13" ht="15.75" customHeight="1" x14ac:dyDescent="0.25">
      <c r="A125" s="9" t="s">
        <v>59</v>
      </c>
      <c r="B125" s="9" t="s">
        <v>32</v>
      </c>
      <c r="C125" s="10" t="s">
        <v>39</v>
      </c>
      <c r="D125" s="9" t="s">
        <v>40</v>
      </c>
      <c r="E125" s="9" t="s">
        <v>47</v>
      </c>
      <c r="F125" s="10">
        <v>249</v>
      </c>
      <c r="G125" s="18">
        <v>43605</v>
      </c>
      <c r="H125" s="14">
        <f t="shared" si="5"/>
        <v>2019</v>
      </c>
      <c r="I125" s="12">
        <v>1788301</v>
      </c>
      <c r="J125" s="10">
        <v>1308</v>
      </c>
      <c r="K125" s="18">
        <v>44322</v>
      </c>
      <c r="L125" s="14">
        <f t="shared" si="4"/>
        <v>2021</v>
      </c>
      <c r="M125" s="12">
        <v>925251</v>
      </c>
    </row>
    <row r="126" spans="1:13" ht="15.75" customHeight="1" x14ac:dyDescent="0.25">
      <c r="A126" s="9" t="s">
        <v>10</v>
      </c>
      <c r="B126" s="9" t="s">
        <v>32</v>
      </c>
      <c r="C126" s="10" t="s">
        <v>39</v>
      </c>
      <c r="D126" s="9" t="s">
        <v>40</v>
      </c>
      <c r="E126" s="9" t="s">
        <v>47</v>
      </c>
      <c r="F126" s="10">
        <v>549</v>
      </c>
      <c r="G126" s="18">
        <v>43794</v>
      </c>
      <c r="H126" s="14">
        <f t="shared" si="5"/>
        <v>2019</v>
      </c>
      <c r="I126" s="12">
        <v>13439027</v>
      </c>
      <c r="J126" s="10">
        <v>3243</v>
      </c>
      <c r="K126" s="18">
        <v>44540</v>
      </c>
      <c r="L126" s="14">
        <f t="shared" si="4"/>
        <v>2021</v>
      </c>
      <c r="M126" s="12">
        <v>12409650</v>
      </c>
    </row>
    <row r="127" spans="1:13" ht="15.75" customHeight="1" x14ac:dyDescent="0.25">
      <c r="A127" s="9" t="s">
        <v>10</v>
      </c>
      <c r="B127" s="9" t="s">
        <v>32</v>
      </c>
      <c r="C127" s="10" t="s">
        <v>39</v>
      </c>
      <c r="D127" s="9" t="s">
        <v>40</v>
      </c>
      <c r="E127" s="9" t="s">
        <v>47</v>
      </c>
      <c r="F127" s="10">
        <v>550</v>
      </c>
      <c r="G127" s="18">
        <v>43794</v>
      </c>
      <c r="H127" s="14">
        <f t="shared" si="5"/>
        <v>2019</v>
      </c>
      <c r="I127" s="12">
        <v>16585744</v>
      </c>
      <c r="J127" s="10">
        <v>3141</v>
      </c>
      <c r="K127" s="18">
        <v>44536</v>
      </c>
      <c r="L127" s="14">
        <f t="shared" si="4"/>
        <v>2021</v>
      </c>
      <c r="M127" s="12">
        <v>15587379</v>
      </c>
    </row>
    <row r="128" spans="1:13" ht="15.75" customHeight="1" x14ac:dyDescent="0.25">
      <c r="A128" s="9" t="s">
        <v>10</v>
      </c>
      <c r="B128" s="9" t="s">
        <v>32</v>
      </c>
      <c r="C128" s="10" t="s">
        <v>39</v>
      </c>
      <c r="D128" s="9" t="s">
        <v>40</v>
      </c>
      <c r="E128" s="9" t="s">
        <v>47</v>
      </c>
      <c r="F128" s="10">
        <v>551</v>
      </c>
      <c r="G128" s="18">
        <v>43794</v>
      </c>
      <c r="H128" s="14">
        <f t="shared" si="5"/>
        <v>2019</v>
      </c>
      <c r="I128" s="12">
        <v>11639215</v>
      </c>
      <c r="J128" s="10">
        <v>3040</v>
      </c>
      <c r="K128" s="18">
        <v>44523</v>
      </c>
      <c r="L128" s="14">
        <f t="shared" si="4"/>
        <v>2021</v>
      </c>
      <c r="M128" s="12">
        <v>8911435</v>
      </c>
    </row>
    <row r="129" spans="1:13" ht="15.75" customHeight="1" x14ac:dyDescent="0.25">
      <c r="A129" s="9" t="s">
        <v>10</v>
      </c>
      <c r="B129" s="9" t="s">
        <v>32</v>
      </c>
      <c r="C129" s="10" t="s">
        <v>39</v>
      </c>
      <c r="D129" s="9" t="s">
        <v>40</v>
      </c>
      <c r="E129" s="9" t="s">
        <v>14</v>
      </c>
      <c r="F129" s="10">
        <v>355</v>
      </c>
      <c r="G129" s="18">
        <v>43677</v>
      </c>
      <c r="H129" s="14">
        <f t="shared" si="5"/>
        <v>2019</v>
      </c>
      <c r="I129" s="12">
        <v>3205288</v>
      </c>
      <c r="J129" s="10">
        <v>2369</v>
      </c>
      <c r="K129" s="18">
        <v>44448</v>
      </c>
      <c r="L129" s="14">
        <f t="shared" si="4"/>
        <v>2021</v>
      </c>
      <c r="M129" s="12">
        <v>2635033</v>
      </c>
    </row>
    <row r="130" spans="1:13" ht="15.75" customHeight="1" x14ac:dyDescent="0.25">
      <c r="A130" s="9" t="s">
        <v>59</v>
      </c>
      <c r="B130" s="9" t="s">
        <v>32</v>
      </c>
      <c r="C130" s="10" t="s">
        <v>39</v>
      </c>
      <c r="D130" s="9" t="s">
        <v>40</v>
      </c>
      <c r="E130" s="9" t="s">
        <v>65</v>
      </c>
      <c r="F130" s="10">
        <v>445</v>
      </c>
      <c r="G130" s="18">
        <v>43734</v>
      </c>
      <c r="H130" s="14">
        <f t="shared" si="5"/>
        <v>2019</v>
      </c>
      <c r="I130" s="12">
        <v>1117498</v>
      </c>
      <c r="J130" s="10">
        <v>2022</v>
      </c>
      <c r="K130" s="18">
        <v>44382</v>
      </c>
      <c r="L130" s="14">
        <f t="shared" si="4"/>
        <v>2021</v>
      </c>
      <c r="M130" s="12">
        <v>280606</v>
      </c>
    </row>
    <row r="131" spans="1:13" ht="15.75" customHeight="1" x14ac:dyDescent="0.25">
      <c r="A131" s="9" t="s">
        <v>10</v>
      </c>
      <c r="B131" s="9" t="s">
        <v>32</v>
      </c>
      <c r="C131" s="10" t="s">
        <v>39</v>
      </c>
      <c r="D131" s="9" t="s">
        <v>40</v>
      </c>
      <c r="E131" s="9" t="s">
        <v>65</v>
      </c>
      <c r="F131" s="10">
        <v>414</v>
      </c>
      <c r="G131" s="18">
        <v>43712</v>
      </c>
      <c r="H131" s="14">
        <f t="shared" si="5"/>
        <v>2019</v>
      </c>
      <c r="I131" s="12">
        <v>1095620</v>
      </c>
      <c r="J131" s="10">
        <v>2021</v>
      </c>
      <c r="K131" s="18">
        <v>44382</v>
      </c>
      <c r="L131" s="14">
        <f t="shared" si="4"/>
        <v>2021</v>
      </c>
      <c r="M131" s="12">
        <v>260394</v>
      </c>
    </row>
    <row r="132" spans="1:13" ht="15.75" customHeight="1" x14ac:dyDescent="0.25">
      <c r="A132" s="9" t="s">
        <v>15</v>
      </c>
      <c r="B132" s="9" t="s">
        <v>32</v>
      </c>
      <c r="C132" s="10" t="s">
        <v>21</v>
      </c>
      <c r="D132" s="9" t="s">
        <v>41</v>
      </c>
      <c r="E132" s="9" t="s">
        <v>19</v>
      </c>
      <c r="F132" s="10">
        <v>2965</v>
      </c>
      <c r="G132" s="18">
        <v>43787</v>
      </c>
      <c r="H132" s="14">
        <f t="shared" si="5"/>
        <v>2019</v>
      </c>
      <c r="I132" s="12">
        <v>51170161</v>
      </c>
      <c r="J132" s="10">
        <v>2531</v>
      </c>
      <c r="K132" s="18">
        <v>44469</v>
      </c>
      <c r="L132" s="14">
        <f t="shared" si="4"/>
        <v>2021</v>
      </c>
      <c r="M132" s="12">
        <v>40857154</v>
      </c>
    </row>
    <row r="133" spans="1:13" ht="15.75" customHeight="1" x14ac:dyDescent="0.25">
      <c r="A133" s="9" t="s">
        <v>10</v>
      </c>
      <c r="B133" s="9" t="s">
        <v>32</v>
      </c>
      <c r="C133" s="10" t="s">
        <v>21</v>
      </c>
      <c r="D133" s="9" t="s">
        <v>41</v>
      </c>
      <c r="E133" s="9" t="s">
        <v>19</v>
      </c>
      <c r="F133" s="10">
        <v>2967</v>
      </c>
      <c r="G133" s="18">
        <v>43787</v>
      </c>
      <c r="H133" s="14">
        <f t="shared" si="5"/>
        <v>2019</v>
      </c>
      <c r="I133" s="12">
        <v>5008054</v>
      </c>
      <c r="J133" s="10">
        <v>893</v>
      </c>
      <c r="K133" s="18">
        <v>44286</v>
      </c>
      <c r="L133" s="14">
        <f t="shared" si="4"/>
        <v>2021</v>
      </c>
      <c r="M133" s="12">
        <v>5008054</v>
      </c>
    </row>
    <row r="134" spans="1:13" ht="15.75" customHeight="1" x14ac:dyDescent="0.25">
      <c r="A134" s="9" t="s">
        <v>59</v>
      </c>
      <c r="B134" s="9" t="s">
        <v>32</v>
      </c>
      <c r="C134" s="10" t="s">
        <v>21</v>
      </c>
      <c r="D134" s="9" t="s">
        <v>13</v>
      </c>
      <c r="E134" s="9" t="s">
        <v>19</v>
      </c>
      <c r="F134" s="10">
        <v>3047</v>
      </c>
      <c r="G134" s="18">
        <v>43795</v>
      </c>
      <c r="H134" s="14">
        <f t="shared" si="5"/>
        <v>2019</v>
      </c>
      <c r="I134" s="12">
        <v>289106</v>
      </c>
      <c r="J134" s="10">
        <v>890</v>
      </c>
      <c r="K134" s="18">
        <v>44286</v>
      </c>
      <c r="L134" s="14">
        <f t="shared" ref="L134:L197" si="6">YEAR(K134)</f>
        <v>2021</v>
      </c>
      <c r="M134" s="12">
        <v>289106</v>
      </c>
    </row>
    <row r="135" spans="1:13" ht="15.75" customHeight="1" x14ac:dyDescent="0.25">
      <c r="A135" s="9" t="s">
        <v>15</v>
      </c>
      <c r="B135" s="9" t="s">
        <v>32</v>
      </c>
      <c r="C135" s="10" t="s">
        <v>21</v>
      </c>
      <c r="D135" s="9" t="s">
        <v>13</v>
      </c>
      <c r="E135" s="9" t="s">
        <v>19</v>
      </c>
      <c r="F135" s="10">
        <v>3046</v>
      </c>
      <c r="G135" s="18">
        <v>43795</v>
      </c>
      <c r="H135" s="14">
        <f t="shared" ref="H135:H198" si="7">YEAR(G135)</f>
        <v>2019</v>
      </c>
      <c r="I135" s="12">
        <v>27706854</v>
      </c>
      <c r="J135" s="10">
        <v>1840</v>
      </c>
      <c r="K135" s="18">
        <v>44365</v>
      </c>
      <c r="L135" s="14">
        <f t="shared" si="6"/>
        <v>2021</v>
      </c>
      <c r="M135" s="12">
        <v>27706854</v>
      </c>
    </row>
    <row r="136" spans="1:13" ht="15.75" customHeight="1" x14ac:dyDescent="0.25">
      <c r="A136" s="9" t="s">
        <v>10</v>
      </c>
      <c r="B136" s="9" t="s">
        <v>32</v>
      </c>
      <c r="C136" s="10" t="s">
        <v>21</v>
      </c>
      <c r="D136" s="9" t="s">
        <v>13</v>
      </c>
      <c r="E136" s="9" t="s">
        <v>19</v>
      </c>
      <c r="F136" s="10">
        <v>3045</v>
      </c>
      <c r="G136" s="18">
        <v>43795</v>
      </c>
      <c r="H136" s="14">
        <f t="shared" si="7"/>
        <v>2019</v>
      </c>
      <c r="I136" s="12">
        <v>114506</v>
      </c>
      <c r="J136" s="10">
        <v>891</v>
      </c>
      <c r="K136" s="18">
        <v>44286</v>
      </c>
      <c r="L136" s="14">
        <f t="shared" si="6"/>
        <v>2021</v>
      </c>
      <c r="M136" s="12">
        <v>114506</v>
      </c>
    </row>
    <row r="137" spans="1:13" ht="15.75" customHeight="1" x14ac:dyDescent="0.25">
      <c r="A137" s="9" t="s">
        <v>15</v>
      </c>
      <c r="B137" s="9" t="s">
        <v>32</v>
      </c>
      <c r="C137" s="10" t="s">
        <v>39</v>
      </c>
      <c r="D137" s="9" t="s">
        <v>40</v>
      </c>
      <c r="E137" s="9" t="s">
        <v>36</v>
      </c>
      <c r="F137" s="10">
        <v>588</v>
      </c>
      <c r="G137" s="18">
        <v>43805</v>
      </c>
      <c r="H137" s="14">
        <f t="shared" si="7"/>
        <v>2019</v>
      </c>
      <c r="I137" s="12">
        <v>64171969</v>
      </c>
      <c r="J137" s="10">
        <v>801</v>
      </c>
      <c r="K137" s="18">
        <v>44279</v>
      </c>
      <c r="L137" s="14">
        <f t="shared" si="6"/>
        <v>2021</v>
      </c>
      <c r="M137" s="12">
        <v>62429704</v>
      </c>
    </row>
    <row r="138" spans="1:13" ht="15.75" customHeight="1" x14ac:dyDescent="0.25">
      <c r="A138" s="9" t="s">
        <v>15</v>
      </c>
      <c r="B138" s="9" t="s">
        <v>32</v>
      </c>
      <c r="C138" s="10" t="s">
        <v>39</v>
      </c>
      <c r="D138" s="9" t="s">
        <v>40</v>
      </c>
      <c r="E138" s="9" t="s">
        <v>36</v>
      </c>
      <c r="F138" s="10">
        <v>619</v>
      </c>
      <c r="G138" s="18">
        <v>43829</v>
      </c>
      <c r="H138" s="14">
        <f t="shared" si="7"/>
        <v>2019</v>
      </c>
      <c r="I138" s="12">
        <v>35644354</v>
      </c>
      <c r="J138" s="10">
        <v>2966</v>
      </c>
      <c r="K138" s="18">
        <v>44515</v>
      </c>
      <c r="L138" s="14">
        <f t="shared" si="6"/>
        <v>2021</v>
      </c>
      <c r="M138" s="12">
        <v>29961764</v>
      </c>
    </row>
    <row r="139" spans="1:13" ht="15.75" customHeight="1" x14ac:dyDescent="0.25">
      <c r="A139" s="9" t="s">
        <v>10</v>
      </c>
      <c r="B139" s="9" t="s">
        <v>32</v>
      </c>
      <c r="C139" s="10" t="s">
        <v>21</v>
      </c>
      <c r="D139" s="9" t="s">
        <v>41</v>
      </c>
      <c r="E139" s="9" t="s">
        <v>19</v>
      </c>
      <c r="F139" s="10">
        <v>3564</v>
      </c>
      <c r="G139" s="18">
        <v>43830</v>
      </c>
      <c r="H139" s="14">
        <f t="shared" si="7"/>
        <v>2019</v>
      </c>
      <c r="I139" s="12">
        <v>2064429</v>
      </c>
      <c r="J139" s="10">
        <v>1839</v>
      </c>
      <c r="K139" s="18">
        <v>44365</v>
      </c>
      <c r="L139" s="14">
        <f t="shared" si="6"/>
        <v>2021</v>
      </c>
      <c r="M139" s="12">
        <v>2064429</v>
      </c>
    </row>
    <row r="140" spans="1:13" ht="15.75" customHeight="1" x14ac:dyDescent="0.25">
      <c r="A140" s="9" t="s">
        <v>59</v>
      </c>
      <c r="B140" s="9" t="s">
        <v>32</v>
      </c>
      <c r="C140" s="10" t="s">
        <v>21</v>
      </c>
      <c r="D140" s="9" t="s">
        <v>13</v>
      </c>
      <c r="E140" s="9" t="s">
        <v>19</v>
      </c>
      <c r="F140" s="10">
        <v>3588</v>
      </c>
      <c r="G140" s="18">
        <v>43830</v>
      </c>
      <c r="H140" s="14">
        <f t="shared" si="7"/>
        <v>2019</v>
      </c>
      <c r="I140" s="12">
        <v>408897</v>
      </c>
      <c r="J140" s="10">
        <v>892</v>
      </c>
      <c r="K140" s="18">
        <v>44286</v>
      </c>
      <c r="L140" s="14">
        <f t="shared" si="6"/>
        <v>2021</v>
      </c>
      <c r="M140" s="12">
        <v>408897</v>
      </c>
    </row>
    <row r="141" spans="1:13" ht="15.75" customHeight="1" x14ac:dyDescent="0.25">
      <c r="A141" s="9" t="s">
        <v>10</v>
      </c>
      <c r="B141" s="9" t="s">
        <v>32</v>
      </c>
      <c r="C141" s="10" t="s">
        <v>21</v>
      </c>
      <c r="D141" s="9" t="s">
        <v>13</v>
      </c>
      <c r="E141" s="9" t="s">
        <v>19</v>
      </c>
      <c r="F141" s="10">
        <v>3572</v>
      </c>
      <c r="G141" s="18">
        <v>43830</v>
      </c>
      <c r="H141" s="14">
        <f t="shared" si="7"/>
        <v>2019</v>
      </c>
      <c r="I141" s="12">
        <v>270390</v>
      </c>
      <c r="J141" s="10">
        <v>302</v>
      </c>
      <c r="K141" s="18">
        <v>44225</v>
      </c>
      <c r="L141" s="14">
        <f t="shared" si="6"/>
        <v>2021</v>
      </c>
      <c r="M141" s="12">
        <v>270390</v>
      </c>
    </row>
    <row r="142" spans="1:13" ht="15.75" customHeight="1" x14ac:dyDescent="0.25">
      <c r="A142" s="9" t="s">
        <v>57</v>
      </c>
      <c r="B142" s="9" t="s">
        <v>32</v>
      </c>
      <c r="C142" s="10" t="s">
        <v>21</v>
      </c>
      <c r="D142" s="9" t="s">
        <v>13</v>
      </c>
      <c r="E142" s="9" t="s">
        <v>58</v>
      </c>
      <c r="F142" s="10">
        <v>2429</v>
      </c>
      <c r="G142" s="18">
        <v>44106</v>
      </c>
      <c r="H142" s="14">
        <f t="shared" si="7"/>
        <v>2020</v>
      </c>
      <c r="I142" s="12">
        <v>1109683</v>
      </c>
      <c r="J142" s="10">
        <v>2730</v>
      </c>
      <c r="K142" s="18">
        <v>44482</v>
      </c>
      <c r="L142" s="14">
        <f t="shared" si="6"/>
        <v>2021</v>
      </c>
      <c r="M142" s="12">
        <v>832262</v>
      </c>
    </row>
    <row r="143" spans="1:13" ht="15.75" customHeight="1" x14ac:dyDescent="0.25">
      <c r="A143" s="9" t="s">
        <v>57</v>
      </c>
      <c r="B143" s="9" t="s">
        <v>32</v>
      </c>
      <c r="C143" s="10" t="s">
        <v>21</v>
      </c>
      <c r="D143" s="9" t="s">
        <v>13</v>
      </c>
      <c r="E143" s="9" t="s">
        <v>58</v>
      </c>
      <c r="F143" s="10">
        <v>2440</v>
      </c>
      <c r="G143" s="18">
        <v>44106</v>
      </c>
      <c r="H143" s="14">
        <f t="shared" si="7"/>
        <v>2020</v>
      </c>
      <c r="I143" s="12">
        <v>540634</v>
      </c>
      <c r="J143" s="10">
        <v>774</v>
      </c>
      <c r="K143" s="18">
        <v>44277</v>
      </c>
      <c r="L143" s="14">
        <f t="shared" si="6"/>
        <v>2021</v>
      </c>
      <c r="M143" s="12">
        <v>540634</v>
      </c>
    </row>
    <row r="144" spans="1:13" ht="15.75" customHeight="1" x14ac:dyDescent="0.25">
      <c r="A144" s="9" t="s">
        <v>57</v>
      </c>
      <c r="B144" s="9" t="s">
        <v>32</v>
      </c>
      <c r="C144" s="10" t="s">
        <v>21</v>
      </c>
      <c r="D144" s="9" t="s">
        <v>41</v>
      </c>
      <c r="E144" s="9" t="s">
        <v>58</v>
      </c>
      <c r="F144" s="10">
        <v>2432</v>
      </c>
      <c r="G144" s="18">
        <v>44106</v>
      </c>
      <c r="H144" s="14">
        <f t="shared" si="7"/>
        <v>2020</v>
      </c>
      <c r="I144" s="12">
        <v>6487614</v>
      </c>
      <c r="J144" s="10">
        <v>871</v>
      </c>
      <c r="K144" s="18">
        <v>44286</v>
      </c>
      <c r="L144" s="14">
        <f t="shared" si="6"/>
        <v>2021</v>
      </c>
      <c r="M144" s="12">
        <v>5676662</v>
      </c>
    </row>
    <row r="145" spans="1:13" ht="15.75" customHeight="1" x14ac:dyDescent="0.25">
      <c r="A145" s="9" t="s">
        <v>57</v>
      </c>
      <c r="B145" s="9" t="s">
        <v>32</v>
      </c>
      <c r="C145" s="10" t="s">
        <v>21</v>
      </c>
      <c r="D145" s="9" t="s">
        <v>41</v>
      </c>
      <c r="E145" s="9" t="s">
        <v>58</v>
      </c>
      <c r="F145" s="10">
        <v>2431</v>
      </c>
      <c r="G145" s="18">
        <v>44106</v>
      </c>
      <c r="H145" s="14">
        <f t="shared" si="7"/>
        <v>2020</v>
      </c>
      <c r="I145" s="12">
        <v>3784441</v>
      </c>
      <c r="J145" s="10">
        <v>776</v>
      </c>
      <c r="K145" s="18">
        <v>44277</v>
      </c>
      <c r="L145" s="14">
        <f t="shared" si="6"/>
        <v>2021</v>
      </c>
      <c r="M145" s="12">
        <v>3784441</v>
      </c>
    </row>
    <row r="146" spans="1:13" ht="15.75" customHeight="1" x14ac:dyDescent="0.25">
      <c r="A146" s="9" t="s">
        <v>57</v>
      </c>
      <c r="B146" s="9" t="s">
        <v>32</v>
      </c>
      <c r="C146" s="10" t="s">
        <v>21</v>
      </c>
      <c r="D146" s="9" t="s">
        <v>41</v>
      </c>
      <c r="E146" s="9" t="s">
        <v>58</v>
      </c>
      <c r="F146" s="10">
        <v>2430</v>
      </c>
      <c r="G146" s="18">
        <v>44106</v>
      </c>
      <c r="H146" s="14">
        <f t="shared" si="7"/>
        <v>2020</v>
      </c>
      <c r="I146" s="12">
        <v>270317</v>
      </c>
      <c r="J146" s="10">
        <v>775</v>
      </c>
      <c r="K146" s="18">
        <v>44277</v>
      </c>
      <c r="L146" s="14">
        <f t="shared" si="6"/>
        <v>2021</v>
      </c>
      <c r="M146" s="12">
        <v>270317</v>
      </c>
    </row>
    <row r="147" spans="1:13" ht="15.75" customHeight="1" x14ac:dyDescent="0.25">
      <c r="A147" s="9" t="s">
        <v>15</v>
      </c>
      <c r="B147" s="9" t="s">
        <v>32</v>
      </c>
      <c r="C147" s="10" t="s">
        <v>39</v>
      </c>
      <c r="D147" s="9" t="s">
        <v>40</v>
      </c>
      <c r="E147" s="9" t="s">
        <v>36</v>
      </c>
      <c r="F147" s="10">
        <v>310</v>
      </c>
      <c r="G147" s="18">
        <v>44125</v>
      </c>
      <c r="H147" s="14">
        <f t="shared" si="7"/>
        <v>2020</v>
      </c>
      <c r="I147" s="12">
        <v>1768563</v>
      </c>
      <c r="J147" s="10">
        <v>599</v>
      </c>
      <c r="K147" s="18">
        <v>44258</v>
      </c>
      <c r="L147" s="14">
        <f t="shared" si="6"/>
        <v>2021</v>
      </c>
      <c r="M147" s="12">
        <v>1747406</v>
      </c>
    </row>
    <row r="148" spans="1:13" ht="15.75" customHeight="1" x14ac:dyDescent="0.25">
      <c r="A148" s="9" t="s">
        <v>15</v>
      </c>
      <c r="B148" s="9" t="s">
        <v>32</v>
      </c>
      <c r="C148" s="10" t="s">
        <v>39</v>
      </c>
      <c r="D148" s="9" t="s">
        <v>40</v>
      </c>
      <c r="E148" s="9" t="s">
        <v>72</v>
      </c>
      <c r="F148" s="10">
        <v>28</v>
      </c>
      <c r="G148" s="18">
        <v>44214</v>
      </c>
      <c r="H148" s="14">
        <f t="shared" si="7"/>
        <v>2021</v>
      </c>
      <c r="I148" s="12">
        <v>22048145</v>
      </c>
      <c r="J148" s="10">
        <v>2796</v>
      </c>
      <c r="K148" s="18">
        <v>44491</v>
      </c>
      <c r="L148" s="14">
        <f t="shared" si="6"/>
        <v>2021</v>
      </c>
      <c r="M148" s="12">
        <v>22048145</v>
      </c>
    </row>
    <row r="149" spans="1:13" ht="15.75" customHeight="1" x14ac:dyDescent="0.25">
      <c r="A149" s="9" t="s">
        <v>15</v>
      </c>
      <c r="B149" s="9" t="s">
        <v>32</v>
      </c>
      <c r="C149" s="10" t="s">
        <v>39</v>
      </c>
      <c r="D149" s="9" t="s">
        <v>40</v>
      </c>
      <c r="E149" s="9" t="s">
        <v>72</v>
      </c>
      <c r="F149" s="10">
        <v>32</v>
      </c>
      <c r="G149" s="18">
        <v>44214</v>
      </c>
      <c r="H149" s="14">
        <f t="shared" si="7"/>
        <v>2021</v>
      </c>
      <c r="I149" s="12">
        <v>30997475</v>
      </c>
      <c r="J149" s="10">
        <v>2835</v>
      </c>
      <c r="K149" s="18">
        <v>44497</v>
      </c>
      <c r="L149" s="14">
        <f t="shared" si="6"/>
        <v>2021</v>
      </c>
      <c r="M149" s="12">
        <v>30997475</v>
      </c>
    </row>
    <row r="150" spans="1:13" ht="15.75" customHeight="1" x14ac:dyDescent="0.25">
      <c r="A150" s="9" t="s">
        <v>15</v>
      </c>
      <c r="B150" s="9" t="s">
        <v>32</v>
      </c>
      <c r="C150" s="10" t="s">
        <v>39</v>
      </c>
      <c r="D150" s="9" t="s">
        <v>40</v>
      </c>
      <c r="E150" s="9" t="s">
        <v>72</v>
      </c>
      <c r="F150" s="10">
        <v>38</v>
      </c>
      <c r="G150" s="18">
        <v>44214</v>
      </c>
      <c r="H150" s="14">
        <f t="shared" si="7"/>
        <v>2021</v>
      </c>
      <c r="I150" s="12">
        <v>12433305</v>
      </c>
      <c r="J150" s="10">
        <v>2797</v>
      </c>
      <c r="K150" s="18">
        <v>44491</v>
      </c>
      <c r="L150" s="14">
        <f t="shared" si="6"/>
        <v>2021</v>
      </c>
      <c r="M150" s="12">
        <v>12433305</v>
      </c>
    </row>
    <row r="151" spans="1:13" ht="15.75" customHeight="1" x14ac:dyDescent="0.25">
      <c r="A151" s="9" t="s">
        <v>10</v>
      </c>
      <c r="B151" s="9" t="s">
        <v>32</v>
      </c>
      <c r="C151" s="10" t="s">
        <v>39</v>
      </c>
      <c r="D151" s="9" t="s">
        <v>40</v>
      </c>
      <c r="E151" s="9" t="s">
        <v>72</v>
      </c>
      <c r="F151" s="10">
        <v>13</v>
      </c>
      <c r="G151" s="18">
        <v>44214</v>
      </c>
      <c r="H151" s="14">
        <f t="shared" si="7"/>
        <v>2021</v>
      </c>
      <c r="I151" s="12">
        <v>1265729</v>
      </c>
      <c r="J151" s="10">
        <v>3240</v>
      </c>
      <c r="K151" s="18">
        <v>44540</v>
      </c>
      <c r="L151" s="14">
        <f t="shared" si="6"/>
        <v>2021</v>
      </c>
      <c r="M151" s="12">
        <v>1265729</v>
      </c>
    </row>
    <row r="152" spans="1:13" ht="15.75" customHeight="1" x14ac:dyDescent="0.25">
      <c r="A152" s="9" t="s">
        <v>10</v>
      </c>
      <c r="B152" s="9" t="s">
        <v>32</v>
      </c>
      <c r="C152" s="10" t="s">
        <v>39</v>
      </c>
      <c r="D152" s="9" t="s">
        <v>40</v>
      </c>
      <c r="E152" s="9" t="s">
        <v>72</v>
      </c>
      <c r="F152" s="10">
        <v>16</v>
      </c>
      <c r="G152" s="18">
        <v>44214</v>
      </c>
      <c r="H152" s="14">
        <f t="shared" si="7"/>
        <v>2021</v>
      </c>
      <c r="I152" s="12">
        <v>1316537</v>
      </c>
      <c r="J152" s="10">
        <v>3239</v>
      </c>
      <c r="K152" s="18">
        <v>44540</v>
      </c>
      <c r="L152" s="14">
        <f t="shared" si="6"/>
        <v>2021</v>
      </c>
      <c r="M152" s="12">
        <v>1316537</v>
      </c>
    </row>
    <row r="153" spans="1:13" ht="15.75" customHeight="1" x14ac:dyDescent="0.25">
      <c r="A153" s="9" t="s">
        <v>10</v>
      </c>
      <c r="B153" s="9" t="s">
        <v>32</v>
      </c>
      <c r="C153" s="10" t="s">
        <v>39</v>
      </c>
      <c r="D153" s="9" t="s">
        <v>40</v>
      </c>
      <c r="E153" s="9" t="s">
        <v>72</v>
      </c>
      <c r="F153" s="10">
        <v>22</v>
      </c>
      <c r="G153" s="18">
        <v>44214</v>
      </c>
      <c r="H153" s="14">
        <f t="shared" si="7"/>
        <v>2021</v>
      </c>
      <c r="I153" s="12">
        <v>220711</v>
      </c>
      <c r="J153" s="10">
        <v>2795</v>
      </c>
      <c r="K153" s="18">
        <v>44491</v>
      </c>
      <c r="L153" s="14">
        <f t="shared" si="6"/>
        <v>2021</v>
      </c>
      <c r="M153" s="12">
        <v>220711</v>
      </c>
    </row>
    <row r="154" spans="1:13" ht="15.75" customHeight="1" x14ac:dyDescent="0.25">
      <c r="A154" s="9" t="s">
        <v>15</v>
      </c>
      <c r="B154" s="9" t="s">
        <v>32</v>
      </c>
      <c r="C154" s="10" t="s">
        <v>21</v>
      </c>
      <c r="D154" s="9" t="s">
        <v>41</v>
      </c>
      <c r="E154" s="9" t="s">
        <v>14</v>
      </c>
      <c r="F154" s="10">
        <v>3194</v>
      </c>
      <c r="G154" s="18">
        <v>44195</v>
      </c>
      <c r="H154" s="14">
        <f t="shared" si="7"/>
        <v>2020</v>
      </c>
      <c r="I154" s="12">
        <f>74.2*51029</f>
        <v>3786351.8000000003</v>
      </c>
      <c r="J154" s="10">
        <v>3341</v>
      </c>
      <c r="K154" s="18">
        <v>44551</v>
      </c>
      <c r="L154" s="14">
        <f t="shared" si="6"/>
        <v>2021</v>
      </c>
      <c r="M154" s="12">
        <v>3735090</v>
      </c>
    </row>
    <row r="155" spans="1:13" ht="15.75" customHeight="1" x14ac:dyDescent="0.25">
      <c r="A155" s="9" t="s">
        <v>15</v>
      </c>
      <c r="B155" s="9" t="s">
        <v>32</v>
      </c>
      <c r="C155" s="10" t="s">
        <v>21</v>
      </c>
      <c r="D155" s="9" t="s">
        <v>13</v>
      </c>
      <c r="E155" s="9" t="s">
        <v>14</v>
      </c>
      <c r="F155" s="10">
        <v>3203</v>
      </c>
      <c r="G155" s="18">
        <v>44195</v>
      </c>
      <c r="H155" s="14">
        <f t="shared" si="7"/>
        <v>2020</v>
      </c>
      <c r="I155" s="12">
        <f>208.25*51029</f>
        <v>10626789.25</v>
      </c>
      <c r="J155" s="10">
        <v>3343</v>
      </c>
      <c r="K155" s="18">
        <v>44551</v>
      </c>
      <c r="L155" s="14">
        <f t="shared" si="6"/>
        <v>2021</v>
      </c>
      <c r="M155" s="12">
        <v>10408963</v>
      </c>
    </row>
    <row r="156" spans="1:13" ht="15.75" customHeight="1" x14ac:dyDescent="0.25">
      <c r="A156" s="9" t="s">
        <v>15</v>
      </c>
      <c r="B156" s="9" t="s">
        <v>32</v>
      </c>
      <c r="C156" s="10" t="s">
        <v>21</v>
      </c>
      <c r="D156" s="9" t="s">
        <v>41</v>
      </c>
      <c r="E156" s="9" t="s">
        <v>14</v>
      </c>
      <c r="F156" s="10">
        <v>3204</v>
      </c>
      <c r="G156" s="18">
        <v>44195</v>
      </c>
      <c r="H156" s="14">
        <f t="shared" si="7"/>
        <v>2020</v>
      </c>
      <c r="I156" s="12">
        <f>733.6*51029</f>
        <v>37434874.399999999</v>
      </c>
      <c r="J156" s="10">
        <v>3342</v>
      </c>
      <c r="K156" s="18">
        <v>44551</v>
      </c>
      <c r="L156" s="14">
        <f t="shared" si="6"/>
        <v>2021</v>
      </c>
      <c r="M156" s="12">
        <v>28932734</v>
      </c>
    </row>
    <row r="157" spans="1:13" ht="15.75" customHeight="1" x14ac:dyDescent="0.25">
      <c r="A157" s="9" t="s">
        <v>15</v>
      </c>
      <c r="B157" s="9" t="s">
        <v>32</v>
      </c>
      <c r="C157" s="10" t="s">
        <v>21</v>
      </c>
      <c r="D157" s="9" t="s">
        <v>13</v>
      </c>
      <c r="E157" s="9" t="s">
        <v>14</v>
      </c>
      <c r="F157" s="10">
        <v>3221</v>
      </c>
      <c r="G157" s="18">
        <v>44195</v>
      </c>
      <c r="H157" s="14">
        <f t="shared" si="7"/>
        <v>2020</v>
      </c>
      <c r="I157" s="12">
        <f>42.7*51029</f>
        <v>2178938.3000000003</v>
      </c>
      <c r="J157" s="10">
        <v>3288</v>
      </c>
      <c r="K157" s="18">
        <v>44546</v>
      </c>
      <c r="L157" s="14">
        <f t="shared" si="6"/>
        <v>2021</v>
      </c>
      <c r="M157" s="12">
        <v>2313102</v>
      </c>
    </row>
    <row r="158" spans="1:13" ht="15.75" customHeight="1" x14ac:dyDescent="0.25">
      <c r="A158" s="9" t="s">
        <v>15</v>
      </c>
      <c r="B158" s="9" t="s">
        <v>32</v>
      </c>
      <c r="C158" s="10" t="s">
        <v>21</v>
      </c>
      <c r="D158" s="9" t="s">
        <v>41</v>
      </c>
      <c r="E158" s="9" t="s">
        <v>14</v>
      </c>
      <c r="F158" s="10">
        <v>3222</v>
      </c>
      <c r="G158" s="18">
        <v>44195</v>
      </c>
      <c r="H158" s="14">
        <f t="shared" si="7"/>
        <v>2020</v>
      </c>
      <c r="I158" s="12">
        <f>36.75*51029</f>
        <v>1875315.75</v>
      </c>
      <c r="J158" s="10">
        <v>3289</v>
      </c>
      <c r="K158" s="18">
        <v>44546</v>
      </c>
      <c r="L158" s="14">
        <f t="shared" si="6"/>
        <v>2021</v>
      </c>
      <c r="M158" s="12">
        <v>1706387</v>
      </c>
    </row>
    <row r="159" spans="1:13" ht="15.75" customHeight="1" x14ac:dyDescent="0.25">
      <c r="A159" s="9" t="s">
        <v>10</v>
      </c>
      <c r="B159" s="9" t="s">
        <v>32</v>
      </c>
      <c r="C159" s="10" t="s">
        <v>21</v>
      </c>
      <c r="D159" s="9" t="s">
        <v>41</v>
      </c>
      <c r="E159" s="9" t="s">
        <v>19</v>
      </c>
      <c r="F159" s="10">
        <v>333</v>
      </c>
      <c r="G159" s="18">
        <v>44231</v>
      </c>
      <c r="H159" s="14">
        <f t="shared" si="7"/>
        <v>2021</v>
      </c>
      <c r="I159" s="12">
        <v>178643</v>
      </c>
      <c r="J159" s="10">
        <v>889</v>
      </c>
      <c r="K159" s="18">
        <v>44286</v>
      </c>
      <c r="L159" s="14">
        <f t="shared" si="6"/>
        <v>2021</v>
      </c>
      <c r="M159" s="12">
        <v>178643</v>
      </c>
    </row>
    <row r="160" spans="1:13" ht="15.75" customHeight="1" x14ac:dyDescent="0.25">
      <c r="A160" s="9" t="s">
        <v>59</v>
      </c>
      <c r="B160" s="9" t="s">
        <v>32</v>
      </c>
      <c r="C160" s="10" t="s">
        <v>21</v>
      </c>
      <c r="D160" s="9" t="s">
        <v>41</v>
      </c>
      <c r="E160" s="9" t="s">
        <v>65</v>
      </c>
      <c r="F160" s="10">
        <v>1626</v>
      </c>
      <c r="G160" s="18">
        <v>44354</v>
      </c>
      <c r="H160" s="14">
        <f t="shared" si="7"/>
        <v>2021</v>
      </c>
      <c r="I160" s="12">
        <v>125186</v>
      </c>
      <c r="J160" s="10">
        <v>2032</v>
      </c>
      <c r="K160" s="18">
        <v>44383</v>
      </c>
      <c r="L160" s="14">
        <f t="shared" si="6"/>
        <v>2021</v>
      </c>
      <c r="M160" s="12">
        <v>125186</v>
      </c>
    </row>
    <row r="161" spans="1:13" ht="15.75" customHeight="1" x14ac:dyDescent="0.25">
      <c r="A161" s="9" t="s">
        <v>59</v>
      </c>
      <c r="B161" s="9" t="s">
        <v>32</v>
      </c>
      <c r="C161" s="10" t="s">
        <v>21</v>
      </c>
      <c r="D161" s="9" t="s">
        <v>41</v>
      </c>
      <c r="E161" s="9" t="s">
        <v>65</v>
      </c>
      <c r="F161" s="10">
        <v>1890</v>
      </c>
      <c r="G161" s="18">
        <v>44371</v>
      </c>
      <c r="H161" s="14">
        <f t="shared" si="7"/>
        <v>2021</v>
      </c>
      <c r="I161" s="12">
        <v>270855</v>
      </c>
      <c r="J161" s="10">
        <v>3241</v>
      </c>
      <c r="K161" s="18">
        <v>44540</v>
      </c>
      <c r="L161" s="14">
        <f t="shared" si="6"/>
        <v>2021</v>
      </c>
      <c r="M161" s="12">
        <v>270855</v>
      </c>
    </row>
    <row r="162" spans="1:13" ht="15.75" customHeight="1" x14ac:dyDescent="0.25">
      <c r="A162" s="9" t="s">
        <v>10</v>
      </c>
      <c r="B162" s="9" t="s">
        <v>32</v>
      </c>
      <c r="C162" s="10" t="s">
        <v>21</v>
      </c>
      <c r="D162" s="9" t="s">
        <v>41</v>
      </c>
      <c r="E162" s="9" t="s">
        <v>65</v>
      </c>
      <c r="F162" s="10">
        <v>1892</v>
      </c>
      <c r="G162" s="18">
        <v>44371</v>
      </c>
      <c r="H162" s="14">
        <f t="shared" si="7"/>
        <v>2021</v>
      </c>
      <c r="I162" s="12">
        <v>130010</v>
      </c>
      <c r="J162" s="10">
        <v>3242</v>
      </c>
      <c r="K162" s="18">
        <v>44540</v>
      </c>
      <c r="L162" s="14">
        <f t="shared" si="6"/>
        <v>2021</v>
      </c>
      <c r="M162" s="12">
        <v>130010</v>
      </c>
    </row>
    <row r="163" spans="1:13" ht="15.75" customHeight="1" x14ac:dyDescent="0.25">
      <c r="A163" s="9" t="s">
        <v>15</v>
      </c>
      <c r="B163" s="9" t="s">
        <v>32</v>
      </c>
      <c r="C163" s="10" t="s">
        <v>39</v>
      </c>
      <c r="D163" s="9" t="s">
        <v>40</v>
      </c>
      <c r="E163" s="9" t="s">
        <v>74</v>
      </c>
      <c r="F163" s="10">
        <v>307</v>
      </c>
      <c r="G163" s="18">
        <v>44432</v>
      </c>
      <c r="H163" s="14">
        <f t="shared" si="7"/>
        <v>2021</v>
      </c>
      <c r="I163" s="12">
        <v>751867</v>
      </c>
      <c r="J163" s="10">
        <v>2735</v>
      </c>
      <c r="K163" s="18">
        <v>44483</v>
      </c>
      <c r="L163" s="14">
        <f t="shared" si="6"/>
        <v>2021</v>
      </c>
      <c r="M163" s="12">
        <v>751867</v>
      </c>
    </row>
    <row r="164" spans="1:13" ht="15.75" customHeight="1" x14ac:dyDescent="0.25">
      <c r="A164" s="9" t="s">
        <v>10</v>
      </c>
      <c r="B164" s="9" t="s">
        <v>32</v>
      </c>
      <c r="C164" s="10" t="s">
        <v>39</v>
      </c>
      <c r="D164" s="9" t="s">
        <v>40</v>
      </c>
      <c r="E164" s="9" t="s">
        <v>74</v>
      </c>
      <c r="F164" s="10">
        <v>303</v>
      </c>
      <c r="G164" s="18">
        <v>44432</v>
      </c>
      <c r="H164" s="14">
        <f t="shared" si="7"/>
        <v>2021</v>
      </c>
      <c r="I164" s="12">
        <v>793638</v>
      </c>
      <c r="J164" s="10">
        <v>2734</v>
      </c>
      <c r="K164" s="18">
        <v>44483</v>
      </c>
      <c r="L164" s="14">
        <f t="shared" si="6"/>
        <v>2021</v>
      </c>
      <c r="M164" s="12">
        <v>793638</v>
      </c>
    </row>
    <row r="165" spans="1:13" ht="15.75" customHeight="1" x14ac:dyDescent="0.25">
      <c r="A165" s="9" t="s">
        <v>59</v>
      </c>
      <c r="B165" s="9" t="s">
        <v>32</v>
      </c>
      <c r="C165" s="10" t="s">
        <v>39</v>
      </c>
      <c r="D165" s="9" t="s">
        <v>40</v>
      </c>
      <c r="E165" s="9" t="s">
        <v>74</v>
      </c>
      <c r="F165" s="10">
        <v>339</v>
      </c>
      <c r="G165" s="18">
        <v>44482</v>
      </c>
      <c r="H165" s="14">
        <f t="shared" si="7"/>
        <v>2021</v>
      </c>
      <c r="I165" s="12">
        <v>533705</v>
      </c>
      <c r="J165" s="10">
        <v>3433</v>
      </c>
      <c r="K165" s="18">
        <v>44554</v>
      </c>
      <c r="L165" s="14">
        <f t="shared" si="6"/>
        <v>2021</v>
      </c>
      <c r="M165" s="12">
        <v>533705</v>
      </c>
    </row>
    <row r="166" spans="1:13" ht="15.75" customHeight="1" x14ac:dyDescent="0.25">
      <c r="A166" s="9" t="s">
        <v>15</v>
      </c>
      <c r="B166" s="9" t="s">
        <v>32</v>
      </c>
      <c r="C166" s="10" t="s">
        <v>21</v>
      </c>
      <c r="D166" s="9" t="s">
        <v>13</v>
      </c>
      <c r="E166" s="9" t="s">
        <v>14</v>
      </c>
      <c r="F166" s="10">
        <v>64</v>
      </c>
      <c r="G166" s="18">
        <v>44207</v>
      </c>
      <c r="H166" s="14">
        <f t="shared" si="7"/>
        <v>2021</v>
      </c>
      <c r="I166" s="12">
        <v>2313102</v>
      </c>
      <c r="J166" s="10">
        <v>3290</v>
      </c>
      <c r="K166" s="18">
        <v>44546</v>
      </c>
      <c r="L166" s="14">
        <f t="shared" si="6"/>
        <v>2021</v>
      </c>
      <c r="M166" s="12">
        <v>2313102</v>
      </c>
    </row>
    <row r="167" spans="1:13" ht="15.75" customHeight="1" x14ac:dyDescent="0.25">
      <c r="A167" s="9" t="s">
        <v>15</v>
      </c>
      <c r="B167" s="9" t="s">
        <v>32</v>
      </c>
      <c r="C167" s="10" t="s">
        <v>21</v>
      </c>
      <c r="D167" s="9" t="s">
        <v>41</v>
      </c>
      <c r="E167" s="9" t="s">
        <v>14</v>
      </c>
      <c r="F167" s="10">
        <v>65</v>
      </c>
      <c r="G167" s="18">
        <v>44207</v>
      </c>
      <c r="H167" s="14">
        <f t="shared" si="7"/>
        <v>2021</v>
      </c>
      <c r="I167" s="12">
        <f>32.2*50978</f>
        <v>1641491.6</v>
      </c>
      <c r="J167" s="10">
        <v>3291</v>
      </c>
      <c r="K167" s="18">
        <v>44546</v>
      </c>
      <c r="L167" s="14">
        <f t="shared" si="6"/>
        <v>2021</v>
      </c>
      <c r="M167" s="12">
        <v>1744307</v>
      </c>
    </row>
    <row r="168" spans="1:13" ht="15.75" customHeight="1" x14ac:dyDescent="0.25">
      <c r="A168" s="9" t="s">
        <v>15</v>
      </c>
      <c r="B168" s="9" t="s">
        <v>55</v>
      </c>
      <c r="C168" s="10" t="s">
        <v>56</v>
      </c>
      <c r="D168" s="9" t="s">
        <v>25</v>
      </c>
      <c r="E168" s="9" t="s">
        <v>19</v>
      </c>
      <c r="F168" s="10">
        <v>2752</v>
      </c>
      <c r="G168" s="18">
        <v>44160</v>
      </c>
      <c r="H168" s="14">
        <f t="shared" si="7"/>
        <v>2020</v>
      </c>
      <c r="I168" s="12">
        <v>161877</v>
      </c>
      <c r="J168" s="10">
        <v>426</v>
      </c>
      <c r="K168" s="18">
        <v>44239</v>
      </c>
      <c r="L168" s="14">
        <f t="shared" si="6"/>
        <v>2021</v>
      </c>
      <c r="M168" s="12">
        <v>161877</v>
      </c>
    </row>
    <row r="169" spans="1:13" ht="15.75" customHeight="1" x14ac:dyDescent="0.25">
      <c r="A169" s="9" t="s">
        <v>15</v>
      </c>
      <c r="B169" s="9" t="s">
        <v>55</v>
      </c>
      <c r="C169" s="10" t="s">
        <v>56</v>
      </c>
      <c r="D169" s="9" t="s">
        <v>25</v>
      </c>
      <c r="E169" s="9" t="s">
        <v>73</v>
      </c>
      <c r="F169" s="10">
        <v>2749</v>
      </c>
      <c r="G169" s="18">
        <v>44160</v>
      </c>
      <c r="H169" s="14">
        <f t="shared" si="7"/>
        <v>2020</v>
      </c>
      <c r="I169" s="12">
        <v>50311600</v>
      </c>
      <c r="J169" s="10">
        <v>1036</v>
      </c>
      <c r="K169" s="18">
        <v>44299</v>
      </c>
      <c r="L169" s="14">
        <f t="shared" si="6"/>
        <v>2021</v>
      </c>
      <c r="M169" s="12">
        <v>50311600</v>
      </c>
    </row>
    <row r="170" spans="1:13" ht="15.75" customHeight="1" x14ac:dyDescent="0.25">
      <c r="A170" s="9" t="s">
        <v>59</v>
      </c>
      <c r="B170" s="9" t="s">
        <v>55</v>
      </c>
      <c r="C170" s="10" t="s">
        <v>56</v>
      </c>
      <c r="D170" s="9" t="s">
        <v>25</v>
      </c>
      <c r="E170" s="9" t="s">
        <v>73</v>
      </c>
      <c r="F170" s="10">
        <v>263</v>
      </c>
      <c r="G170" s="18">
        <v>44215</v>
      </c>
      <c r="H170" s="14">
        <f t="shared" si="7"/>
        <v>2021</v>
      </c>
      <c r="I170" s="12">
        <v>29157000</v>
      </c>
      <c r="J170" s="10">
        <v>505</v>
      </c>
      <c r="K170" s="18">
        <v>44246</v>
      </c>
      <c r="L170" s="14">
        <f t="shared" si="6"/>
        <v>2021</v>
      </c>
      <c r="M170" s="12">
        <v>29157000</v>
      </c>
    </row>
    <row r="171" spans="1:13" ht="15.75" customHeight="1" x14ac:dyDescent="0.25">
      <c r="A171" s="9" t="s">
        <v>10</v>
      </c>
      <c r="B171" s="9" t="s">
        <v>55</v>
      </c>
      <c r="C171" s="10" t="s">
        <v>56</v>
      </c>
      <c r="D171" s="9" t="s">
        <v>25</v>
      </c>
      <c r="E171" s="9" t="s">
        <v>73</v>
      </c>
      <c r="F171" s="10">
        <v>285</v>
      </c>
      <c r="G171" s="18">
        <v>44223</v>
      </c>
      <c r="H171" s="14">
        <f t="shared" si="7"/>
        <v>2021</v>
      </c>
      <c r="I171" s="12">
        <v>29626200</v>
      </c>
      <c r="J171" s="10">
        <v>506</v>
      </c>
      <c r="K171" s="18">
        <v>44246</v>
      </c>
      <c r="L171" s="14">
        <f t="shared" si="6"/>
        <v>2021</v>
      </c>
      <c r="M171" s="12">
        <v>29626200</v>
      </c>
    </row>
    <row r="172" spans="1:13" ht="15.75" customHeight="1" x14ac:dyDescent="0.25">
      <c r="A172" s="9" t="s">
        <v>15</v>
      </c>
      <c r="B172" s="9" t="s">
        <v>55</v>
      </c>
      <c r="C172" s="10" t="s">
        <v>56</v>
      </c>
      <c r="D172" s="9" t="s">
        <v>25</v>
      </c>
      <c r="E172" s="9" t="s">
        <v>73</v>
      </c>
      <c r="F172" s="10">
        <v>286</v>
      </c>
      <c r="G172" s="18">
        <v>44223</v>
      </c>
      <c r="H172" s="14">
        <f t="shared" si="7"/>
        <v>2021</v>
      </c>
      <c r="I172" s="12">
        <v>39101600</v>
      </c>
      <c r="J172" s="10">
        <v>507</v>
      </c>
      <c r="K172" s="18">
        <v>44246</v>
      </c>
      <c r="L172" s="14">
        <f t="shared" si="6"/>
        <v>2021</v>
      </c>
      <c r="M172" s="12">
        <v>39101600</v>
      </c>
    </row>
    <row r="173" spans="1:13" ht="15.75" customHeight="1" x14ac:dyDescent="0.25">
      <c r="A173" s="9" t="s">
        <v>10</v>
      </c>
      <c r="B173" s="9" t="s">
        <v>55</v>
      </c>
      <c r="C173" s="10" t="s">
        <v>56</v>
      </c>
      <c r="D173" s="9" t="s">
        <v>25</v>
      </c>
      <c r="E173" s="9" t="s">
        <v>73</v>
      </c>
      <c r="F173" s="10">
        <v>508</v>
      </c>
      <c r="G173" s="18">
        <v>44246</v>
      </c>
      <c r="H173" s="14">
        <f t="shared" si="7"/>
        <v>2021</v>
      </c>
      <c r="I173" s="12">
        <v>10074400</v>
      </c>
      <c r="J173" s="10">
        <v>1035</v>
      </c>
      <c r="K173" s="18">
        <v>44299</v>
      </c>
      <c r="L173" s="14">
        <f t="shared" si="6"/>
        <v>2021</v>
      </c>
      <c r="M173" s="12">
        <v>10074400</v>
      </c>
    </row>
    <row r="174" spans="1:13" ht="15.75" customHeight="1" x14ac:dyDescent="0.25">
      <c r="A174" s="9" t="s">
        <v>59</v>
      </c>
      <c r="B174" s="9" t="s">
        <v>55</v>
      </c>
      <c r="C174" s="10" t="s">
        <v>56</v>
      </c>
      <c r="D174" s="9" t="s">
        <v>25</v>
      </c>
      <c r="E174" s="9" t="s">
        <v>65</v>
      </c>
      <c r="F174" s="10">
        <v>1896</v>
      </c>
      <c r="G174" s="18">
        <v>44371</v>
      </c>
      <c r="H174" s="14">
        <f t="shared" si="7"/>
        <v>2021</v>
      </c>
      <c r="I174" s="12">
        <f>4*52005</f>
        <v>208020</v>
      </c>
      <c r="J174" s="10">
        <v>3213</v>
      </c>
      <c r="K174" s="18">
        <v>44540</v>
      </c>
      <c r="L174" s="14">
        <f t="shared" si="6"/>
        <v>2021</v>
      </c>
      <c r="M174" s="12">
        <v>193412</v>
      </c>
    </row>
    <row r="175" spans="1:13" ht="15.75" customHeight="1" x14ac:dyDescent="0.25">
      <c r="A175" s="9" t="s">
        <v>15</v>
      </c>
      <c r="B175" s="9" t="s">
        <v>45</v>
      </c>
      <c r="C175" s="10" t="s">
        <v>21</v>
      </c>
      <c r="D175" s="9" t="s">
        <v>13</v>
      </c>
      <c r="E175" s="9" t="s">
        <v>47</v>
      </c>
      <c r="F175" s="10">
        <v>122</v>
      </c>
      <c r="G175" s="18">
        <v>44210</v>
      </c>
      <c r="H175" s="14">
        <f t="shared" si="7"/>
        <v>2021</v>
      </c>
      <c r="I175" s="12">
        <f>256.55*50978</f>
        <v>13078405.9</v>
      </c>
      <c r="J175" s="10">
        <v>828</v>
      </c>
      <c r="K175" s="18">
        <v>44284</v>
      </c>
      <c r="L175" s="14">
        <f t="shared" si="6"/>
        <v>2021</v>
      </c>
      <c r="M175" s="12">
        <f>229*51489</f>
        <v>11790981</v>
      </c>
    </row>
    <row r="176" spans="1:13" ht="15.75" customHeight="1" x14ac:dyDescent="0.25">
      <c r="A176" s="9" t="s">
        <v>15</v>
      </c>
      <c r="B176" s="9" t="s">
        <v>45</v>
      </c>
      <c r="C176" s="10" t="s">
        <v>21</v>
      </c>
      <c r="D176" s="9" t="s">
        <v>22</v>
      </c>
      <c r="E176" s="9" t="s">
        <v>23</v>
      </c>
      <c r="F176" s="10">
        <v>2777</v>
      </c>
      <c r="G176" s="18">
        <v>44165</v>
      </c>
      <c r="H176" s="14">
        <f t="shared" si="7"/>
        <v>2020</v>
      </c>
      <c r="I176" s="12">
        <v>2802932</v>
      </c>
      <c r="J176" s="10">
        <v>868</v>
      </c>
      <c r="K176" s="18">
        <v>44286</v>
      </c>
      <c r="L176" s="14">
        <f t="shared" si="6"/>
        <v>2021</v>
      </c>
      <c r="M176" s="12">
        <v>2802932</v>
      </c>
    </row>
    <row r="177" spans="1:13" ht="15.75" customHeight="1" x14ac:dyDescent="0.25">
      <c r="A177" s="9" t="s">
        <v>57</v>
      </c>
      <c r="B177" s="9" t="s">
        <v>45</v>
      </c>
      <c r="C177" s="10" t="s">
        <v>21</v>
      </c>
      <c r="D177" s="9" t="s">
        <v>22</v>
      </c>
      <c r="E177" s="9" t="s">
        <v>58</v>
      </c>
      <c r="F177" s="10">
        <v>2468</v>
      </c>
      <c r="G177" s="18">
        <v>44112</v>
      </c>
      <c r="H177" s="14">
        <f t="shared" si="7"/>
        <v>2020</v>
      </c>
      <c r="I177" s="12">
        <v>5946979</v>
      </c>
      <c r="J177" s="10">
        <v>825</v>
      </c>
      <c r="K177" s="18">
        <v>44284</v>
      </c>
      <c r="L177" s="14">
        <f t="shared" si="6"/>
        <v>2021</v>
      </c>
      <c r="M177" s="12">
        <v>5946979</v>
      </c>
    </row>
    <row r="178" spans="1:13" ht="15.75" customHeight="1" x14ac:dyDescent="0.25">
      <c r="A178" s="9" t="s">
        <v>57</v>
      </c>
      <c r="B178" s="9" t="s">
        <v>45</v>
      </c>
      <c r="C178" s="10" t="s">
        <v>21</v>
      </c>
      <c r="D178" s="9" t="s">
        <v>22</v>
      </c>
      <c r="E178" s="9" t="s">
        <v>58</v>
      </c>
      <c r="F178" s="10">
        <v>2469</v>
      </c>
      <c r="G178" s="18">
        <v>44112</v>
      </c>
      <c r="H178" s="14">
        <f t="shared" si="7"/>
        <v>2020</v>
      </c>
      <c r="I178" s="12">
        <v>12975228</v>
      </c>
      <c r="J178" s="10">
        <v>826</v>
      </c>
      <c r="K178" s="18">
        <v>44284</v>
      </c>
      <c r="L178" s="14">
        <f t="shared" si="6"/>
        <v>2021</v>
      </c>
      <c r="M178" s="12">
        <v>12975228</v>
      </c>
    </row>
    <row r="179" spans="1:13" ht="15.75" customHeight="1" x14ac:dyDescent="0.25">
      <c r="A179" s="9" t="s">
        <v>57</v>
      </c>
      <c r="B179" s="9" t="s">
        <v>45</v>
      </c>
      <c r="C179" s="10" t="s">
        <v>21</v>
      </c>
      <c r="D179" s="9" t="s">
        <v>13</v>
      </c>
      <c r="E179" s="9" t="s">
        <v>58</v>
      </c>
      <c r="F179" s="10">
        <v>2470</v>
      </c>
      <c r="G179" s="18">
        <v>44112</v>
      </c>
      <c r="H179" s="14">
        <f t="shared" si="7"/>
        <v>2020</v>
      </c>
      <c r="I179" s="12">
        <v>270317</v>
      </c>
      <c r="J179" s="10">
        <v>827</v>
      </c>
      <c r="K179" s="18">
        <v>44284</v>
      </c>
      <c r="L179" s="14">
        <f t="shared" si="6"/>
        <v>2021</v>
      </c>
      <c r="M179" s="12">
        <v>270317</v>
      </c>
    </row>
    <row r="180" spans="1:13" ht="15.75" customHeight="1" x14ac:dyDescent="0.25">
      <c r="A180" s="9" t="s">
        <v>57</v>
      </c>
      <c r="B180" s="9" t="s">
        <v>45</v>
      </c>
      <c r="C180" s="10" t="s">
        <v>21</v>
      </c>
      <c r="D180" s="9" t="s">
        <v>13</v>
      </c>
      <c r="E180" s="9" t="s">
        <v>58</v>
      </c>
      <c r="F180" s="10">
        <v>2471</v>
      </c>
      <c r="G180" s="18">
        <v>44112</v>
      </c>
      <c r="H180" s="14">
        <f t="shared" si="7"/>
        <v>2020</v>
      </c>
      <c r="I180" s="12">
        <v>14056497</v>
      </c>
      <c r="J180" s="10">
        <v>830</v>
      </c>
      <c r="K180" s="18">
        <v>44284</v>
      </c>
      <c r="L180" s="14">
        <f t="shared" si="6"/>
        <v>2021</v>
      </c>
      <c r="M180" s="12">
        <v>14056497</v>
      </c>
    </row>
    <row r="181" spans="1:13" ht="15.75" customHeight="1" x14ac:dyDescent="0.25">
      <c r="A181" s="9" t="s">
        <v>57</v>
      </c>
      <c r="B181" s="9" t="s">
        <v>45</v>
      </c>
      <c r="C181" s="10" t="s">
        <v>21</v>
      </c>
      <c r="D181" s="9" t="s">
        <v>13</v>
      </c>
      <c r="E181" s="9" t="s">
        <v>58</v>
      </c>
      <c r="F181" s="10">
        <v>2472</v>
      </c>
      <c r="G181" s="18">
        <v>44112</v>
      </c>
      <c r="H181" s="14">
        <f t="shared" si="7"/>
        <v>2020</v>
      </c>
      <c r="I181" s="12">
        <v>7028248</v>
      </c>
      <c r="J181" s="10">
        <v>829</v>
      </c>
      <c r="K181" s="18">
        <v>44284</v>
      </c>
      <c r="L181" s="14">
        <f t="shared" si="6"/>
        <v>2021</v>
      </c>
      <c r="M181" s="12">
        <v>7028248</v>
      </c>
    </row>
    <row r="182" spans="1:13" ht="15.75" customHeight="1" x14ac:dyDescent="0.25">
      <c r="A182" s="9" t="s">
        <v>15</v>
      </c>
      <c r="B182" s="9" t="s">
        <v>45</v>
      </c>
      <c r="C182" s="10" t="s">
        <v>21</v>
      </c>
      <c r="D182" s="9" t="s">
        <v>13</v>
      </c>
      <c r="E182" s="9" t="s">
        <v>14</v>
      </c>
      <c r="F182" s="10">
        <v>3208</v>
      </c>
      <c r="G182" s="18">
        <v>44195</v>
      </c>
      <c r="H182" s="14">
        <f t="shared" si="7"/>
        <v>2020</v>
      </c>
      <c r="I182" s="12">
        <f>37.1*51029</f>
        <v>1893175.9000000001</v>
      </c>
      <c r="J182" s="10">
        <v>1202</v>
      </c>
      <c r="K182" s="18">
        <v>44316</v>
      </c>
      <c r="L182" s="14">
        <f t="shared" si="6"/>
        <v>2021</v>
      </c>
      <c r="M182" s="12">
        <v>1914063</v>
      </c>
    </row>
    <row r="183" spans="1:13" ht="15.75" customHeight="1" x14ac:dyDescent="0.25">
      <c r="A183" s="9" t="s">
        <v>15</v>
      </c>
      <c r="B183" s="9" t="s">
        <v>45</v>
      </c>
      <c r="C183" s="10" t="s">
        <v>21</v>
      </c>
      <c r="D183" s="9" t="s">
        <v>13</v>
      </c>
      <c r="E183" s="9" t="s">
        <v>14</v>
      </c>
      <c r="F183" s="10">
        <v>3209</v>
      </c>
      <c r="G183" s="18">
        <v>44195</v>
      </c>
      <c r="H183" s="14">
        <f t="shared" si="7"/>
        <v>2020</v>
      </c>
      <c r="I183" s="12">
        <f>105*51029</f>
        <v>5358045</v>
      </c>
      <c r="J183" s="10">
        <v>1203</v>
      </c>
      <c r="K183" s="18">
        <v>44316</v>
      </c>
      <c r="L183" s="14">
        <f t="shared" si="6"/>
        <v>2021</v>
      </c>
      <c r="M183" s="12">
        <v>5417160</v>
      </c>
    </row>
    <row r="184" spans="1:13" ht="15.75" customHeight="1" x14ac:dyDescent="0.25">
      <c r="A184" s="9" t="s">
        <v>15</v>
      </c>
      <c r="B184" s="9" t="s">
        <v>45</v>
      </c>
      <c r="C184" s="10" t="s">
        <v>21</v>
      </c>
      <c r="D184" s="9" t="s">
        <v>13</v>
      </c>
      <c r="E184" s="9" t="s">
        <v>47</v>
      </c>
      <c r="F184" s="10">
        <v>159</v>
      </c>
      <c r="G184" s="18">
        <v>44211</v>
      </c>
      <c r="H184" s="14">
        <f t="shared" si="7"/>
        <v>2021</v>
      </c>
      <c r="I184" s="12">
        <f>339.85*50978</f>
        <v>17324873.300000001</v>
      </c>
      <c r="J184" s="10">
        <v>2533</v>
      </c>
      <c r="K184" s="18">
        <v>44469</v>
      </c>
      <c r="L184" s="14">
        <f t="shared" si="6"/>
        <v>2021</v>
      </c>
      <c r="M184" s="12">
        <f>280.35*52631</f>
        <v>14755100.850000001</v>
      </c>
    </row>
    <row r="185" spans="1:13" ht="15.75" customHeight="1" x14ac:dyDescent="0.25">
      <c r="A185" s="9" t="s">
        <v>15</v>
      </c>
      <c r="B185" s="9" t="s">
        <v>45</v>
      </c>
      <c r="C185" s="10" t="s">
        <v>21</v>
      </c>
      <c r="D185" s="9" t="s">
        <v>13</v>
      </c>
      <c r="E185" s="9" t="s">
        <v>47</v>
      </c>
      <c r="F185" s="10">
        <v>164</v>
      </c>
      <c r="G185" s="18">
        <v>44211</v>
      </c>
      <c r="H185" s="14">
        <f t="shared" si="7"/>
        <v>2021</v>
      </c>
      <c r="I185" s="12">
        <f>335.65*50978</f>
        <v>17110765.699999999</v>
      </c>
      <c r="J185" s="10">
        <v>2455</v>
      </c>
      <c r="K185" s="18">
        <v>44460</v>
      </c>
      <c r="L185" s="14">
        <f t="shared" si="6"/>
        <v>2021</v>
      </c>
      <c r="M185" s="12">
        <v>15639303</v>
      </c>
    </row>
    <row r="186" spans="1:13" ht="15.75" customHeight="1" x14ac:dyDescent="0.25">
      <c r="A186" s="9" t="s">
        <v>15</v>
      </c>
      <c r="B186" s="9" t="s">
        <v>45</v>
      </c>
      <c r="C186" s="10" t="s">
        <v>21</v>
      </c>
      <c r="D186" s="9" t="s">
        <v>13</v>
      </c>
      <c r="E186" s="9" t="s">
        <v>47</v>
      </c>
      <c r="F186" s="10">
        <v>162</v>
      </c>
      <c r="G186" s="18">
        <v>44211</v>
      </c>
      <c r="H186" s="14">
        <f t="shared" si="7"/>
        <v>2021</v>
      </c>
      <c r="I186" s="12">
        <f>897.4*50978</f>
        <v>45747657.199999996</v>
      </c>
      <c r="J186" s="10">
        <v>973</v>
      </c>
      <c r="K186" s="18">
        <v>44294</v>
      </c>
      <c r="L186" s="14">
        <f t="shared" si="6"/>
        <v>2021</v>
      </c>
      <c r="M186" s="12">
        <f>897*51592</f>
        <v>46278024</v>
      </c>
    </row>
    <row r="187" spans="1:13" ht="15.75" customHeight="1" x14ac:dyDescent="0.25">
      <c r="A187" s="9" t="s">
        <v>15</v>
      </c>
      <c r="B187" s="9" t="s">
        <v>45</v>
      </c>
      <c r="C187" s="10" t="s">
        <v>21</v>
      </c>
      <c r="D187" s="9" t="s">
        <v>13</v>
      </c>
      <c r="E187" s="9" t="s">
        <v>47</v>
      </c>
      <c r="F187" s="10">
        <v>160</v>
      </c>
      <c r="G187" s="18">
        <v>44211</v>
      </c>
      <c r="H187" s="14">
        <f t="shared" si="7"/>
        <v>2021</v>
      </c>
      <c r="I187" s="12">
        <f>123.9*50978</f>
        <v>6316174.2000000002</v>
      </c>
      <c r="J187" s="10">
        <v>905</v>
      </c>
      <c r="K187" s="18">
        <v>44286</v>
      </c>
      <c r="L187" s="14">
        <f t="shared" si="6"/>
        <v>2021</v>
      </c>
      <c r="M187" s="12">
        <f>107*51459</f>
        <v>5506113</v>
      </c>
    </row>
    <row r="188" spans="1:13" ht="15.75" customHeight="1" x14ac:dyDescent="0.25">
      <c r="A188" s="9" t="s">
        <v>15</v>
      </c>
      <c r="B188" s="9" t="s">
        <v>45</v>
      </c>
      <c r="C188" s="10" t="s">
        <v>21</v>
      </c>
      <c r="D188" s="9" t="s">
        <v>22</v>
      </c>
      <c r="E188" s="9" t="s">
        <v>19</v>
      </c>
      <c r="F188" s="10">
        <v>335</v>
      </c>
      <c r="G188" s="18">
        <v>44231</v>
      </c>
      <c r="H188" s="14">
        <f t="shared" si="7"/>
        <v>2021</v>
      </c>
      <c r="I188" s="12">
        <v>472598</v>
      </c>
      <c r="J188" s="10">
        <v>747</v>
      </c>
      <c r="K188" s="18">
        <v>44274</v>
      </c>
      <c r="L188" s="14">
        <f t="shared" si="6"/>
        <v>2021</v>
      </c>
      <c r="M188" s="12">
        <v>472598</v>
      </c>
    </row>
    <row r="189" spans="1:13" ht="15.75" customHeight="1" x14ac:dyDescent="0.25">
      <c r="A189" s="9" t="s">
        <v>15</v>
      </c>
      <c r="B189" s="9" t="s">
        <v>45</v>
      </c>
      <c r="C189" s="10" t="s">
        <v>21</v>
      </c>
      <c r="D189" s="9" t="s">
        <v>13</v>
      </c>
      <c r="E189" s="9" t="s">
        <v>14</v>
      </c>
      <c r="F189" s="10">
        <v>221</v>
      </c>
      <c r="G189" s="18">
        <v>44215</v>
      </c>
      <c r="H189" s="14">
        <f t="shared" si="7"/>
        <v>2021</v>
      </c>
      <c r="I189" s="12">
        <f>358.75*50978</f>
        <v>18288357.5</v>
      </c>
      <c r="J189" s="10">
        <v>2459</v>
      </c>
      <c r="K189" s="18">
        <v>44460</v>
      </c>
      <c r="L189" s="14">
        <f t="shared" si="6"/>
        <v>2021</v>
      </c>
      <c r="M189" s="12">
        <v>17642707</v>
      </c>
    </row>
    <row r="190" spans="1:13" ht="15.75" customHeight="1" x14ac:dyDescent="0.25">
      <c r="A190" s="9" t="s">
        <v>15</v>
      </c>
      <c r="B190" s="9" t="s">
        <v>45</v>
      </c>
      <c r="C190" s="10" t="s">
        <v>21</v>
      </c>
      <c r="D190" s="9" t="s">
        <v>22</v>
      </c>
      <c r="E190" s="9" t="s">
        <v>14</v>
      </c>
      <c r="F190" s="10">
        <v>38</v>
      </c>
      <c r="G190" s="18">
        <v>44207</v>
      </c>
      <c r="H190" s="14">
        <f t="shared" si="7"/>
        <v>2021</v>
      </c>
      <c r="I190" s="12">
        <f>243.25*50978</f>
        <v>12400398.5</v>
      </c>
      <c r="J190" s="10">
        <v>1253</v>
      </c>
      <c r="K190" s="18">
        <v>44316</v>
      </c>
      <c r="L190" s="14">
        <f t="shared" si="6"/>
        <v>2021</v>
      </c>
      <c r="M190" s="12">
        <v>12549753</v>
      </c>
    </row>
    <row r="191" spans="1:13" ht="15.75" customHeight="1" x14ac:dyDescent="0.25">
      <c r="A191" s="9" t="s">
        <v>15</v>
      </c>
      <c r="B191" s="9" t="s">
        <v>45</v>
      </c>
      <c r="C191" s="10" t="s">
        <v>21</v>
      </c>
      <c r="D191" s="9" t="s">
        <v>13</v>
      </c>
      <c r="E191" s="9" t="s">
        <v>14</v>
      </c>
      <c r="F191" s="10">
        <v>39</v>
      </c>
      <c r="G191" s="18">
        <v>44207</v>
      </c>
      <c r="H191" s="14">
        <f t="shared" si="7"/>
        <v>2021</v>
      </c>
      <c r="I191" s="12">
        <f>216.3*50978</f>
        <v>11026541.4</v>
      </c>
      <c r="J191" s="10">
        <v>1254</v>
      </c>
      <c r="K191" s="18">
        <v>44316</v>
      </c>
      <c r="L191" s="14">
        <f t="shared" si="6"/>
        <v>2021</v>
      </c>
      <c r="M191" s="12">
        <v>11159349</v>
      </c>
    </row>
    <row r="192" spans="1:13" ht="15.75" customHeight="1" x14ac:dyDescent="0.25">
      <c r="A192" s="9" t="s">
        <v>15</v>
      </c>
      <c r="B192" s="9" t="s">
        <v>45</v>
      </c>
      <c r="C192" s="10" t="s">
        <v>21</v>
      </c>
      <c r="D192" s="9" t="s">
        <v>22</v>
      </c>
      <c r="E192" s="9" t="s">
        <v>14</v>
      </c>
      <c r="F192" s="10">
        <v>40</v>
      </c>
      <c r="G192" s="18">
        <v>44207</v>
      </c>
      <c r="H192" s="14">
        <f t="shared" si="7"/>
        <v>2021</v>
      </c>
      <c r="I192" s="12">
        <f>10.5*50978</f>
        <v>535269</v>
      </c>
      <c r="J192" s="10">
        <v>1255</v>
      </c>
      <c r="K192" s="18">
        <v>44316</v>
      </c>
      <c r="L192" s="14">
        <f t="shared" si="6"/>
        <v>2021</v>
      </c>
      <c r="M192" s="12">
        <v>541716</v>
      </c>
    </row>
    <row r="193" spans="1:13" ht="15.75" customHeight="1" x14ac:dyDescent="0.25">
      <c r="A193" s="9" t="s">
        <v>15</v>
      </c>
      <c r="B193" s="9" t="s">
        <v>45</v>
      </c>
      <c r="C193" s="10" t="s">
        <v>21</v>
      </c>
      <c r="D193" s="9" t="s">
        <v>13</v>
      </c>
      <c r="E193" s="9" t="s">
        <v>14</v>
      </c>
      <c r="F193" s="10">
        <v>41</v>
      </c>
      <c r="G193" s="18">
        <v>44207</v>
      </c>
      <c r="H193" s="14">
        <f t="shared" si="7"/>
        <v>2021</v>
      </c>
      <c r="I193" s="12">
        <f>31.5*50978</f>
        <v>1605807</v>
      </c>
      <c r="J193" s="10">
        <v>1256</v>
      </c>
      <c r="K193" s="18">
        <v>44316</v>
      </c>
      <c r="L193" s="14">
        <f t="shared" si="6"/>
        <v>2021</v>
      </c>
      <c r="M193" s="12">
        <v>1625148</v>
      </c>
    </row>
    <row r="194" spans="1:13" ht="15.75" customHeight="1" x14ac:dyDescent="0.25">
      <c r="A194" s="9" t="s">
        <v>15</v>
      </c>
      <c r="B194" s="9" t="s">
        <v>45</v>
      </c>
      <c r="C194" s="10" t="s">
        <v>21</v>
      </c>
      <c r="D194" s="9" t="s">
        <v>13</v>
      </c>
      <c r="E194" s="9" t="s">
        <v>14</v>
      </c>
      <c r="F194" s="10">
        <v>72</v>
      </c>
      <c r="G194" s="18">
        <v>44207</v>
      </c>
      <c r="H194" s="14">
        <f t="shared" si="7"/>
        <v>2021</v>
      </c>
      <c r="I194" s="12">
        <f>42*50978</f>
        <v>2141076</v>
      </c>
      <c r="J194" s="10">
        <v>1257</v>
      </c>
      <c r="K194" s="18">
        <v>44316</v>
      </c>
      <c r="L194" s="14">
        <f t="shared" si="6"/>
        <v>2021</v>
      </c>
      <c r="M194" s="12">
        <v>2166864</v>
      </c>
    </row>
    <row r="195" spans="1:13" ht="15.75" customHeight="1" x14ac:dyDescent="0.25">
      <c r="A195" s="9" t="s">
        <v>59</v>
      </c>
      <c r="B195" s="9" t="s">
        <v>67</v>
      </c>
      <c r="C195" s="10" t="s">
        <v>39</v>
      </c>
      <c r="D195" s="9" t="s">
        <v>40</v>
      </c>
      <c r="E195" s="9" t="s">
        <v>47</v>
      </c>
      <c r="F195" s="10">
        <v>251</v>
      </c>
      <c r="G195" s="18">
        <v>43605</v>
      </c>
      <c r="H195" s="14">
        <f t="shared" si="7"/>
        <v>2019</v>
      </c>
      <c r="I195" s="12">
        <v>709000</v>
      </c>
      <c r="J195" s="10">
        <v>2281</v>
      </c>
      <c r="K195" s="18">
        <v>44435</v>
      </c>
      <c r="L195" s="14">
        <f t="shared" si="6"/>
        <v>2021</v>
      </c>
      <c r="M195" s="12">
        <v>564674</v>
      </c>
    </row>
    <row r="196" spans="1:13" ht="15.75" customHeight="1" x14ac:dyDescent="0.25">
      <c r="A196" s="9" t="s">
        <v>59</v>
      </c>
      <c r="B196" s="9" t="s">
        <v>67</v>
      </c>
      <c r="C196" s="10" t="s">
        <v>39</v>
      </c>
      <c r="D196" s="9" t="s">
        <v>40</v>
      </c>
      <c r="E196" s="9" t="s">
        <v>47</v>
      </c>
      <c r="F196" s="10">
        <v>252</v>
      </c>
      <c r="G196" s="18">
        <v>43605</v>
      </c>
      <c r="H196" s="14">
        <f t="shared" si="7"/>
        <v>2019</v>
      </c>
      <c r="I196" s="12">
        <v>966069</v>
      </c>
      <c r="J196" s="10">
        <v>2282</v>
      </c>
      <c r="K196" s="18">
        <v>44435</v>
      </c>
      <c r="L196" s="14">
        <f t="shared" si="6"/>
        <v>2021</v>
      </c>
      <c r="M196" s="12">
        <v>554956</v>
      </c>
    </row>
    <row r="197" spans="1:13" ht="15.75" customHeight="1" x14ac:dyDescent="0.25">
      <c r="A197" s="9" t="s">
        <v>59</v>
      </c>
      <c r="B197" s="9" t="s">
        <v>67</v>
      </c>
      <c r="C197" s="10" t="s">
        <v>39</v>
      </c>
      <c r="D197" s="9" t="s">
        <v>40</v>
      </c>
      <c r="E197" s="9" t="s">
        <v>14</v>
      </c>
      <c r="F197" s="10">
        <v>259</v>
      </c>
      <c r="G197" s="18">
        <v>43789</v>
      </c>
      <c r="H197" s="14">
        <f t="shared" si="7"/>
        <v>2019</v>
      </c>
      <c r="I197" s="12">
        <v>2579906</v>
      </c>
      <c r="J197" s="10">
        <v>2175</v>
      </c>
      <c r="K197" s="18">
        <v>44413</v>
      </c>
      <c r="L197" s="14">
        <f t="shared" si="6"/>
        <v>2021</v>
      </c>
      <c r="M197" s="12">
        <v>1820369</v>
      </c>
    </row>
    <row r="198" spans="1:13" ht="15.75" customHeight="1" x14ac:dyDescent="0.25">
      <c r="A198" s="9" t="s">
        <v>10</v>
      </c>
      <c r="B198" s="9" t="s">
        <v>67</v>
      </c>
      <c r="C198" s="10" t="s">
        <v>39</v>
      </c>
      <c r="D198" s="9" t="s">
        <v>40</v>
      </c>
      <c r="E198" s="9" t="s">
        <v>47</v>
      </c>
      <c r="F198" s="10">
        <v>552</v>
      </c>
      <c r="G198" s="18">
        <v>43794</v>
      </c>
      <c r="H198" s="14">
        <f t="shared" si="7"/>
        <v>2019</v>
      </c>
      <c r="I198" s="12">
        <v>9577994</v>
      </c>
      <c r="J198" s="10">
        <v>3442</v>
      </c>
      <c r="K198" s="18">
        <v>44554</v>
      </c>
      <c r="L198" s="14">
        <f t="shared" ref="L198:L261" si="8">YEAR(K198)</f>
        <v>2021</v>
      </c>
      <c r="M198" s="12">
        <v>9577994</v>
      </c>
    </row>
    <row r="199" spans="1:13" ht="15.75" customHeight="1" x14ac:dyDescent="0.25">
      <c r="A199" s="9" t="s">
        <v>59</v>
      </c>
      <c r="B199" s="9" t="s">
        <v>67</v>
      </c>
      <c r="C199" s="10" t="s">
        <v>39</v>
      </c>
      <c r="D199" s="9" t="s">
        <v>40</v>
      </c>
      <c r="E199" s="9" t="s">
        <v>65</v>
      </c>
      <c r="F199" s="10">
        <v>446</v>
      </c>
      <c r="G199" s="18">
        <v>43734</v>
      </c>
      <c r="H199" s="14">
        <f t="shared" ref="H199:H262" si="9">YEAR(G199)</f>
        <v>2019</v>
      </c>
      <c r="I199" s="12">
        <v>1087961</v>
      </c>
      <c r="J199" s="10">
        <v>1763</v>
      </c>
      <c r="K199" s="18">
        <v>44361</v>
      </c>
      <c r="L199" s="14">
        <f t="shared" si="8"/>
        <v>2021</v>
      </c>
      <c r="M199" s="12">
        <v>1087961</v>
      </c>
    </row>
    <row r="200" spans="1:13" ht="15.75" customHeight="1" x14ac:dyDescent="0.25">
      <c r="A200" s="9" t="s">
        <v>59</v>
      </c>
      <c r="B200" s="9" t="s">
        <v>67</v>
      </c>
      <c r="C200" s="10" t="s">
        <v>39</v>
      </c>
      <c r="D200" s="9" t="s">
        <v>40</v>
      </c>
      <c r="E200" s="9" t="s">
        <v>65</v>
      </c>
      <c r="F200" s="10">
        <v>452</v>
      </c>
      <c r="G200" s="18">
        <v>43734</v>
      </c>
      <c r="H200" s="14">
        <f t="shared" si="9"/>
        <v>2019</v>
      </c>
      <c r="I200" s="12">
        <v>359372</v>
      </c>
      <c r="J200" s="10">
        <v>1517</v>
      </c>
      <c r="K200" s="18">
        <v>44344</v>
      </c>
      <c r="L200" s="14">
        <f t="shared" si="8"/>
        <v>2021</v>
      </c>
      <c r="M200" s="12">
        <v>359372</v>
      </c>
    </row>
    <row r="201" spans="1:13" ht="15.75" customHeight="1" x14ac:dyDescent="0.25">
      <c r="A201" s="9" t="s">
        <v>15</v>
      </c>
      <c r="B201" s="9" t="s">
        <v>67</v>
      </c>
      <c r="C201" s="10" t="s">
        <v>39</v>
      </c>
      <c r="D201" s="9" t="s">
        <v>40</v>
      </c>
      <c r="E201" s="9" t="s">
        <v>36</v>
      </c>
      <c r="F201" s="10">
        <v>626</v>
      </c>
      <c r="G201" s="18">
        <v>43830</v>
      </c>
      <c r="H201" s="14">
        <f t="shared" si="9"/>
        <v>2019</v>
      </c>
      <c r="I201" s="12">
        <v>26663970</v>
      </c>
      <c r="J201" s="10">
        <v>2363</v>
      </c>
      <c r="K201" s="18">
        <v>44452</v>
      </c>
      <c r="L201" s="14">
        <f t="shared" si="8"/>
        <v>2021</v>
      </c>
      <c r="M201" s="12">
        <v>23783928</v>
      </c>
    </row>
    <row r="202" spans="1:13" ht="15.75" customHeight="1" x14ac:dyDescent="0.25">
      <c r="A202" s="9" t="s">
        <v>15</v>
      </c>
      <c r="B202" s="9" t="s">
        <v>67</v>
      </c>
      <c r="C202" s="10" t="s">
        <v>17</v>
      </c>
      <c r="D202" s="9" t="s">
        <v>34</v>
      </c>
      <c r="E202" s="9" t="s">
        <v>14</v>
      </c>
      <c r="F202" s="10">
        <v>1135</v>
      </c>
      <c r="G202" s="18">
        <v>43923</v>
      </c>
      <c r="H202" s="14">
        <f t="shared" si="9"/>
        <v>2020</v>
      </c>
      <c r="I202" s="12">
        <f>194.95*50221</f>
        <v>9790583.9499999993</v>
      </c>
      <c r="J202" s="10">
        <v>1515</v>
      </c>
      <c r="K202" s="18">
        <v>44344</v>
      </c>
      <c r="L202" s="14">
        <f t="shared" si="8"/>
        <v>2021</v>
      </c>
      <c r="M202" s="12">
        <f>173.95*51798</f>
        <v>9010262.0999999996</v>
      </c>
    </row>
    <row r="203" spans="1:13" ht="15.75" customHeight="1" x14ac:dyDescent="0.25">
      <c r="A203" s="9" t="s">
        <v>15</v>
      </c>
      <c r="B203" s="9" t="s">
        <v>67</v>
      </c>
      <c r="C203" s="10" t="s">
        <v>17</v>
      </c>
      <c r="D203" s="9" t="s">
        <v>34</v>
      </c>
      <c r="E203" s="9" t="s">
        <v>47</v>
      </c>
      <c r="F203" s="10">
        <v>1136</v>
      </c>
      <c r="G203" s="18">
        <v>43923</v>
      </c>
      <c r="H203" s="14">
        <f t="shared" si="9"/>
        <v>2020</v>
      </c>
      <c r="I203" s="12">
        <f>128.45*50221</f>
        <v>6450887.4499999993</v>
      </c>
      <c r="J203" s="10">
        <v>1346</v>
      </c>
      <c r="K203" s="18">
        <v>44326</v>
      </c>
      <c r="L203" s="14">
        <f t="shared" si="8"/>
        <v>2021</v>
      </c>
      <c r="M203" s="12">
        <f>128.45*51798</f>
        <v>6653453.0999999996</v>
      </c>
    </row>
    <row r="204" spans="1:13" ht="15.75" customHeight="1" x14ac:dyDescent="0.25">
      <c r="A204" s="9" t="s">
        <v>59</v>
      </c>
      <c r="B204" s="9" t="s">
        <v>67</v>
      </c>
      <c r="C204" s="10" t="s">
        <v>17</v>
      </c>
      <c r="D204" s="9" t="s">
        <v>34</v>
      </c>
      <c r="E204" s="9" t="s">
        <v>19</v>
      </c>
      <c r="F204" s="10">
        <v>2113</v>
      </c>
      <c r="G204" s="18">
        <v>44057</v>
      </c>
      <c r="H204" s="14">
        <f t="shared" si="9"/>
        <v>2020</v>
      </c>
      <c r="I204" s="12">
        <v>1274121</v>
      </c>
      <c r="J204" s="10">
        <v>1516</v>
      </c>
      <c r="K204" s="18">
        <v>44344</v>
      </c>
      <c r="L204" s="14">
        <f t="shared" si="8"/>
        <v>2021</v>
      </c>
      <c r="M204" s="12">
        <v>1274121</v>
      </c>
    </row>
    <row r="205" spans="1:13" ht="15.75" customHeight="1" x14ac:dyDescent="0.25">
      <c r="A205" s="9" t="s">
        <v>15</v>
      </c>
      <c r="B205" s="9" t="s">
        <v>67</v>
      </c>
      <c r="C205" s="10" t="s">
        <v>17</v>
      </c>
      <c r="D205" s="9" t="s">
        <v>34</v>
      </c>
      <c r="E205" s="9" t="s">
        <v>19</v>
      </c>
      <c r="F205" s="10">
        <v>2112</v>
      </c>
      <c r="G205" s="18">
        <v>44057</v>
      </c>
      <c r="H205" s="14">
        <f t="shared" si="9"/>
        <v>2020</v>
      </c>
      <c r="I205" s="12">
        <v>14346416</v>
      </c>
      <c r="J205" s="10">
        <v>1761</v>
      </c>
      <c r="K205" s="18">
        <v>44361</v>
      </c>
      <c r="L205" s="14">
        <f t="shared" si="8"/>
        <v>2021</v>
      </c>
      <c r="M205" s="12">
        <v>13358418</v>
      </c>
    </row>
    <row r="206" spans="1:13" ht="15.75" customHeight="1" x14ac:dyDescent="0.25">
      <c r="A206" s="9" t="s">
        <v>15</v>
      </c>
      <c r="B206" s="9" t="s">
        <v>67</v>
      </c>
      <c r="C206" s="10" t="s">
        <v>17</v>
      </c>
      <c r="D206" s="9" t="s">
        <v>34</v>
      </c>
      <c r="E206" s="9" t="s">
        <v>23</v>
      </c>
      <c r="F206" s="10">
        <v>2154</v>
      </c>
      <c r="G206" s="18">
        <v>44068</v>
      </c>
      <c r="H206" s="14">
        <f t="shared" si="9"/>
        <v>2020</v>
      </c>
      <c r="I206" s="12">
        <v>25682491</v>
      </c>
      <c r="J206" s="10">
        <v>1762</v>
      </c>
      <c r="K206" s="18">
        <v>44361</v>
      </c>
      <c r="L206" s="14">
        <f t="shared" si="8"/>
        <v>2021</v>
      </c>
      <c r="M206" s="12">
        <v>25682491</v>
      </c>
    </row>
    <row r="207" spans="1:13" ht="15.75" customHeight="1" x14ac:dyDescent="0.25">
      <c r="A207" s="9" t="s">
        <v>15</v>
      </c>
      <c r="B207" s="9" t="s">
        <v>67</v>
      </c>
      <c r="C207" s="10" t="s">
        <v>39</v>
      </c>
      <c r="D207" s="9" t="s">
        <v>40</v>
      </c>
      <c r="E207" s="9" t="s">
        <v>36</v>
      </c>
      <c r="F207" s="10">
        <v>312</v>
      </c>
      <c r="G207" s="18">
        <v>44125</v>
      </c>
      <c r="H207" s="14">
        <f t="shared" si="9"/>
        <v>2020</v>
      </c>
      <c r="I207" s="12">
        <v>4048396</v>
      </c>
      <c r="J207" s="10">
        <v>1478</v>
      </c>
      <c r="K207" s="18">
        <v>44341</v>
      </c>
      <c r="L207" s="14">
        <f t="shared" si="8"/>
        <v>2021</v>
      </c>
      <c r="M207" s="12">
        <v>3995002</v>
      </c>
    </row>
    <row r="208" spans="1:13" ht="15.75" customHeight="1" x14ac:dyDescent="0.25">
      <c r="A208" s="9" t="s">
        <v>15</v>
      </c>
      <c r="B208" s="9" t="s">
        <v>67</v>
      </c>
      <c r="C208" s="10" t="s">
        <v>39</v>
      </c>
      <c r="D208" s="9" t="s">
        <v>40</v>
      </c>
      <c r="E208" s="9" t="s">
        <v>36</v>
      </c>
      <c r="F208" s="10">
        <v>313</v>
      </c>
      <c r="G208" s="18">
        <v>44125</v>
      </c>
      <c r="H208" s="14">
        <f t="shared" si="9"/>
        <v>2020</v>
      </c>
      <c r="I208" s="12">
        <v>436725</v>
      </c>
      <c r="J208" s="10">
        <v>570</v>
      </c>
      <c r="K208" s="18">
        <v>44256</v>
      </c>
      <c r="L208" s="14">
        <f t="shared" si="8"/>
        <v>2021</v>
      </c>
      <c r="M208" s="12">
        <v>436725</v>
      </c>
    </row>
    <row r="209" spans="1:13" ht="15.75" customHeight="1" x14ac:dyDescent="0.25">
      <c r="A209" s="9" t="s">
        <v>15</v>
      </c>
      <c r="B209" s="9" t="s">
        <v>67</v>
      </c>
      <c r="C209" s="10" t="s">
        <v>39</v>
      </c>
      <c r="D209" s="9" t="s">
        <v>40</v>
      </c>
      <c r="E209" s="9" t="s">
        <v>72</v>
      </c>
      <c r="F209" s="10">
        <v>29</v>
      </c>
      <c r="G209" s="18">
        <v>44214</v>
      </c>
      <c r="H209" s="14">
        <f t="shared" si="9"/>
        <v>2021</v>
      </c>
      <c r="I209" s="12">
        <v>19900046</v>
      </c>
      <c r="J209" s="10">
        <v>3350</v>
      </c>
      <c r="K209" s="18">
        <v>44551</v>
      </c>
      <c r="L209" s="14">
        <f t="shared" si="8"/>
        <v>2021</v>
      </c>
      <c r="M209" s="12">
        <v>19900046</v>
      </c>
    </row>
    <row r="210" spans="1:13" ht="15.75" customHeight="1" x14ac:dyDescent="0.25">
      <c r="A210" s="9" t="s">
        <v>15</v>
      </c>
      <c r="B210" s="9" t="s">
        <v>67</v>
      </c>
      <c r="C210" s="10" t="s">
        <v>39</v>
      </c>
      <c r="D210" s="9" t="s">
        <v>40</v>
      </c>
      <c r="E210" s="9" t="s">
        <v>72</v>
      </c>
      <c r="F210" s="10">
        <v>33</v>
      </c>
      <c r="G210" s="18">
        <v>44214</v>
      </c>
      <c r="H210" s="14">
        <f t="shared" si="9"/>
        <v>2021</v>
      </c>
      <c r="I210" s="12">
        <v>5947498</v>
      </c>
      <c r="J210" s="10">
        <v>3348</v>
      </c>
      <c r="K210" s="18">
        <v>44551</v>
      </c>
      <c r="L210" s="14">
        <f t="shared" si="8"/>
        <v>2021</v>
      </c>
      <c r="M210" s="12">
        <v>5392275</v>
      </c>
    </row>
    <row r="211" spans="1:13" ht="15.75" customHeight="1" x14ac:dyDescent="0.25">
      <c r="A211" s="9" t="s">
        <v>15</v>
      </c>
      <c r="B211" s="9" t="s">
        <v>67</v>
      </c>
      <c r="C211" s="10" t="s">
        <v>39</v>
      </c>
      <c r="D211" s="9" t="s">
        <v>40</v>
      </c>
      <c r="E211" s="9" t="s">
        <v>72</v>
      </c>
      <c r="F211" s="10">
        <v>39</v>
      </c>
      <c r="G211" s="18">
        <v>44214</v>
      </c>
      <c r="H211" s="14">
        <f t="shared" si="9"/>
        <v>2021</v>
      </c>
      <c r="I211" s="12">
        <v>10374825</v>
      </c>
      <c r="J211" s="10">
        <v>3349</v>
      </c>
      <c r="K211" s="18">
        <v>44551</v>
      </c>
      <c r="L211" s="14">
        <f t="shared" si="8"/>
        <v>2021</v>
      </c>
      <c r="M211" s="12">
        <v>10374825</v>
      </c>
    </row>
    <row r="212" spans="1:13" ht="15.75" customHeight="1" x14ac:dyDescent="0.25">
      <c r="A212" s="9" t="s">
        <v>10</v>
      </c>
      <c r="B212" s="9" t="s">
        <v>67</v>
      </c>
      <c r="C212" s="10" t="s">
        <v>39</v>
      </c>
      <c r="D212" s="9" t="s">
        <v>40</v>
      </c>
      <c r="E212" s="9" t="s">
        <v>72</v>
      </c>
      <c r="F212" s="10">
        <v>23</v>
      </c>
      <c r="G212" s="18">
        <v>44214</v>
      </c>
      <c r="H212" s="14">
        <f t="shared" si="9"/>
        <v>2021</v>
      </c>
      <c r="I212" s="12">
        <v>19049</v>
      </c>
      <c r="J212" s="10">
        <v>3143</v>
      </c>
      <c r="K212" s="18">
        <v>44536</v>
      </c>
      <c r="L212" s="14">
        <f t="shared" si="8"/>
        <v>2021</v>
      </c>
      <c r="M212" s="12">
        <v>19049</v>
      </c>
    </row>
    <row r="213" spans="1:13" ht="15.75" customHeight="1" x14ac:dyDescent="0.25">
      <c r="A213" s="9" t="s">
        <v>57</v>
      </c>
      <c r="B213" s="9" t="s">
        <v>67</v>
      </c>
      <c r="C213" s="10" t="s">
        <v>17</v>
      </c>
      <c r="D213" s="9" t="s">
        <v>34</v>
      </c>
      <c r="E213" s="9" t="s">
        <v>58</v>
      </c>
      <c r="F213" s="10">
        <v>2990</v>
      </c>
      <c r="G213" s="18">
        <v>44182</v>
      </c>
      <c r="H213" s="14">
        <f t="shared" si="9"/>
        <v>2020</v>
      </c>
      <c r="I213" s="12">
        <v>16172977</v>
      </c>
      <c r="J213" s="10">
        <v>2284</v>
      </c>
      <c r="K213" s="18">
        <v>44435</v>
      </c>
      <c r="L213" s="14">
        <f t="shared" si="8"/>
        <v>2021</v>
      </c>
      <c r="M213" s="12">
        <v>13980031</v>
      </c>
    </row>
    <row r="214" spans="1:13" ht="15.75" customHeight="1" x14ac:dyDescent="0.25">
      <c r="A214" s="9" t="s">
        <v>57</v>
      </c>
      <c r="B214" s="9" t="s">
        <v>67</v>
      </c>
      <c r="C214" s="10" t="s">
        <v>17</v>
      </c>
      <c r="D214" s="9" t="s">
        <v>34</v>
      </c>
      <c r="E214" s="9" t="s">
        <v>58</v>
      </c>
      <c r="F214" s="10">
        <v>3217</v>
      </c>
      <c r="G214" s="18">
        <v>44195</v>
      </c>
      <c r="H214" s="14">
        <f t="shared" si="9"/>
        <v>2020</v>
      </c>
      <c r="I214" s="12">
        <v>3015301</v>
      </c>
      <c r="J214" s="10">
        <v>2283</v>
      </c>
      <c r="K214" s="18">
        <v>44435</v>
      </c>
      <c r="L214" s="14">
        <f t="shared" si="8"/>
        <v>2021</v>
      </c>
      <c r="M214" s="12">
        <v>3015301</v>
      </c>
    </row>
    <row r="215" spans="1:13" ht="15.75" customHeight="1" x14ac:dyDescent="0.25">
      <c r="A215" s="9" t="s">
        <v>15</v>
      </c>
      <c r="B215" s="9" t="s">
        <v>26</v>
      </c>
      <c r="C215" s="10" t="s">
        <v>12</v>
      </c>
      <c r="D215" s="9" t="s">
        <v>13</v>
      </c>
      <c r="E215" s="9" t="s">
        <v>72</v>
      </c>
      <c r="F215" s="10">
        <v>656</v>
      </c>
      <c r="G215" s="18">
        <v>44174</v>
      </c>
      <c r="H215" s="14">
        <f t="shared" si="9"/>
        <v>2020</v>
      </c>
      <c r="I215" s="12">
        <v>4377644</v>
      </c>
      <c r="J215" s="10">
        <v>794</v>
      </c>
      <c r="K215" s="18">
        <v>44279</v>
      </c>
      <c r="L215" s="14">
        <f t="shared" si="8"/>
        <v>2021</v>
      </c>
      <c r="M215" s="12">
        <v>4377644</v>
      </c>
    </row>
    <row r="216" spans="1:13" ht="15.75" customHeight="1" x14ac:dyDescent="0.25">
      <c r="A216" s="9" t="s">
        <v>15</v>
      </c>
      <c r="B216" s="9" t="s">
        <v>26</v>
      </c>
      <c r="C216" s="10" t="s">
        <v>12</v>
      </c>
      <c r="D216" s="9" t="s">
        <v>13</v>
      </c>
      <c r="E216" s="9" t="s">
        <v>72</v>
      </c>
      <c r="F216" s="10">
        <v>655</v>
      </c>
      <c r="G216" s="18">
        <v>44174</v>
      </c>
      <c r="H216" s="14">
        <f t="shared" si="9"/>
        <v>2020</v>
      </c>
      <c r="I216" s="12">
        <v>13929247</v>
      </c>
      <c r="J216" s="10">
        <v>793</v>
      </c>
      <c r="K216" s="18">
        <v>44279</v>
      </c>
      <c r="L216" s="14">
        <f t="shared" si="8"/>
        <v>2021</v>
      </c>
      <c r="M216" s="12">
        <v>13929247</v>
      </c>
    </row>
    <row r="217" spans="1:13" ht="15.75" customHeight="1" x14ac:dyDescent="0.25">
      <c r="A217" s="9" t="s">
        <v>15</v>
      </c>
      <c r="B217" s="9" t="s">
        <v>26</v>
      </c>
      <c r="C217" s="10" t="s">
        <v>12</v>
      </c>
      <c r="D217" s="9" t="s">
        <v>13</v>
      </c>
      <c r="E217" s="9" t="s">
        <v>72</v>
      </c>
      <c r="F217" s="10">
        <v>654</v>
      </c>
      <c r="G217" s="18">
        <v>44174</v>
      </c>
      <c r="H217" s="14">
        <f t="shared" si="9"/>
        <v>2020</v>
      </c>
      <c r="I217" s="12">
        <v>3872463</v>
      </c>
      <c r="J217" s="10">
        <v>792</v>
      </c>
      <c r="K217" s="18">
        <v>44279</v>
      </c>
      <c r="L217" s="14">
        <f t="shared" si="8"/>
        <v>2021</v>
      </c>
      <c r="M217" s="12">
        <v>3872463</v>
      </c>
    </row>
    <row r="218" spans="1:13" ht="15.75" customHeight="1" x14ac:dyDescent="0.25">
      <c r="A218" s="9" t="s">
        <v>10</v>
      </c>
      <c r="B218" s="9" t="s">
        <v>26</v>
      </c>
      <c r="C218" s="10" t="s">
        <v>12</v>
      </c>
      <c r="D218" s="9" t="s">
        <v>13</v>
      </c>
      <c r="E218" s="9" t="s">
        <v>72</v>
      </c>
      <c r="F218" s="10">
        <v>9</v>
      </c>
      <c r="G218" s="18">
        <v>44210</v>
      </c>
      <c r="H218" s="14">
        <f t="shared" si="9"/>
        <v>2021</v>
      </c>
      <c r="I218" s="12">
        <v>108954</v>
      </c>
      <c r="J218" s="10">
        <v>1222</v>
      </c>
      <c r="K218" s="18">
        <v>44315</v>
      </c>
      <c r="L218" s="14">
        <f t="shared" si="8"/>
        <v>2021</v>
      </c>
      <c r="M218" s="12">
        <v>108954</v>
      </c>
    </row>
    <row r="219" spans="1:13" ht="15.75" customHeight="1" x14ac:dyDescent="0.25">
      <c r="A219" s="9" t="s">
        <v>10</v>
      </c>
      <c r="B219" s="9" t="s">
        <v>26</v>
      </c>
      <c r="C219" s="10" t="s">
        <v>12</v>
      </c>
      <c r="D219" s="9" t="s">
        <v>13</v>
      </c>
      <c r="E219" s="9" t="s">
        <v>72</v>
      </c>
      <c r="F219" s="10">
        <v>16</v>
      </c>
      <c r="G219" s="18">
        <v>44210</v>
      </c>
      <c r="H219" s="14">
        <f t="shared" si="9"/>
        <v>2021</v>
      </c>
      <c r="I219" s="12">
        <v>661317</v>
      </c>
      <c r="J219" s="10">
        <v>1233</v>
      </c>
      <c r="K219" s="18">
        <v>44315</v>
      </c>
      <c r="L219" s="14">
        <f t="shared" si="8"/>
        <v>2021</v>
      </c>
      <c r="M219" s="12">
        <v>661317</v>
      </c>
    </row>
    <row r="220" spans="1:13" ht="15.75" customHeight="1" x14ac:dyDescent="0.25">
      <c r="A220" s="9" t="s">
        <v>10</v>
      </c>
      <c r="B220" s="9" t="s">
        <v>26</v>
      </c>
      <c r="C220" s="10" t="s">
        <v>12</v>
      </c>
      <c r="D220" s="9" t="s">
        <v>13</v>
      </c>
      <c r="E220" s="9" t="s">
        <v>72</v>
      </c>
      <c r="F220" s="10">
        <v>20</v>
      </c>
      <c r="G220" s="18">
        <v>44210</v>
      </c>
      <c r="H220" s="14">
        <f t="shared" si="9"/>
        <v>2021</v>
      </c>
      <c r="I220" s="12">
        <v>35500</v>
      </c>
      <c r="J220" s="10">
        <v>1228</v>
      </c>
      <c r="K220" s="18">
        <v>44315</v>
      </c>
      <c r="L220" s="14">
        <f t="shared" si="8"/>
        <v>2021</v>
      </c>
      <c r="M220" s="12">
        <v>35500</v>
      </c>
    </row>
    <row r="221" spans="1:13" ht="15.75" customHeight="1" x14ac:dyDescent="0.25">
      <c r="A221" s="9" t="s">
        <v>15</v>
      </c>
      <c r="B221" s="9" t="s">
        <v>26</v>
      </c>
      <c r="C221" s="10" t="s">
        <v>12</v>
      </c>
      <c r="D221" s="9" t="s">
        <v>13</v>
      </c>
      <c r="E221" s="9" t="s">
        <v>74</v>
      </c>
      <c r="F221" s="10">
        <v>265</v>
      </c>
      <c r="G221" s="18">
        <v>44329</v>
      </c>
      <c r="H221" s="14">
        <f t="shared" si="9"/>
        <v>2021</v>
      </c>
      <c r="I221" s="12">
        <v>1227613</v>
      </c>
      <c r="J221" s="10">
        <v>1977</v>
      </c>
      <c r="K221" s="18">
        <v>44377</v>
      </c>
      <c r="L221" s="14">
        <f t="shared" si="8"/>
        <v>2021</v>
      </c>
      <c r="M221" s="12">
        <v>1227613</v>
      </c>
    </row>
    <row r="222" spans="1:13" ht="15.75" customHeight="1" x14ac:dyDescent="0.25">
      <c r="A222" s="9" t="s">
        <v>10</v>
      </c>
      <c r="B222" s="9" t="s">
        <v>26</v>
      </c>
      <c r="C222" s="10" t="s">
        <v>12</v>
      </c>
      <c r="D222" s="9" t="s">
        <v>13</v>
      </c>
      <c r="E222" s="9" t="s">
        <v>74</v>
      </c>
      <c r="F222" s="10">
        <v>289</v>
      </c>
      <c r="G222" s="18">
        <v>44347</v>
      </c>
      <c r="H222" s="14">
        <f t="shared" si="9"/>
        <v>2021</v>
      </c>
      <c r="I222" s="12">
        <v>712469</v>
      </c>
      <c r="J222" s="10">
        <v>1978</v>
      </c>
      <c r="K222" s="18">
        <v>44377</v>
      </c>
      <c r="L222" s="14">
        <f t="shared" si="8"/>
        <v>2021</v>
      </c>
      <c r="M222" s="12">
        <v>712469</v>
      </c>
    </row>
    <row r="223" spans="1:13" ht="15.75" customHeight="1" x14ac:dyDescent="0.25">
      <c r="A223" s="9" t="s">
        <v>15</v>
      </c>
      <c r="B223" s="9" t="s">
        <v>52</v>
      </c>
      <c r="C223" s="10" t="s">
        <v>12</v>
      </c>
      <c r="D223" s="9" t="s">
        <v>13</v>
      </c>
      <c r="E223" s="9" t="s">
        <v>36</v>
      </c>
      <c r="F223" s="10">
        <v>639</v>
      </c>
      <c r="G223" s="18">
        <v>43689</v>
      </c>
      <c r="H223" s="14">
        <f t="shared" si="9"/>
        <v>2019</v>
      </c>
      <c r="I223" s="12">
        <v>7850675</v>
      </c>
      <c r="J223" s="10">
        <v>1040</v>
      </c>
      <c r="K223" s="18">
        <v>44299</v>
      </c>
      <c r="L223" s="14">
        <f t="shared" si="8"/>
        <v>2021</v>
      </c>
      <c r="M223" s="12">
        <v>7072522</v>
      </c>
    </row>
    <row r="224" spans="1:13" ht="15.75" customHeight="1" x14ac:dyDescent="0.25">
      <c r="A224" s="9" t="s">
        <v>15</v>
      </c>
      <c r="B224" s="9" t="s">
        <v>52</v>
      </c>
      <c r="C224" s="10" t="s">
        <v>12</v>
      </c>
      <c r="D224" s="9" t="s">
        <v>13</v>
      </c>
      <c r="E224" s="9" t="s">
        <v>36</v>
      </c>
      <c r="F224" s="10">
        <v>640</v>
      </c>
      <c r="G224" s="18">
        <v>43689</v>
      </c>
      <c r="H224" s="14">
        <f t="shared" si="9"/>
        <v>2019</v>
      </c>
      <c r="I224" s="12">
        <v>7621689</v>
      </c>
      <c r="J224" s="10">
        <v>1038</v>
      </c>
      <c r="K224" s="18">
        <v>44299</v>
      </c>
      <c r="L224" s="14">
        <f t="shared" si="8"/>
        <v>2021</v>
      </c>
      <c r="M224" s="12">
        <v>7621689</v>
      </c>
    </row>
    <row r="225" spans="1:13" ht="15.75" customHeight="1" x14ac:dyDescent="0.25">
      <c r="A225" s="9" t="s">
        <v>59</v>
      </c>
      <c r="B225" s="9" t="s">
        <v>52</v>
      </c>
      <c r="C225" s="10" t="s">
        <v>56</v>
      </c>
      <c r="D225" s="9" t="s">
        <v>13</v>
      </c>
      <c r="E225" s="9" t="s">
        <v>19</v>
      </c>
      <c r="F225" s="10">
        <v>2751</v>
      </c>
      <c r="G225" s="18">
        <v>44160</v>
      </c>
      <c r="H225" s="14">
        <f t="shared" si="9"/>
        <v>2020</v>
      </c>
      <c r="I225" s="12">
        <v>226281</v>
      </c>
      <c r="J225" s="10">
        <v>438</v>
      </c>
      <c r="K225" s="18">
        <v>44239</v>
      </c>
      <c r="L225" s="14">
        <f t="shared" si="8"/>
        <v>2021</v>
      </c>
      <c r="M225" s="12">
        <v>226281</v>
      </c>
    </row>
    <row r="226" spans="1:13" ht="15.75" customHeight="1" x14ac:dyDescent="0.25">
      <c r="A226" s="9" t="s">
        <v>15</v>
      </c>
      <c r="B226" s="9" t="s">
        <v>52</v>
      </c>
      <c r="C226" s="10" t="s">
        <v>56</v>
      </c>
      <c r="D226" s="9" t="s">
        <v>37</v>
      </c>
      <c r="E226" s="9" t="s">
        <v>19</v>
      </c>
      <c r="F226" s="10">
        <v>2755</v>
      </c>
      <c r="G226" s="18">
        <v>44160</v>
      </c>
      <c r="H226" s="14">
        <f t="shared" si="9"/>
        <v>2020</v>
      </c>
      <c r="I226" s="12">
        <v>962250</v>
      </c>
      <c r="J226" s="10">
        <v>439</v>
      </c>
      <c r="K226" s="18">
        <v>44239</v>
      </c>
      <c r="L226" s="14">
        <f t="shared" si="8"/>
        <v>2021</v>
      </c>
      <c r="M226" s="12">
        <v>962250</v>
      </c>
    </row>
    <row r="227" spans="1:13" ht="15.75" customHeight="1" x14ac:dyDescent="0.25">
      <c r="A227" s="9" t="s">
        <v>15</v>
      </c>
      <c r="B227" s="9" t="s">
        <v>52</v>
      </c>
      <c r="C227" s="10" t="s">
        <v>56</v>
      </c>
      <c r="D227" s="9" t="s">
        <v>37</v>
      </c>
      <c r="E227" s="9" t="s">
        <v>23</v>
      </c>
      <c r="F227" s="10">
        <v>2782</v>
      </c>
      <c r="G227" s="18">
        <v>44165</v>
      </c>
      <c r="H227" s="14">
        <f t="shared" si="9"/>
        <v>2020</v>
      </c>
      <c r="I227" s="12">
        <v>390678</v>
      </c>
      <c r="J227" s="10">
        <v>1315</v>
      </c>
      <c r="K227" s="18">
        <v>44322</v>
      </c>
      <c r="L227" s="14">
        <f t="shared" si="8"/>
        <v>2021</v>
      </c>
      <c r="M227" s="12">
        <v>390678</v>
      </c>
    </row>
    <row r="228" spans="1:13" ht="15.75" customHeight="1" x14ac:dyDescent="0.25">
      <c r="A228" s="9" t="s">
        <v>15</v>
      </c>
      <c r="B228" s="9" t="s">
        <v>52</v>
      </c>
      <c r="C228" s="10" t="s">
        <v>12</v>
      </c>
      <c r="D228" s="9" t="s">
        <v>13</v>
      </c>
      <c r="E228" s="9" t="s">
        <v>72</v>
      </c>
      <c r="F228" s="10">
        <v>653</v>
      </c>
      <c r="G228" s="18">
        <v>44174</v>
      </c>
      <c r="H228" s="14">
        <f t="shared" si="9"/>
        <v>2020</v>
      </c>
      <c r="I228" s="12">
        <v>25849429</v>
      </c>
      <c r="J228" s="10">
        <v>1411</v>
      </c>
      <c r="K228" s="18">
        <v>44334</v>
      </c>
      <c r="L228" s="14">
        <f t="shared" si="8"/>
        <v>2021</v>
      </c>
      <c r="M228" s="12">
        <v>25849429</v>
      </c>
    </row>
    <row r="229" spans="1:13" ht="15.75" customHeight="1" x14ac:dyDescent="0.25">
      <c r="A229" s="9" t="s">
        <v>15</v>
      </c>
      <c r="B229" s="9" t="s">
        <v>52</v>
      </c>
      <c r="C229" s="10" t="s">
        <v>12</v>
      </c>
      <c r="D229" s="9" t="s">
        <v>13</v>
      </c>
      <c r="E229" s="9" t="s">
        <v>72</v>
      </c>
      <c r="F229" s="10">
        <v>652</v>
      </c>
      <c r="G229" s="18">
        <v>44174</v>
      </c>
      <c r="H229" s="14">
        <f t="shared" si="9"/>
        <v>2020</v>
      </c>
      <c r="I229" s="12">
        <v>23027500</v>
      </c>
      <c r="J229" s="10">
        <v>1412</v>
      </c>
      <c r="K229" s="18">
        <v>44334</v>
      </c>
      <c r="L229" s="14">
        <f t="shared" si="8"/>
        <v>2021</v>
      </c>
      <c r="M229" s="12">
        <v>23027500</v>
      </c>
    </row>
    <row r="230" spans="1:13" ht="15.75" customHeight="1" x14ac:dyDescent="0.25">
      <c r="A230" s="9" t="s">
        <v>15</v>
      </c>
      <c r="B230" s="9" t="s">
        <v>52</v>
      </c>
      <c r="C230" s="10" t="s">
        <v>12</v>
      </c>
      <c r="D230" s="9" t="s">
        <v>13</v>
      </c>
      <c r="E230" s="9" t="s">
        <v>72</v>
      </c>
      <c r="F230" s="10">
        <v>651</v>
      </c>
      <c r="G230" s="18">
        <v>44174</v>
      </c>
      <c r="H230" s="14">
        <f t="shared" si="9"/>
        <v>2020</v>
      </c>
      <c r="I230" s="12">
        <v>17624737</v>
      </c>
      <c r="J230" s="10">
        <v>1413</v>
      </c>
      <c r="K230" s="18">
        <v>44334</v>
      </c>
      <c r="L230" s="14">
        <f t="shared" si="8"/>
        <v>2021</v>
      </c>
      <c r="M230" s="12">
        <v>17624737</v>
      </c>
    </row>
    <row r="231" spans="1:13" ht="15.75" customHeight="1" x14ac:dyDescent="0.25">
      <c r="A231" s="9" t="s">
        <v>10</v>
      </c>
      <c r="B231" s="9" t="s">
        <v>52</v>
      </c>
      <c r="C231" s="10" t="s">
        <v>12</v>
      </c>
      <c r="D231" s="9" t="s">
        <v>13</v>
      </c>
      <c r="E231" s="9" t="s">
        <v>72</v>
      </c>
      <c r="F231" s="10">
        <v>10</v>
      </c>
      <c r="G231" s="18">
        <v>44210</v>
      </c>
      <c r="H231" s="14">
        <f t="shared" si="9"/>
        <v>2021</v>
      </c>
      <c r="I231" s="12">
        <v>506352</v>
      </c>
      <c r="J231" s="10">
        <v>1414</v>
      </c>
      <c r="K231" s="18">
        <v>44334</v>
      </c>
      <c r="L231" s="14">
        <f t="shared" si="8"/>
        <v>2021</v>
      </c>
      <c r="M231" s="12">
        <v>506352</v>
      </c>
    </row>
    <row r="232" spans="1:13" ht="15.75" customHeight="1" x14ac:dyDescent="0.25">
      <c r="A232" s="9" t="s">
        <v>10</v>
      </c>
      <c r="B232" s="9" t="s">
        <v>52</v>
      </c>
      <c r="C232" s="10" t="s">
        <v>12</v>
      </c>
      <c r="D232" s="9" t="s">
        <v>13</v>
      </c>
      <c r="E232" s="9" t="s">
        <v>72</v>
      </c>
      <c r="F232" s="10">
        <v>14</v>
      </c>
      <c r="G232" s="18">
        <v>44210</v>
      </c>
      <c r="H232" s="14">
        <f t="shared" si="9"/>
        <v>2021</v>
      </c>
      <c r="I232" s="12">
        <v>716784</v>
      </c>
      <c r="J232" s="10">
        <v>1415</v>
      </c>
      <c r="K232" s="18">
        <v>44334</v>
      </c>
      <c r="L232" s="14">
        <f t="shared" si="8"/>
        <v>2021</v>
      </c>
      <c r="M232" s="12">
        <v>716784</v>
      </c>
    </row>
    <row r="233" spans="1:13" ht="15.75" customHeight="1" x14ac:dyDescent="0.25">
      <c r="A233" s="9" t="s">
        <v>10</v>
      </c>
      <c r="B233" s="9" t="s">
        <v>52</v>
      </c>
      <c r="C233" s="10" t="s">
        <v>12</v>
      </c>
      <c r="D233" s="9" t="s">
        <v>13</v>
      </c>
      <c r="E233" s="9" t="s">
        <v>72</v>
      </c>
      <c r="F233" s="10">
        <v>17</v>
      </c>
      <c r="G233" s="18">
        <v>44210</v>
      </c>
      <c r="H233" s="14">
        <f t="shared" si="9"/>
        <v>2021</v>
      </c>
      <c r="I233" s="12">
        <v>307578</v>
      </c>
      <c r="J233" s="10">
        <v>1416</v>
      </c>
      <c r="K233" s="18">
        <v>44334</v>
      </c>
      <c r="L233" s="14">
        <f t="shared" si="8"/>
        <v>2021</v>
      </c>
      <c r="M233" s="12">
        <v>307578</v>
      </c>
    </row>
    <row r="234" spans="1:13" ht="15.75" customHeight="1" x14ac:dyDescent="0.25">
      <c r="A234" s="9" t="s">
        <v>15</v>
      </c>
      <c r="B234" s="9" t="s">
        <v>52</v>
      </c>
      <c r="C234" s="10" t="s">
        <v>56</v>
      </c>
      <c r="D234" s="9" t="s">
        <v>13</v>
      </c>
      <c r="E234" s="9" t="s">
        <v>73</v>
      </c>
      <c r="F234" s="10">
        <v>707</v>
      </c>
      <c r="G234" s="18">
        <v>44267</v>
      </c>
      <c r="H234" s="14">
        <f t="shared" si="9"/>
        <v>2021</v>
      </c>
      <c r="I234" s="12">
        <v>10074400</v>
      </c>
      <c r="J234" s="10">
        <v>1037</v>
      </c>
      <c r="K234" s="18">
        <v>44299</v>
      </c>
      <c r="L234" s="14">
        <f t="shared" si="8"/>
        <v>2021</v>
      </c>
      <c r="M234" s="12">
        <v>10074400</v>
      </c>
    </row>
    <row r="235" spans="1:13" ht="15.75" customHeight="1" x14ac:dyDescent="0.25">
      <c r="A235" s="9" t="s">
        <v>10</v>
      </c>
      <c r="B235" s="9" t="s">
        <v>52</v>
      </c>
      <c r="C235" s="10" t="s">
        <v>56</v>
      </c>
      <c r="D235" s="9" t="s">
        <v>13</v>
      </c>
      <c r="E235" s="9" t="s">
        <v>65</v>
      </c>
      <c r="F235" s="10">
        <v>1886</v>
      </c>
      <c r="G235" s="18">
        <v>44371</v>
      </c>
      <c r="H235" s="14">
        <f t="shared" si="9"/>
        <v>2021</v>
      </c>
      <c r="I235" s="12">
        <v>265000</v>
      </c>
      <c r="J235" s="10">
        <v>3231</v>
      </c>
      <c r="K235" s="18">
        <v>44540</v>
      </c>
      <c r="L235" s="14">
        <f t="shared" si="8"/>
        <v>2021</v>
      </c>
      <c r="M235" s="12">
        <v>265000</v>
      </c>
    </row>
    <row r="236" spans="1:13" ht="15.75" customHeight="1" x14ac:dyDescent="0.25">
      <c r="A236" s="9" t="s">
        <v>10</v>
      </c>
      <c r="B236" s="9" t="s">
        <v>52</v>
      </c>
      <c r="C236" s="10" t="s">
        <v>56</v>
      </c>
      <c r="D236" s="9" t="s">
        <v>37</v>
      </c>
      <c r="E236" s="9" t="s">
        <v>65</v>
      </c>
      <c r="F236" s="10">
        <v>1885</v>
      </c>
      <c r="G236" s="18">
        <v>44371</v>
      </c>
      <c r="H236" s="14">
        <f t="shared" si="9"/>
        <v>2021</v>
      </c>
      <c r="I236" s="12">
        <v>265000</v>
      </c>
      <c r="J236" s="10">
        <v>3232</v>
      </c>
      <c r="K236" s="18">
        <v>44540</v>
      </c>
      <c r="L236" s="14">
        <f t="shared" si="8"/>
        <v>2021</v>
      </c>
      <c r="M236" s="12">
        <v>265000</v>
      </c>
    </row>
    <row r="237" spans="1:13" ht="15.75" customHeight="1" x14ac:dyDescent="0.25">
      <c r="A237" s="9" t="s">
        <v>59</v>
      </c>
      <c r="B237" s="9" t="s">
        <v>52</v>
      </c>
      <c r="C237" s="10" t="s">
        <v>56</v>
      </c>
      <c r="D237" s="9" t="s">
        <v>13</v>
      </c>
      <c r="E237" s="9" t="s">
        <v>65</v>
      </c>
      <c r="F237" s="10">
        <v>1884</v>
      </c>
      <c r="G237" s="18">
        <v>44371</v>
      </c>
      <c r="H237" s="14">
        <f t="shared" si="9"/>
        <v>2021</v>
      </c>
      <c r="I237" s="12">
        <v>632482</v>
      </c>
      <c r="J237" s="10">
        <v>3233</v>
      </c>
      <c r="K237" s="18">
        <v>44540</v>
      </c>
      <c r="L237" s="14">
        <f t="shared" si="8"/>
        <v>2021</v>
      </c>
      <c r="M237" s="12">
        <v>632482</v>
      </c>
    </row>
    <row r="238" spans="1:13" ht="15.75" customHeight="1" x14ac:dyDescent="0.25">
      <c r="A238" s="9" t="s">
        <v>59</v>
      </c>
      <c r="B238" s="9" t="s">
        <v>52</v>
      </c>
      <c r="C238" s="10" t="s">
        <v>56</v>
      </c>
      <c r="D238" s="9" t="s">
        <v>37</v>
      </c>
      <c r="E238" s="9" t="s">
        <v>65</v>
      </c>
      <c r="F238" s="10">
        <v>1883</v>
      </c>
      <c r="G238" s="18">
        <v>44371</v>
      </c>
      <c r="H238" s="14">
        <f t="shared" si="9"/>
        <v>2021</v>
      </c>
      <c r="I238" s="12">
        <v>497094</v>
      </c>
      <c r="J238" s="10">
        <v>3234</v>
      </c>
      <c r="K238" s="18">
        <v>44540</v>
      </c>
      <c r="L238" s="14">
        <f t="shared" si="8"/>
        <v>2021</v>
      </c>
      <c r="M238" s="12">
        <v>497094</v>
      </c>
    </row>
    <row r="239" spans="1:13" ht="15.75" customHeight="1" x14ac:dyDescent="0.25">
      <c r="A239" s="9" t="s">
        <v>15</v>
      </c>
      <c r="B239" s="9" t="s">
        <v>52</v>
      </c>
      <c r="C239" s="10" t="s">
        <v>12</v>
      </c>
      <c r="D239" s="9" t="s">
        <v>13</v>
      </c>
      <c r="E239" s="9" t="s">
        <v>74</v>
      </c>
      <c r="F239" s="10">
        <v>415</v>
      </c>
      <c r="G239" s="18">
        <v>44432</v>
      </c>
      <c r="H239" s="14">
        <f t="shared" si="9"/>
        <v>2021</v>
      </c>
      <c r="I239" s="12">
        <v>8980665</v>
      </c>
      <c r="J239" s="10">
        <v>3075</v>
      </c>
      <c r="K239" s="18">
        <v>44526</v>
      </c>
      <c r="L239" s="14">
        <f t="shared" si="8"/>
        <v>2021</v>
      </c>
      <c r="M239" s="12">
        <v>8980665</v>
      </c>
    </row>
    <row r="240" spans="1:13" ht="15.75" customHeight="1" x14ac:dyDescent="0.25">
      <c r="A240" s="9" t="s">
        <v>10</v>
      </c>
      <c r="B240" s="9" t="s">
        <v>52</v>
      </c>
      <c r="C240" s="10" t="s">
        <v>12</v>
      </c>
      <c r="D240" s="9" t="s">
        <v>13</v>
      </c>
      <c r="E240" s="9" t="s">
        <v>74</v>
      </c>
      <c r="F240" s="10">
        <v>414</v>
      </c>
      <c r="G240" s="18">
        <v>44432</v>
      </c>
      <c r="H240" s="14">
        <f t="shared" si="9"/>
        <v>2021</v>
      </c>
      <c r="I240" s="12">
        <v>819743</v>
      </c>
      <c r="J240" s="10">
        <v>3074</v>
      </c>
      <c r="K240" s="18">
        <v>44526</v>
      </c>
      <c r="L240" s="14">
        <f t="shared" si="8"/>
        <v>2021</v>
      </c>
      <c r="M240" s="12">
        <v>819743</v>
      </c>
    </row>
    <row r="241" spans="1:15" ht="15.75" customHeight="1" x14ac:dyDescent="0.25">
      <c r="A241" s="9" t="s">
        <v>15</v>
      </c>
      <c r="B241" s="9" t="s">
        <v>43</v>
      </c>
      <c r="C241" s="10" t="s">
        <v>17</v>
      </c>
      <c r="D241" s="9" t="s">
        <v>13</v>
      </c>
      <c r="E241" s="9" t="s">
        <v>47</v>
      </c>
      <c r="F241" s="10">
        <v>130</v>
      </c>
      <c r="G241" s="18">
        <v>43851</v>
      </c>
      <c r="H241" s="14">
        <f t="shared" si="9"/>
        <v>2020</v>
      </c>
      <c r="I241" s="12">
        <f>21*50978</f>
        <v>1070538</v>
      </c>
      <c r="J241" s="10">
        <v>1355</v>
      </c>
      <c r="K241" s="18">
        <v>44326</v>
      </c>
      <c r="L241" s="14">
        <f t="shared" si="8"/>
        <v>2021</v>
      </c>
      <c r="M241" s="12">
        <f>15.75*51798</f>
        <v>815818.5</v>
      </c>
    </row>
    <row r="242" spans="1:15" ht="15.75" customHeight="1" x14ac:dyDescent="0.25">
      <c r="A242" s="9" t="s">
        <v>15</v>
      </c>
      <c r="B242" s="9" t="s">
        <v>43</v>
      </c>
      <c r="C242" s="10" t="s">
        <v>17</v>
      </c>
      <c r="D242" s="9" t="s">
        <v>13</v>
      </c>
      <c r="E242" s="9" t="s">
        <v>47</v>
      </c>
      <c r="F242" s="10">
        <v>764</v>
      </c>
      <c r="G242" s="18">
        <v>43893</v>
      </c>
      <c r="H242" s="14">
        <f t="shared" si="9"/>
        <v>2020</v>
      </c>
      <c r="I242" s="12">
        <f>21.7*50021</f>
        <v>1085455.7</v>
      </c>
      <c r="J242" s="10">
        <v>1354</v>
      </c>
      <c r="K242" s="18">
        <v>44326</v>
      </c>
      <c r="L242" s="14">
        <f t="shared" si="8"/>
        <v>2021</v>
      </c>
      <c r="M242" s="12">
        <f>16.1*51798</f>
        <v>833947.8</v>
      </c>
    </row>
    <row r="243" spans="1:15" ht="15.75" customHeight="1" x14ac:dyDescent="0.25">
      <c r="A243" s="9" t="s">
        <v>57</v>
      </c>
      <c r="B243" s="9" t="s">
        <v>43</v>
      </c>
      <c r="C243" s="10" t="s">
        <v>17</v>
      </c>
      <c r="D243" s="9" t="s">
        <v>13</v>
      </c>
      <c r="E243" s="9" t="s">
        <v>58</v>
      </c>
      <c r="F243" s="10">
        <v>2989</v>
      </c>
      <c r="G243" s="18">
        <v>44182</v>
      </c>
      <c r="H243" s="14">
        <f t="shared" si="9"/>
        <v>2020</v>
      </c>
      <c r="I243" s="12">
        <v>1621903</v>
      </c>
      <c r="J243" s="10">
        <v>650</v>
      </c>
      <c r="K243" s="18">
        <v>44264</v>
      </c>
      <c r="L243" s="14">
        <f t="shared" si="8"/>
        <v>2021</v>
      </c>
      <c r="M243" s="12">
        <v>1621903</v>
      </c>
    </row>
    <row r="244" spans="1:15" ht="15.75" customHeight="1" x14ac:dyDescent="0.25">
      <c r="A244" s="9" t="s">
        <v>15</v>
      </c>
      <c r="B244" s="9" t="s">
        <v>43</v>
      </c>
      <c r="C244" s="10" t="s">
        <v>17</v>
      </c>
      <c r="D244" s="9" t="s">
        <v>13</v>
      </c>
      <c r="E244" s="9" t="s">
        <v>14</v>
      </c>
      <c r="F244" s="10">
        <v>1613</v>
      </c>
      <c r="G244" s="18">
        <v>44354</v>
      </c>
      <c r="H244" s="14">
        <f t="shared" si="9"/>
        <v>2021</v>
      </c>
      <c r="I244" s="12">
        <f>31.5*52005</f>
        <v>1638157.5</v>
      </c>
      <c r="J244" s="10">
        <v>2010</v>
      </c>
      <c r="K244" s="18">
        <v>44382</v>
      </c>
      <c r="L244" s="14">
        <f t="shared" si="8"/>
        <v>2021</v>
      </c>
      <c r="M244" s="12">
        <v>1643072</v>
      </c>
    </row>
    <row r="245" spans="1:15" ht="15.75" customHeight="1" x14ac:dyDescent="0.25">
      <c r="A245" s="9" t="s">
        <v>15</v>
      </c>
      <c r="B245" s="9" t="s">
        <v>43</v>
      </c>
      <c r="C245" s="10" t="s">
        <v>17</v>
      </c>
      <c r="D245" s="9" t="s">
        <v>13</v>
      </c>
      <c r="E245" s="9" t="s">
        <v>47</v>
      </c>
      <c r="F245" s="10">
        <v>1614</v>
      </c>
      <c r="G245" s="18">
        <v>44354</v>
      </c>
      <c r="H245" s="14">
        <f t="shared" si="9"/>
        <v>2021</v>
      </c>
      <c r="I245" s="12">
        <f>15.75*52005</f>
        <v>819078.75</v>
      </c>
      <c r="J245" s="10">
        <v>2011</v>
      </c>
      <c r="K245" s="18">
        <v>44382</v>
      </c>
      <c r="L245" s="14">
        <f t="shared" si="8"/>
        <v>2021</v>
      </c>
      <c r="M245" s="12">
        <v>821536</v>
      </c>
    </row>
    <row r="246" spans="1:15" ht="15.75" customHeight="1" x14ac:dyDescent="0.25">
      <c r="A246" s="9" t="s">
        <v>59</v>
      </c>
      <c r="B246" s="9" t="s">
        <v>43</v>
      </c>
      <c r="C246" s="10" t="s">
        <v>17</v>
      </c>
      <c r="D246" s="9" t="s">
        <v>13</v>
      </c>
      <c r="E246" s="9" t="s">
        <v>65</v>
      </c>
      <c r="F246" s="10">
        <v>1749</v>
      </c>
      <c r="G246" s="18">
        <v>44361</v>
      </c>
      <c r="H246" s="14">
        <f t="shared" si="9"/>
        <v>2021</v>
      </c>
      <c r="I246" s="12">
        <v>552907</v>
      </c>
      <c r="J246" s="10">
        <v>2048</v>
      </c>
      <c r="K246" s="18">
        <v>44383</v>
      </c>
      <c r="L246" s="14">
        <f t="shared" si="8"/>
        <v>2021</v>
      </c>
      <c r="M246" s="12">
        <v>552907</v>
      </c>
    </row>
    <row r="247" spans="1:15" ht="15.75" customHeight="1" x14ac:dyDescent="0.25">
      <c r="A247" s="9" t="s">
        <v>59</v>
      </c>
      <c r="B247" s="9" t="s">
        <v>43</v>
      </c>
      <c r="C247" s="10" t="s">
        <v>17</v>
      </c>
      <c r="D247" s="9" t="s">
        <v>13</v>
      </c>
      <c r="E247" s="9" t="s">
        <v>65</v>
      </c>
      <c r="F247" s="10">
        <v>1919</v>
      </c>
      <c r="G247" s="18">
        <v>44371</v>
      </c>
      <c r="H247" s="14">
        <f t="shared" si="9"/>
        <v>2021</v>
      </c>
      <c r="I247" s="12">
        <v>551253</v>
      </c>
      <c r="J247" s="10">
        <v>2946</v>
      </c>
      <c r="K247" s="18">
        <v>44515</v>
      </c>
      <c r="L247" s="14">
        <f t="shared" si="8"/>
        <v>2021</v>
      </c>
      <c r="M247" s="12">
        <v>0</v>
      </c>
    </row>
    <row r="248" spans="1:15" ht="15.75" customHeight="1" x14ac:dyDescent="0.25">
      <c r="A248" s="9" t="s">
        <v>10</v>
      </c>
      <c r="B248" s="9" t="s">
        <v>43</v>
      </c>
      <c r="C248" s="10" t="s">
        <v>17</v>
      </c>
      <c r="D248" s="9" t="s">
        <v>13</v>
      </c>
      <c r="E248" s="9" t="s">
        <v>76</v>
      </c>
      <c r="F248" s="10">
        <v>1875</v>
      </c>
      <c r="G248" s="18">
        <v>44371</v>
      </c>
      <c r="H248" s="14">
        <f t="shared" si="9"/>
        <v>2021</v>
      </c>
      <c r="I248" s="12">
        <v>100400</v>
      </c>
      <c r="J248" s="10">
        <v>2802</v>
      </c>
      <c r="K248" s="18">
        <v>44491</v>
      </c>
      <c r="L248" s="14">
        <f t="shared" si="8"/>
        <v>2021</v>
      </c>
      <c r="M248" s="12">
        <v>100400</v>
      </c>
    </row>
    <row r="249" spans="1:15" ht="15.75" customHeight="1" x14ac:dyDescent="0.25">
      <c r="A249" s="9" t="s">
        <v>15</v>
      </c>
      <c r="B249" s="9" t="s">
        <v>11</v>
      </c>
      <c r="C249" s="10" t="s">
        <v>12</v>
      </c>
      <c r="D249" s="9" t="s">
        <v>13</v>
      </c>
      <c r="E249" s="9" t="s">
        <v>36</v>
      </c>
      <c r="F249" s="10">
        <v>544</v>
      </c>
      <c r="G249" s="18">
        <v>43300</v>
      </c>
      <c r="H249" s="14">
        <f t="shared" si="9"/>
        <v>2018</v>
      </c>
      <c r="I249" s="12">
        <v>50235275</v>
      </c>
      <c r="J249" s="10">
        <v>3618</v>
      </c>
      <c r="K249" s="18">
        <v>44561</v>
      </c>
      <c r="L249" s="14">
        <f t="shared" si="8"/>
        <v>2021</v>
      </c>
      <c r="M249" s="12">
        <v>44317587</v>
      </c>
      <c r="O249" s="7"/>
    </row>
    <row r="250" spans="1:15" ht="15.75" customHeight="1" x14ac:dyDescent="0.25">
      <c r="A250" s="9" t="s">
        <v>10</v>
      </c>
      <c r="B250" s="9" t="s">
        <v>11</v>
      </c>
      <c r="C250" s="10" t="s">
        <v>12</v>
      </c>
      <c r="D250" s="9" t="s">
        <v>13</v>
      </c>
      <c r="E250" s="9" t="s">
        <v>65</v>
      </c>
      <c r="F250" s="10">
        <v>572</v>
      </c>
      <c r="G250" s="18">
        <v>43669</v>
      </c>
      <c r="H250" s="14">
        <f t="shared" si="9"/>
        <v>2019</v>
      </c>
      <c r="I250" s="12">
        <v>357941</v>
      </c>
      <c r="J250" s="10">
        <v>2030</v>
      </c>
      <c r="K250" s="18">
        <v>44383</v>
      </c>
      <c r="L250" s="14">
        <f t="shared" si="8"/>
        <v>2021</v>
      </c>
      <c r="M250" s="12">
        <v>83356</v>
      </c>
    </row>
    <row r="251" spans="1:15" ht="15.75" customHeight="1" x14ac:dyDescent="0.25">
      <c r="A251" s="9" t="s">
        <v>15</v>
      </c>
      <c r="B251" s="9" t="s">
        <v>11</v>
      </c>
      <c r="C251" s="10" t="s">
        <v>12</v>
      </c>
      <c r="D251" s="9" t="s">
        <v>13</v>
      </c>
      <c r="E251" s="9" t="s">
        <v>69</v>
      </c>
      <c r="F251" s="10">
        <v>738</v>
      </c>
      <c r="G251" s="18">
        <v>43721</v>
      </c>
      <c r="H251" s="14">
        <f t="shared" si="9"/>
        <v>2019</v>
      </c>
      <c r="I251" s="12">
        <v>98262</v>
      </c>
      <c r="J251" s="10">
        <v>2009</v>
      </c>
      <c r="K251" s="18">
        <v>44382</v>
      </c>
      <c r="L251" s="14">
        <f t="shared" si="8"/>
        <v>2021</v>
      </c>
      <c r="M251" s="12">
        <v>98262</v>
      </c>
    </row>
    <row r="252" spans="1:15" ht="15.75" customHeight="1" x14ac:dyDescent="0.25">
      <c r="A252" s="9" t="s">
        <v>15</v>
      </c>
      <c r="B252" s="9" t="s">
        <v>11</v>
      </c>
      <c r="C252" s="10" t="s">
        <v>12</v>
      </c>
      <c r="D252" s="9" t="s">
        <v>13</v>
      </c>
      <c r="E252" s="9" t="s">
        <v>72</v>
      </c>
      <c r="F252" s="10">
        <v>85</v>
      </c>
      <c r="G252" s="18">
        <v>44252</v>
      </c>
      <c r="H252" s="14">
        <f t="shared" si="9"/>
        <v>2021</v>
      </c>
      <c r="I252" s="12">
        <v>301180336</v>
      </c>
      <c r="J252" s="10">
        <v>3345</v>
      </c>
      <c r="K252" s="18">
        <v>44551</v>
      </c>
      <c r="L252" s="14">
        <f t="shared" si="8"/>
        <v>2021</v>
      </c>
      <c r="M252" s="12">
        <v>301180336</v>
      </c>
    </row>
    <row r="253" spans="1:15" ht="15.75" customHeight="1" x14ac:dyDescent="0.25">
      <c r="A253" s="9" t="s">
        <v>15</v>
      </c>
      <c r="B253" s="9" t="s">
        <v>11</v>
      </c>
      <c r="C253" s="10" t="s">
        <v>12</v>
      </c>
      <c r="D253" s="9" t="s">
        <v>13</v>
      </c>
      <c r="E253" s="9" t="s">
        <v>72</v>
      </c>
      <c r="F253" s="10">
        <v>648</v>
      </c>
      <c r="G253" s="18">
        <v>44174</v>
      </c>
      <c r="H253" s="14">
        <f t="shared" si="9"/>
        <v>2020</v>
      </c>
      <c r="I253" s="12">
        <v>37981770</v>
      </c>
      <c r="J253" s="10">
        <v>3346</v>
      </c>
      <c r="K253" s="18">
        <v>44551</v>
      </c>
      <c r="L253" s="14">
        <f t="shared" si="8"/>
        <v>2021</v>
      </c>
      <c r="M253" s="12">
        <v>37981770</v>
      </c>
    </row>
    <row r="254" spans="1:15" ht="15.75" customHeight="1" x14ac:dyDescent="0.25">
      <c r="A254" s="9" t="s">
        <v>15</v>
      </c>
      <c r="B254" s="9" t="s">
        <v>11</v>
      </c>
      <c r="C254" s="10" t="s">
        <v>12</v>
      </c>
      <c r="D254" s="9" t="s">
        <v>13</v>
      </c>
      <c r="E254" s="9" t="s">
        <v>72</v>
      </c>
      <c r="F254" s="10">
        <v>659</v>
      </c>
      <c r="G254" s="18">
        <v>44174</v>
      </c>
      <c r="H254" s="14">
        <f t="shared" si="9"/>
        <v>2020</v>
      </c>
      <c r="I254" s="12">
        <v>11108092</v>
      </c>
      <c r="J254" s="10">
        <v>3347</v>
      </c>
      <c r="K254" s="18">
        <v>44551</v>
      </c>
      <c r="L254" s="14">
        <f t="shared" si="8"/>
        <v>2021</v>
      </c>
      <c r="M254" s="12">
        <v>11108092</v>
      </c>
    </row>
    <row r="255" spans="1:15" ht="15.75" customHeight="1" x14ac:dyDescent="0.25">
      <c r="A255" s="9" t="s">
        <v>10</v>
      </c>
      <c r="B255" s="9" t="s">
        <v>11</v>
      </c>
      <c r="C255" s="10" t="s">
        <v>12</v>
      </c>
      <c r="D255" s="9" t="s">
        <v>13</v>
      </c>
      <c r="E255" s="9" t="s">
        <v>72</v>
      </c>
      <c r="F255" s="10">
        <v>11</v>
      </c>
      <c r="G255" s="18">
        <v>44210</v>
      </c>
      <c r="H255" s="14">
        <f t="shared" si="9"/>
        <v>2021</v>
      </c>
      <c r="I255" s="12">
        <v>3275941</v>
      </c>
      <c r="J255" s="10">
        <v>1171</v>
      </c>
      <c r="K255" s="18">
        <v>44312</v>
      </c>
      <c r="L255" s="14">
        <f t="shared" si="8"/>
        <v>2021</v>
      </c>
      <c r="M255" s="12">
        <v>3275941</v>
      </c>
    </row>
    <row r="256" spans="1:15" ht="15.75" customHeight="1" x14ac:dyDescent="0.25">
      <c r="A256" s="9" t="s">
        <v>10</v>
      </c>
      <c r="B256" s="9" t="s">
        <v>11</v>
      </c>
      <c r="C256" s="10" t="s">
        <v>12</v>
      </c>
      <c r="D256" s="9" t="s">
        <v>13</v>
      </c>
      <c r="E256" s="9" t="s">
        <v>72</v>
      </c>
      <c r="F256" s="10">
        <v>15</v>
      </c>
      <c r="G256" s="18">
        <v>44210</v>
      </c>
      <c r="H256" s="14">
        <f t="shared" si="9"/>
        <v>2021</v>
      </c>
      <c r="I256" s="12">
        <v>978360</v>
      </c>
      <c r="J256" s="10">
        <v>1172</v>
      </c>
      <c r="K256" s="18">
        <v>44312</v>
      </c>
      <c r="L256" s="14">
        <f t="shared" si="8"/>
        <v>2021</v>
      </c>
      <c r="M256" s="12">
        <v>978360</v>
      </c>
    </row>
    <row r="257" spans="1:13" ht="15.75" customHeight="1" x14ac:dyDescent="0.25">
      <c r="A257" s="9" t="s">
        <v>10</v>
      </c>
      <c r="B257" s="9" t="s">
        <v>11</v>
      </c>
      <c r="C257" s="10" t="s">
        <v>12</v>
      </c>
      <c r="D257" s="9" t="s">
        <v>13</v>
      </c>
      <c r="E257" s="9" t="s">
        <v>72</v>
      </c>
      <c r="F257" s="10">
        <v>18</v>
      </c>
      <c r="G257" s="18">
        <v>44210</v>
      </c>
      <c r="H257" s="14">
        <f t="shared" si="9"/>
        <v>2021</v>
      </c>
      <c r="I257" s="12">
        <v>2540995</v>
      </c>
      <c r="J257" s="10">
        <v>1173</v>
      </c>
      <c r="K257" s="18">
        <v>44312</v>
      </c>
      <c r="L257" s="14">
        <f t="shared" si="8"/>
        <v>2021</v>
      </c>
      <c r="M257" s="12">
        <v>2540995</v>
      </c>
    </row>
    <row r="258" spans="1:13" ht="15.75" customHeight="1" x14ac:dyDescent="0.25">
      <c r="A258" s="9" t="s">
        <v>15</v>
      </c>
      <c r="B258" s="9" t="s">
        <v>11</v>
      </c>
      <c r="C258" s="10" t="s">
        <v>12</v>
      </c>
      <c r="D258" s="9" t="s">
        <v>13</v>
      </c>
      <c r="E258" s="9" t="s">
        <v>74</v>
      </c>
      <c r="F258" s="10">
        <v>416</v>
      </c>
      <c r="G258" s="18">
        <v>44432</v>
      </c>
      <c r="H258" s="14">
        <f t="shared" si="9"/>
        <v>2021</v>
      </c>
      <c r="I258" s="12">
        <v>3237213</v>
      </c>
      <c r="J258" s="10">
        <v>3084</v>
      </c>
      <c r="K258" s="18">
        <v>44526</v>
      </c>
      <c r="L258" s="14">
        <f t="shared" si="8"/>
        <v>2021</v>
      </c>
      <c r="M258" s="12">
        <v>3237213</v>
      </c>
    </row>
    <row r="259" spans="1:13" ht="15.75" customHeight="1" x14ac:dyDescent="0.25">
      <c r="A259" s="9" t="s">
        <v>10</v>
      </c>
      <c r="B259" s="9" t="s">
        <v>11</v>
      </c>
      <c r="C259" s="10" t="s">
        <v>12</v>
      </c>
      <c r="D259" s="9" t="s">
        <v>13</v>
      </c>
      <c r="E259" s="9" t="s">
        <v>74</v>
      </c>
      <c r="F259" s="10">
        <v>417</v>
      </c>
      <c r="G259" s="18">
        <v>44432</v>
      </c>
      <c r="H259" s="14">
        <f t="shared" si="9"/>
        <v>2021</v>
      </c>
      <c r="I259" s="12">
        <v>527351</v>
      </c>
      <c r="J259" s="10">
        <v>3085</v>
      </c>
      <c r="K259" s="18">
        <v>44526</v>
      </c>
      <c r="L259" s="14">
        <f t="shared" si="8"/>
        <v>2021</v>
      </c>
      <c r="M259" s="12">
        <v>527351</v>
      </c>
    </row>
    <row r="260" spans="1:13" ht="15.75" customHeight="1" x14ac:dyDescent="0.25">
      <c r="A260" s="9" t="s">
        <v>59</v>
      </c>
      <c r="B260" s="9" t="s">
        <v>11</v>
      </c>
      <c r="C260" s="10" t="s">
        <v>12</v>
      </c>
      <c r="D260" s="9" t="s">
        <v>13</v>
      </c>
      <c r="E260" s="9" t="s">
        <v>74</v>
      </c>
      <c r="F260" s="10">
        <v>492</v>
      </c>
      <c r="G260" s="18">
        <v>44482</v>
      </c>
      <c r="H260" s="14">
        <f t="shared" si="9"/>
        <v>2021</v>
      </c>
      <c r="I260" s="12">
        <v>428021</v>
      </c>
      <c r="J260" s="10">
        <v>3447</v>
      </c>
      <c r="K260" s="18">
        <v>44554</v>
      </c>
      <c r="L260" s="14">
        <f t="shared" si="8"/>
        <v>2021</v>
      </c>
      <c r="M260" s="12">
        <v>428021</v>
      </c>
    </row>
    <row r="261" spans="1:13" ht="15.75" customHeight="1" x14ac:dyDescent="0.25">
      <c r="A261" s="9" t="s">
        <v>15</v>
      </c>
      <c r="B261" s="9" t="s">
        <v>60</v>
      </c>
      <c r="C261" s="10" t="s">
        <v>21</v>
      </c>
      <c r="D261" s="9" t="s">
        <v>22</v>
      </c>
      <c r="E261" s="9" t="s">
        <v>14</v>
      </c>
      <c r="F261" s="10">
        <v>2976</v>
      </c>
      <c r="G261" s="18">
        <v>44182</v>
      </c>
      <c r="H261" s="14">
        <f t="shared" si="9"/>
        <v>2020</v>
      </c>
      <c r="I261" s="12">
        <f>281.4*51029</f>
        <v>14359560.6</v>
      </c>
      <c r="J261" s="10">
        <v>901</v>
      </c>
      <c r="K261" s="18">
        <v>44286</v>
      </c>
      <c r="L261" s="14">
        <f t="shared" si="8"/>
        <v>2021</v>
      </c>
      <c r="M261" s="12">
        <v>14489004</v>
      </c>
    </row>
    <row r="262" spans="1:13" ht="15.75" customHeight="1" x14ac:dyDescent="0.25">
      <c r="A262" s="9" t="s">
        <v>15</v>
      </c>
      <c r="B262" s="9" t="s">
        <v>60</v>
      </c>
      <c r="C262" s="10" t="s">
        <v>21</v>
      </c>
      <c r="D262" s="9" t="s">
        <v>13</v>
      </c>
      <c r="E262" s="9" t="s">
        <v>14</v>
      </c>
      <c r="F262" s="10">
        <v>2975</v>
      </c>
      <c r="G262" s="18">
        <v>44182</v>
      </c>
      <c r="H262" s="14">
        <f t="shared" si="9"/>
        <v>2020</v>
      </c>
      <c r="I262" s="12">
        <f>68.25*51029</f>
        <v>3482729.25</v>
      </c>
      <c r="J262" s="10">
        <v>900</v>
      </c>
      <c r="K262" s="18">
        <v>44286</v>
      </c>
      <c r="L262" s="14">
        <f t="shared" ref="L262:L325" si="10">YEAR(K262)</f>
        <v>2021</v>
      </c>
      <c r="M262" s="12">
        <v>3514126</v>
      </c>
    </row>
    <row r="263" spans="1:13" ht="15.75" customHeight="1" x14ac:dyDescent="0.25">
      <c r="A263" s="9" t="s">
        <v>15</v>
      </c>
      <c r="B263" s="9" t="s">
        <v>60</v>
      </c>
      <c r="C263" s="10" t="s">
        <v>21</v>
      </c>
      <c r="D263" s="9" t="s">
        <v>13</v>
      </c>
      <c r="E263" s="9" t="s">
        <v>47</v>
      </c>
      <c r="F263" s="10">
        <v>3075</v>
      </c>
      <c r="G263" s="18">
        <v>44187</v>
      </c>
      <c r="H263" s="14">
        <f t="shared" ref="H263:H326" si="11">YEAR(G263)</f>
        <v>2020</v>
      </c>
      <c r="I263" s="12">
        <f>193.55*51029</f>
        <v>9876662.9500000011</v>
      </c>
      <c r="J263" s="10">
        <v>902</v>
      </c>
      <c r="K263" s="18">
        <v>44286</v>
      </c>
      <c r="L263" s="14">
        <f t="shared" si="10"/>
        <v>2021</v>
      </c>
      <c r="M263" s="12">
        <v>9965695</v>
      </c>
    </row>
    <row r="264" spans="1:13" ht="15.75" customHeight="1" x14ac:dyDescent="0.25">
      <c r="A264" s="9" t="s">
        <v>15</v>
      </c>
      <c r="B264" s="9" t="s">
        <v>60</v>
      </c>
      <c r="C264" s="10" t="s">
        <v>21</v>
      </c>
      <c r="D264" s="9" t="s">
        <v>22</v>
      </c>
      <c r="E264" s="9" t="s">
        <v>47</v>
      </c>
      <c r="F264" s="10">
        <v>3074</v>
      </c>
      <c r="G264" s="18">
        <v>44187</v>
      </c>
      <c r="H264" s="14">
        <f t="shared" si="11"/>
        <v>2020</v>
      </c>
      <c r="I264" s="12">
        <f>752.15*51029</f>
        <v>38381462.350000001</v>
      </c>
      <c r="J264" s="10">
        <v>903</v>
      </c>
      <c r="K264" s="18">
        <v>44286</v>
      </c>
      <c r="L264" s="14">
        <f t="shared" si="10"/>
        <v>2021</v>
      </c>
      <c r="M264" s="12">
        <v>38727451</v>
      </c>
    </row>
    <row r="265" spans="1:13" ht="15.75" customHeight="1" x14ac:dyDescent="0.25">
      <c r="A265" s="9" t="s">
        <v>15</v>
      </c>
      <c r="B265" s="9" t="s">
        <v>60</v>
      </c>
      <c r="C265" s="10" t="s">
        <v>21</v>
      </c>
      <c r="D265" s="9" t="s">
        <v>22</v>
      </c>
      <c r="E265" s="9" t="s">
        <v>14</v>
      </c>
      <c r="F265" s="10">
        <v>21</v>
      </c>
      <c r="G265" s="18">
        <v>44207</v>
      </c>
      <c r="H265" s="14">
        <f t="shared" si="11"/>
        <v>2021</v>
      </c>
      <c r="I265" s="12">
        <f>0.35*50978</f>
        <v>17842.3</v>
      </c>
      <c r="J265" s="10">
        <v>1186</v>
      </c>
      <c r="K265" s="18">
        <v>44314</v>
      </c>
      <c r="L265" s="14">
        <f t="shared" si="10"/>
        <v>2021</v>
      </c>
      <c r="M265" s="12">
        <v>18057</v>
      </c>
    </row>
    <row r="266" spans="1:13" ht="15.75" customHeight="1" x14ac:dyDescent="0.25">
      <c r="A266" s="9" t="s">
        <v>15</v>
      </c>
      <c r="B266" s="9" t="s">
        <v>60</v>
      </c>
      <c r="C266" s="10" t="s">
        <v>21</v>
      </c>
      <c r="D266" s="9" t="s">
        <v>13</v>
      </c>
      <c r="E266" s="9" t="s">
        <v>14</v>
      </c>
      <c r="F266" s="10">
        <v>22</v>
      </c>
      <c r="G266" s="18">
        <v>44207</v>
      </c>
      <c r="H266" s="14">
        <f t="shared" si="11"/>
        <v>2021</v>
      </c>
      <c r="I266" s="12">
        <f>31.5*50978</f>
        <v>1605807</v>
      </c>
      <c r="J266" s="10">
        <v>898</v>
      </c>
      <c r="K266" s="18">
        <v>44286</v>
      </c>
      <c r="L266" s="14">
        <f t="shared" si="10"/>
        <v>2021</v>
      </c>
      <c r="M266" s="12">
        <v>1621904</v>
      </c>
    </row>
    <row r="267" spans="1:13" ht="15.75" customHeight="1" x14ac:dyDescent="0.25">
      <c r="A267" s="9" t="s">
        <v>15</v>
      </c>
      <c r="B267" s="9" t="s">
        <v>60</v>
      </c>
      <c r="C267" s="10" t="s">
        <v>21</v>
      </c>
      <c r="D267" s="9" t="s">
        <v>22</v>
      </c>
      <c r="E267" s="9" t="s">
        <v>14</v>
      </c>
      <c r="F267" s="10">
        <v>23</v>
      </c>
      <c r="G267" s="18">
        <v>44207</v>
      </c>
      <c r="H267" s="14">
        <f t="shared" si="11"/>
        <v>2021</v>
      </c>
      <c r="I267" s="12">
        <f>573.65*50978</f>
        <v>29243529.699999999</v>
      </c>
      <c r="J267" s="10">
        <v>1177</v>
      </c>
      <c r="K267" s="18">
        <v>44312</v>
      </c>
      <c r="L267" s="14">
        <f t="shared" si="10"/>
        <v>2021</v>
      </c>
      <c r="M267" s="12">
        <v>29595750</v>
      </c>
    </row>
    <row r="268" spans="1:13" ht="15.75" customHeight="1" x14ac:dyDescent="0.25">
      <c r="A268" s="9" t="s">
        <v>15</v>
      </c>
      <c r="B268" s="9" t="s">
        <v>60</v>
      </c>
      <c r="C268" s="10" t="s">
        <v>21</v>
      </c>
      <c r="D268" s="9" t="s">
        <v>13</v>
      </c>
      <c r="E268" s="9" t="s">
        <v>47</v>
      </c>
      <c r="F268" s="10">
        <v>124</v>
      </c>
      <c r="G268" s="18">
        <v>44210</v>
      </c>
      <c r="H268" s="14">
        <f t="shared" si="11"/>
        <v>2021</v>
      </c>
      <c r="I268" s="12">
        <f>47.25*50978</f>
        <v>2408710.5</v>
      </c>
      <c r="J268" s="10">
        <v>771</v>
      </c>
      <c r="K268" s="18">
        <v>44277</v>
      </c>
      <c r="L268" s="14">
        <f t="shared" si="10"/>
        <v>2021</v>
      </c>
      <c r="M268" s="12">
        <f>47*51489</f>
        <v>2419983</v>
      </c>
    </row>
    <row r="269" spans="1:13" ht="15.75" customHeight="1" x14ac:dyDescent="0.25">
      <c r="A269" s="9" t="s">
        <v>15</v>
      </c>
      <c r="B269" s="9" t="s">
        <v>60</v>
      </c>
      <c r="C269" s="10" t="s">
        <v>21</v>
      </c>
      <c r="D269" s="9" t="s">
        <v>22</v>
      </c>
      <c r="E269" s="9" t="s">
        <v>23</v>
      </c>
      <c r="F269" s="10">
        <v>2778</v>
      </c>
      <c r="G269" s="18">
        <v>44165</v>
      </c>
      <c r="H269" s="14">
        <f t="shared" si="11"/>
        <v>2020</v>
      </c>
      <c r="I269" s="12">
        <v>1596620</v>
      </c>
      <c r="J269" s="10">
        <v>837</v>
      </c>
      <c r="K269" s="18">
        <v>44284</v>
      </c>
      <c r="L269" s="14">
        <f t="shared" si="10"/>
        <v>2021</v>
      </c>
      <c r="M269" s="12">
        <v>1596620</v>
      </c>
    </row>
    <row r="270" spans="1:13" ht="15.75" customHeight="1" x14ac:dyDescent="0.25">
      <c r="A270" s="9" t="s">
        <v>15</v>
      </c>
      <c r="B270" s="9" t="s">
        <v>60</v>
      </c>
      <c r="C270" s="10" t="s">
        <v>21</v>
      </c>
      <c r="D270" s="9" t="s">
        <v>13</v>
      </c>
      <c r="E270" s="9" t="s">
        <v>14</v>
      </c>
      <c r="F270" s="10">
        <v>3191</v>
      </c>
      <c r="G270" s="18">
        <v>44195</v>
      </c>
      <c r="H270" s="14">
        <f t="shared" si="11"/>
        <v>2020</v>
      </c>
      <c r="I270" s="12">
        <f>0.35*51029</f>
        <v>17860.149999999998</v>
      </c>
      <c r="J270" s="10">
        <v>873</v>
      </c>
      <c r="K270" s="18">
        <v>44286</v>
      </c>
      <c r="L270" s="14">
        <f t="shared" si="10"/>
        <v>2021</v>
      </c>
      <c r="M270" s="12">
        <v>18021</v>
      </c>
    </row>
    <row r="271" spans="1:13" ht="15.75" customHeight="1" x14ac:dyDescent="0.25">
      <c r="A271" s="9" t="s">
        <v>15</v>
      </c>
      <c r="B271" s="9" t="s">
        <v>60</v>
      </c>
      <c r="C271" s="10" t="s">
        <v>21</v>
      </c>
      <c r="D271" s="9" t="s">
        <v>22</v>
      </c>
      <c r="E271" s="9" t="s">
        <v>14</v>
      </c>
      <c r="F271" s="10">
        <v>3198</v>
      </c>
      <c r="G271" s="18">
        <v>44195</v>
      </c>
      <c r="H271" s="14">
        <f t="shared" si="11"/>
        <v>2020</v>
      </c>
      <c r="I271" s="12">
        <f>36.75*51029</f>
        <v>1875315.75</v>
      </c>
      <c r="J271" s="10">
        <v>904</v>
      </c>
      <c r="K271" s="18">
        <v>44286</v>
      </c>
      <c r="L271" s="14">
        <f t="shared" si="10"/>
        <v>2021</v>
      </c>
      <c r="M271" s="12">
        <v>1892221</v>
      </c>
    </row>
    <row r="272" spans="1:13" ht="15.75" customHeight="1" x14ac:dyDescent="0.25">
      <c r="A272" s="9" t="s">
        <v>15</v>
      </c>
      <c r="B272" s="9" t="s">
        <v>60</v>
      </c>
      <c r="C272" s="10" t="s">
        <v>21</v>
      </c>
      <c r="D272" s="9" t="s">
        <v>22</v>
      </c>
      <c r="E272" s="9" t="s">
        <v>47</v>
      </c>
      <c r="F272" s="10">
        <v>178</v>
      </c>
      <c r="G272" s="18">
        <v>44211</v>
      </c>
      <c r="H272" s="14">
        <f t="shared" si="11"/>
        <v>2021</v>
      </c>
      <c r="I272" s="12">
        <f>732.55*50978</f>
        <v>37343933.899999999</v>
      </c>
      <c r="J272" s="10">
        <v>1174</v>
      </c>
      <c r="K272" s="18">
        <v>44312</v>
      </c>
      <c r="L272" s="14">
        <f t="shared" si="10"/>
        <v>2021</v>
      </c>
      <c r="M272" s="12">
        <v>37793718</v>
      </c>
    </row>
    <row r="273" spans="1:13" ht="15.75" customHeight="1" x14ac:dyDescent="0.25">
      <c r="A273" s="9" t="s">
        <v>15</v>
      </c>
      <c r="B273" s="9" t="s">
        <v>60</v>
      </c>
      <c r="C273" s="10" t="s">
        <v>21</v>
      </c>
      <c r="D273" s="9" t="s">
        <v>13</v>
      </c>
      <c r="E273" s="9" t="s">
        <v>47</v>
      </c>
      <c r="F273" s="10">
        <v>179</v>
      </c>
      <c r="G273" s="18">
        <v>44211</v>
      </c>
      <c r="H273" s="14">
        <f t="shared" si="11"/>
        <v>2021</v>
      </c>
      <c r="I273" s="12">
        <f>384.3*50978</f>
        <v>19590845.400000002</v>
      </c>
      <c r="J273" s="10">
        <v>2462</v>
      </c>
      <c r="K273" s="18">
        <v>44460</v>
      </c>
      <c r="L273" s="14">
        <f t="shared" si="10"/>
        <v>2021</v>
      </c>
      <c r="M273" s="12">
        <v>16357716</v>
      </c>
    </row>
    <row r="274" spans="1:13" ht="15.75" customHeight="1" x14ac:dyDescent="0.25">
      <c r="A274" s="9" t="s">
        <v>15</v>
      </c>
      <c r="B274" s="9" t="s">
        <v>60</v>
      </c>
      <c r="C274" s="10" t="s">
        <v>21</v>
      </c>
      <c r="D274" s="9" t="s">
        <v>22</v>
      </c>
      <c r="E274" s="9" t="s">
        <v>47</v>
      </c>
      <c r="F274" s="10">
        <v>180</v>
      </c>
      <c r="G274" s="18">
        <v>44211</v>
      </c>
      <c r="H274" s="14">
        <f t="shared" si="11"/>
        <v>2021</v>
      </c>
      <c r="I274" s="12">
        <f>57.75*50978</f>
        <v>2943979.5</v>
      </c>
      <c r="J274" s="10">
        <v>899</v>
      </c>
      <c r="K274" s="18">
        <v>44286</v>
      </c>
      <c r="L274" s="14">
        <f t="shared" si="10"/>
        <v>2021</v>
      </c>
      <c r="M274" s="12">
        <v>2973490</v>
      </c>
    </row>
    <row r="275" spans="1:13" ht="15.75" customHeight="1" x14ac:dyDescent="0.25">
      <c r="A275" s="9" t="s">
        <v>15</v>
      </c>
      <c r="B275" s="9" t="s">
        <v>60</v>
      </c>
      <c r="C275" s="10" t="s">
        <v>21</v>
      </c>
      <c r="D275" s="9" t="s">
        <v>22</v>
      </c>
      <c r="E275" s="9" t="s">
        <v>47</v>
      </c>
      <c r="F275" s="10">
        <v>181</v>
      </c>
      <c r="G275" s="18">
        <v>44211</v>
      </c>
      <c r="H275" s="14">
        <f t="shared" si="11"/>
        <v>2021</v>
      </c>
      <c r="I275" s="12">
        <f>361.9*50978</f>
        <v>18448938.199999999</v>
      </c>
      <c r="J275" s="10">
        <v>1175</v>
      </c>
      <c r="K275" s="18">
        <v>44312</v>
      </c>
      <c r="L275" s="14">
        <f t="shared" si="10"/>
        <v>2021</v>
      </c>
      <c r="M275" s="12">
        <v>18671144</v>
      </c>
    </row>
    <row r="276" spans="1:13" ht="15.75" customHeight="1" x14ac:dyDescent="0.25">
      <c r="A276" s="9" t="s">
        <v>15</v>
      </c>
      <c r="B276" s="9" t="s">
        <v>60</v>
      </c>
      <c r="C276" s="10" t="s">
        <v>21</v>
      </c>
      <c r="D276" s="9" t="s">
        <v>13</v>
      </c>
      <c r="E276" s="9" t="s">
        <v>14</v>
      </c>
      <c r="F276" s="10">
        <v>249</v>
      </c>
      <c r="G276" s="18">
        <v>44215</v>
      </c>
      <c r="H276" s="14">
        <f t="shared" si="11"/>
        <v>2021</v>
      </c>
      <c r="I276" s="12">
        <f>216.65*50978</f>
        <v>11044383.700000001</v>
      </c>
      <c r="J276" s="10">
        <v>770</v>
      </c>
      <c r="K276" s="18">
        <v>44277</v>
      </c>
      <c r="L276" s="14">
        <f t="shared" si="10"/>
        <v>2021</v>
      </c>
      <c r="M276" s="12">
        <f>217*51489</f>
        <v>11173113</v>
      </c>
    </row>
    <row r="277" spans="1:13" ht="15.75" customHeight="1" x14ac:dyDescent="0.25">
      <c r="A277" s="9" t="s">
        <v>15</v>
      </c>
      <c r="B277" s="9" t="s">
        <v>60</v>
      </c>
      <c r="C277" s="10" t="s">
        <v>21</v>
      </c>
      <c r="D277" s="9" t="s">
        <v>22</v>
      </c>
      <c r="E277" s="9" t="s">
        <v>14</v>
      </c>
      <c r="F277" s="10">
        <v>250</v>
      </c>
      <c r="G277" s="18">
        <v>44215</v>
      </c>
      <c r="H277" s="14">
        <f t="shared" si="11"/>
        <v>2021</v>
      </c>
      <c r="I277" s="12">
        <f>184.45*50978</f>
        <v>9402892.0999999996</v>
      </c>
      <c r="J277" s="10">
        <v>1176</v>
      </c>
      <c r="K277" s="18">
        <v>44312</v>
      </c>
      <c r="L277" s="14">
        <f t="shared" si="10"/>
        <v>2021</v>
      </c>
      <c r="M277" s="12">
        <v>9516144</v>
      </c>
    </row>
    <row r="278" spans="1:13" ht="15.75" customHeight="1" x14ac:dyDescent="0.25">
      <c r="A278" s="9" t="s">
        <v>15</v>
      </c>
      <c r="B278" s="9" t="s">
        <v>60</v>
      </c>
      <c r="C278" s="10" t="s">
        <v>21</v>
      </c>
      <c r="D278" s="9" t="s">
        <v>22</v>
      </c>
      <c r="E278" s="9" t="s">
        <v>14</v>
      </c>
      <c r="F278" s="10">
        <v>251</v>
      </c>
      <c r="G278" s="18">
        <v>44215</v>
      </c>
      <c r="H278" s="14">
        <f t="shared" si="11"/>
        <v>2021</v>
      </c>
      <c r="I278" s="12">
        <f>221.55*50978</f>
        <v>11294175.9</v>
      </c>
      <c r="J278" s="10">
        <v>1184</v>
      </c>
      <c r="K278" s="18">
        <v>44314</v>
      </c>
      <c r="L278" s="14">
        <f t="shared" si="10"/>
        <v>2021</v>
      </c>
      <c r="M278" s="12">
        <v>11430207</v>
      </c>
    </row>
    <row r="279" spans="1:13" ht="15.75" customHeight="1" x14ac:dyDescent="0.25">
      <c r="A279" s="9" t="s">
        <v>15</v>
      </c>
      <c r="B279" s="9" t="s">
        <v>60</v>
      </c>
      <c r="C279" s="10" t="s">
        <v>21</v>
      </c>
      <c r="D279" s="9" t="s">
        <v>22</v>
      </c>
      <c r="E279" s="9" t="s">
        <v>14</v>
      </c>
      <c r="F279" s="10">
        <v>252</v>
      </c>
      <c r="G279" s="18">
        <v>44215</v>
      </c>
      <c r="H279" s="14">
        <f t="shared" si="11"/>
        <v>2021</v>
      </c>
      <c r="I279" s="12">
        <f>31.5*50978</f>
        <v>1605807</v>
      </c>
      <c r="J279" s="10">
        <v>1185</v>
      </c>
      <c r="K279" s="18">
        <v>44314</v>
      </c>
      <c r="L279" s="14">
        <f t="shared" si="10"/>
        <v>2021</v>
      </c>
      <c r="M279" s="12">
        <v>9516144</v>
      </c>
    </row>
    <row r="280" spans="1:13" ht="15.75" customHeight="1" x14ac:dyDescent="0.25">
      <c r="A280" s="9" t="s">
        <v>15</v>
      </c>
      <c r="B280" s="9" t="s">
        <v>60</v>
      </c>
      <c r="C280" s="10" t="s">
        <v>21</v>
      </c>
      <c r="D280" s="9" t="s">
        <v>22</v>
      </c>
      <c r="E280" s="9" t="s">
        <v>47</v>
      </c>
      <c r="F280" s="10">
        <v>1347</v>
      </c>
      <c r="G280" s="18">
        <v>44326</v>
      </c>
      <c r="H280" s="14">
        <f t="shared" si="11"/>
        <v>2021</v>
      </c>
      <c r="I280" s="12">
        <f>42*51798</f>
        <v>2175516</v>
      </c>
      <c r="J280" s="10">
        <v>3335</v>
      </c>
      <c r="K280" s="18">
        <v>44551</v>
      </c>
      <c r="L280" s="14">
        <f t="shared" si="10"/>
        <v>2021</v>
      </c>
      <c r="M280" s="12">
        <f>36.75*54171</f>
        <v>1990784.25</v>
      </c>
    </row>
    <row r="281" spans="1:13" ht="15.75" customHeight="1" x14ac:dyDescent="0.25">
      <c r="A281" s="9" t="s">
        <v>15</v>
      </c>
      <c r="B281" s="9" t="s">
        <v>60</v>
      </c>
      <c r="C281" s="10" t="s">
        <v>21</v>
      </c>
      <c r="D281" s="9" t="s">
        <v>13</v>
      </c>
      <c r="E281" s="9" t="s">
        <v>47</v>
      </c>
      <c r="F281" s="10">
        <v>1348</v>
      </c>
      <c r="G281" s="18">
        <v>44326</v>
      </c>
      <c r="H281" s="14">
        <f t="shared" si="11"/>
        <v>2021</v>
      </c>
      <c r="I281" s="12">
        <f>12.6*51798</f>
        <v>652654.79999999993</v>
      </c>
      <c r="J281" s="10">
        <v>3335</v>
      </c>
      <c r="K281" s="18">
        <v>44551</v>
      </c>
      <c r="L281" s="14">
        <f t="shared" si="10"/>
        <v>2021</v>
      </c>
      <c r="M281" s="12">
        <f>12.6*54171</f>
        <v>682554.6</v>
      </c>
    </row>
    <row r="282" spans="1:13" ht="15.75" customHeight="1" x14ac:dyDescent="0.25">
      <c r="A282" s="9" t="s">
        <v>10</v>
      </c>
      <c r="B282" s="9" t="s">
        <v>60</v>
      </c>
      <c r="C282" s="10" t="s">
        <v>21</v>
      </c>
      <c r="D282" s="9" t="s">
        <v>22</v>
      </c>
      <c r="E282" s="9" t="s">
        <v>65</v>
      </c>
      <c r="F282" s="10">
        <v>1544</v>
      </c>
      <c r="G282" s="18">
        <v>44347</v>
      </c>
      <c r="H282" s="14">
        <f t="shared" si="11"/>
        <v>2021</v>
      </c>
      <c r="I282" s="12">
        <v>1147542</v>
      </c>
      <c r="J282" s="10">
        <v>2042</v>
      </c>
      <c r="K282" s="18">
        <v>44383</v>
      </c>
      <c r="L282" s="14">
        <f t="shared" si="10"/>
        <v>2021</v>
      </c>
      <c r="M282" s="12">
        <v>1147542</v>
      </c>
    </row>
    <row r="283" spans="1:13" ht="15.75" customHeight="1" x14ac:dyDescent="0.25">
      <c r="A283" s="9" t="s">
        <v>10</v>
      </c>
      <c r="B283" s="9" t="s">
        <v>60</v>
      </c>
      <c r="C283" s="10" t="s">
        <v>21</v>
      </c>
      <c r="D283" s="9" t="s">
        <v>13</v>
      </c>
      <c r="E283" s="9" t="s">
        <v>65</v>
      </c>
      <c r="F283" s="10">
        <v>1543</v>
      </c>
      <c r="G283" s="18">
        <v>44347</v>
      </c>
      <c r="H283" s="14">
        <f t="shared" si="11"/>
        <v>2021</v>
      </c>
      <c r="I283" s="12">
        <v>938898</v>
      </c>
      <c r="J283" s="10">
        <v>2043</v>
      </c>
      <c r="K283" s="18">
        <v>44383</v>
      </c>
      <c r="L283" s="14">
        <f t="shared" si="10"/>
        <v>2021</v>
      </c>
      <c r="M283" s="12">
        <v>938898</v>
      </c>
    </row>
    <row r="284" spans="1:13" ht="15.75" customHeight="1" x14ac:dyDescent="0.25">
      <c r="A284" s="9" t="s">
        <v>10</v>
      </c>
      <c r="B284" s="9" t="s">
        <v>60</v>
      </c>
      <c r="C284" s="10" t="s">
        <v>21</v>
      </c>
      <c r="D284" s="9" t="s">
        <v>22</v>
      </c>
      <c r="E284" s="9" t="s">
        <v>65</v>
      </c>
      <c r="F284" s="10">
        <v>1542</v>
      </c>
      <c r="G284" s="18">
        <v>44347</v>
      </c>
      <c r="H284" s="14">
        <f t="shared" si="11"/>
        <v>2021</v>
      </c>
      <c r="I284" s="12">
        <v>573771</v>
      </c>
      <c r="J284" s="10">
        <v>2041</v>
      </c>
      <c r="K284" s="18">
        <v>44383</v>
      </c>
      <c r="L284" s="14">
        <f t="shared" si="10"/>
        <v>2021</v>
      </c>
      <c r="M284" s="12">
        <v>573771</v>
      </c>
    </row>
    <row r="285" spans="1:13" ht="15.75" customHeight="1" x14ac:dyDescent="0.25">
      <c r="A285" s="9" t="s">
        <v>10</v>
      </c>
      <c r="B285" s="9" t="s">
        <v>60</v>
      </c>
      <c r="C285" s="10" t="s">
        <v>21</v>
      </c>
      <c r="D285" s="9" t="s">
        <v>13</v>
      </c>
      <c r="E285" s="9" t="s">
        <v>65</v>
      </c>
      <c r="F285" s="10">
        <v>1541</v>
      </c>
      <c r="G285" s="18">
        <v>44347</v>
      </c>
      <c r="H285" s="14">
        <f t="shared" si="11"/>
        <v>2021</v>
      </c>
      <c r="I285" s="12">
        <v>636364</v>
      </c>
      <c r="J285" s="10">
        <v>2040</v>
      </c>
      <c r="K285" s="18">
        <v>44383</v>
      </c>
      <c r="L285" s="14">
        <f t="shared" si="10"/>
        <v>2021</v>
      </c>
      <c r="M285" s="12">
        <v>636364</v>
      </c>
    </row>
    <row r="286" spans="1:13" ht="15.75" customHeight="1" x14ac:dyDescent="0.25">
      <c r="A286" s="9" t="s">
        <v>59</v>
      </c>
      <c r="B286" s="9" t="s">
        <v>60</v>
      </c>
      <c r="C286" s="10" t="s">
        <v>21</v>
      </c>
      <c r="D286" s="9" t="s">
        <v>22</v>
      </c>
      <c r="E286" s="9" t="s">
        <v>65</v>
      </c>
      <c r="F286" s="10">
        <v>1628</v>
      </c>
      <c r="G286" s="18">
        <v>44354</v>
      </c>
      <c r="H286" s="14">
        <f t="shared" si="11"/>
        <v>2021</v>
      </c>
      <c r="I286" s="12">
        <v>1116245</v>
      </c>
      <c r="J286" s="10">
        <v>2038</v>
      </c>
      <c r="K286" s="18">
        <v>44383</v>
      </c>
      <c r="L286" s="14">
        <f t="shared" si="10"/>
        <v>2021</v>
      </c>
      <c r="M286" s="12">
        <v>1116245</v>
      </c>
    </row>
    <row r="287" spans="1:13" ht="15.75" customHeight="1" x14ac:dyDescent="0.25">
      <c r="A287" s="9" t="s">
        <v>59</v>
      </c>
      <c r="B287" s="9" t="s">
        <v>60</v>
      </c>
      <c r="C287" s="10" t="s">
        <v>21</v>
      </c>
      <c r="D287" s="9" t="s">
        <v>13</v>
      </c>
      <c r="E287" s="9" t="s">
        <v>65</v>
      </c>
      <c r="F287" s="10">
        <v>1629</v>
      </c>
      <c r="G287" s="18">
        <v>44354</v>
      </c>
      <c r="H287" s="14">
        <f t="shared" si="11"/>
        <v>2021</v>
      </c>
      <c r="I287" s="12">
        <v>876305</v>
      </c>
      <c r="J287" s="10">
        <v>2039</v>
      </c>
      <c r="K287" s="18">
        <v>44383</v>
      </c>
      <c r="L287" s="14">
        <f t="shared" si="10"/>
        <v>2021</v>
      </c>
      <c r="M287" s="12">
        <v>876305</v>
      </c>
    </row>
    <row r="288" spans="1:13" ht="15.75" customHeight="1" x14ac:dyDescent="0.25">
      <c r="A288" s="9" t="s">
        <v>10</v>
      </c>
      <c r="B288" s="9" t="s">
        <v>60</v>
      </c>
      <c r="C288" s="10" t="s">
        <v>21</v>
      </c>
      <c r="D288" s="9" t="s">
        <v>22</v>
      </c>
      <c r="E288" s="9" t="s">
        <v>65</v>
      </c>
      <c r="F288" s="10">
        <v>1932</v>
      </c>
      <c r="G288" s="18">
        <v>44371</v>
      </c>
      <c r="H288" s="14">
        <f t="shared" si="11"/>
        <v>2021</v>
      </c>
      <c r="I288" s="12">
        <v>260020</v>
      </c>
      <c r="J288" s="10">
        <v>3333</v>
      </c>
      <c r="K288" s="18">
        <v>44551</v>
      </c>
      <c r="L288" s="14">
        <f t="shared" si="10"/>
        <v>2021</v>
      </c>
      <c r="M288" s="12">
        <v>260020</v>
      </c>
    </row>
    <row r="289" spans="1:13" ht="15.75" customHeight="1" x14ac:dyDescent="0.25">
      <c r="A289" s="9" t="s">
        <v>59</v>
      </c>
      <c r="B289" s="9" t="s">
        <v>60</v>
      </c>
      <c r="C289" s="10" t="s">
        <v>21</v>
      </c>
      <c r="D289" s="9" t="s">
        <v>13</v>
      </c>
      <c r="E289" s="9" t="s">
        <v>65</v>
      </c>
      <c r="F289" s="10">
        <v>1930</v>
      </c>
      <c r="G289" s="18">
        <v>44371</v>
      </c>
      <c r="H289" s="14">
        <f t="shared" si="11"/>
        <v>2021</v>
      </c>
      <c r="I289" s="12">
        <v>260020</v>
      </c>
      <c r="J289" s="10">
        <v>3331</v>
      </c>
      <c r="K289" s="18">
        <v>44551</v>
      </c>
      <c r="L289" s="14">
        <f t="shared" si="10"/>
        <v>2021</v>
      </c>
      <c r="M289" s="12">
        <v>260020</v>
      </c>
    </row>
    <row r="290" spans="1:13" ht="15.75" customHeight="1" x14ac:dyDescent="0.25">
      <c r="A290" s="9" t="s">
        <v>59</v>
      </c>
      <c r="B290" s="9" t="s">
        <v>60</v>
      </c>
      <c r="C290" s="10" t="s">
        <v>21</v>
      </c>
      <c r="D290" s="9" t="s">
        <v>22</v>
      </c>
      <c r="E290" s="9" t="s">
        <v>65</v>
      </c>
      <c r="F290" s="10">
        <v>1929</v>
      </c>
      <c r="G290" s="18">
        <v>44371</v>
      </c>
      <c r="H290" s="14">
        <f t="shared" si="11"/>
        <v>2021</v>
      </c>
      <c r="I290" s="12">
        <v>260020</v>
      </c>
      <c r="J290" s="10">
        <v>3330</v>
      </c>
      <c r="K290" s="18">
        <v>44551</v>
      </c>
      <c r="L290" s="14">
        <f t="shared" si="10"/>
        <v>2021</v>
      </c>
      <c r="M290" s="12">
        <v>260020</v>
      </c>
    </row>
    <row r="291" spans="1:13" ht="15.75" customHeight="1" x14ac:dyDescent="0.25">
      <c r="A291" s="9" t="s">
        <v>59</v>
      </c>
      <c r="B291" s="9" t="s">
        <v>60</v>
      </c>
      <c r="C291" s="10" t="s">
        <v>21</v>
      </c>
      <c r="D291" s="9" t="s">
        <v>13</v>
      </c>
      <c r="E291" s="9" t="s">
        <v>65</v>
      </c>
      <c r="F291" s="10">
        <v>1928</v>
      </c>
      <c r="G291" s="18">
        <v>44371</v>
      </c>
      <c r="H291" s="14">
        <f t="shared" si="11"/>
        <v>2021</v>
      </c>
      <c r="I291" s="12">
        <v>572055</v>
      </c>
      <c r="J291" s="10">
        <v>3334</v>
      </c>
      <c r="K291" s="18">
        <v>44551</v>
      </c>
      <c r="L291" s="14">
        <f t="shared" si="10"/>
        <v>2021</v>
      </c>
      <c r="M291" s="12">
        <v>572055</v>
      </c>
    </row>
    <row r="292" spans="1:13" ht="15.75" customHeight="1" x14ac:dyDescent="0.25">
      <c r="A292" s="9" t="s">
        <v>59</v>
      </c>
      <c r="B292" s="9" t="s">
        <v>60</v>
      </c>
      <c r="C292" s="10" t="s">
        <v>21</v>
      </c>
      <c r="D292" s="9" t="s">
        <v>22</v>
      </c>
      <c r="E292" s="9" t="s">
        <v>65</v>
      </c>
      <c r="F292" s="10">
        <v>1927</v>
      </c>
      <c r="G292" s="18">
        <v>44371</v>
      </c>
      <c r="H292" s="14">
        <f t="shared" si="11"/>
        <v>2021</v>
      </c>
      <c r="I292" s="12">
        <v>595881</v>
      </c>
      <c r="J292" s="10">
        <v>3221</v>
      </c>
      <c r="K292" s="18">
        <v>44540</v>
      </c>
      <c r="L292" s="14">
        <f t="shared" si="10"/>
        <v>2021</v>
      </c>
      <c r="M292" s="12">
        <v>595881</v>
      </c>
    </row>
    <row r="293" spans="1:13" ht="15.75" customHeight="1" x14ac:dyDescent="0.25">
      <c r="A293" s="9" t="s">
        <v>10</v>
      </c>
      <c r="B293" s="9" t="s">
        <v>60</v>
      </c>
      <c r="C293" s="10" t="s">
        <v>21</v>
      </c>
      <c r="D293" s="9" t="s">
        <v>13</v>
      </c>
      <c r="E293" s="9" t="s">
        <v>65</v>
      </c>
      <c r="F293" s="10">
        <v>1931</v>
      </c>
      <c r="G293" s="18">
        <v>44371</v>
      </c>
      <c r="H293" s="14">
        <f t="shared" si="11"/>
        <v>2021</v>
      </c>
      <c r="I293" s="12">
        <v>260020</v>
      </c>
      <c r="J293" s="10">
        <v>3332</v>
      </c>
      <c r="K293" s="18">
        <v>44551</v>
      </c>
      <c r="L293" s="14">
        <f t="shared" si="10"/>
        <v>2021</v>
      </c>
      <c r="M293" s="12">
        <v>260020</v>
      </c>
    </row>
    <row r="294" spans="1:13" ht="15.75" customHeight="1" x14ac:dyDescent="0.25">
      <c r="A294" s="9" t="s">
        <v>59</v>
      </c>
      <c r="B294" s="9" t="s">
        <v>60</v>
      </c>
      <c r="C294" s="10" t="s">
        <v>21</v>
      </c>
      <c r="D294" s="9" t="s">
        <v>22</v>
      </c>
      <c r="E294" s="9" t="s">
        <v>76</v>
      </c>
      <c r="F294" s="10">
        <v>2223</v>
      </c>
      <c r="G294" s="18">
        <v>44427</v>
      </c>
      <c r="H294" s="14">
        <f t="shared" si="11"/>
        <v>2021</v>
      </c>
      <c r="I294" s="12">
        <v>92091</v>
      </c>
      <c r="J294" s="10">
        <v>3223</v>
      </c>
      <c r="K294" s="18">
        <v>44540</v>
      </c>
      <c r="L294" s="14">
        <f t="shared" si="10"/>
        <v>2021</v>
      </c>
      <c r="M294" s="12">
        <v>92091</v>
      </c>
    </row>
    <row r="295" spans="1:13" ht="15.75" customHeight="1" x14ac:dyDescent="0.25">
      <c r="A295" s="9" t="s">
        <v>59</v>
      </c>
      <c r="B295" s="9" t="s">
        <v>60</v>
      </c>
      <c r="C295" s="10" t="s">
        <v>21</v>
      </c>
      <c r="D295" s="9" t="s">
        <v>22</v>
      </c>
      <c r="E295" s="9" t="s">
        <v>69</v>
      </c>
      <c r="F295" s="10">
        <v>2587</v>
      </c>
      <c r="G295" s="18">
        <v>44473</v>
      </c>
      <c r="H295" s="14">
        <f t="shared" si="11"/>
        <v>2021</v>
      </c>
      <c r="I295" s="12">
        <v>184181</v>
      </c>
      <c r="J295" s="10">
        <v>3222</v>
      </c>
      <c r="K295" s="18">
        <v>44540</v>
      </c>
      <c r="L295" s="14">
        <f t="shared" si="10"/>
        <v>2021</v>
      </c>
      <c r="M295" s="12">
        <v>184181</v>
      </c>
    </row>
    <row r="296" spans="1:13" ht="15.75" customHeight="1" x14ac:dyDescent="0.25">
      <c r="A296" s="9" t="s">
        <v>15</v>
      </c>
      <c r="B296" s="9" t="s">
        <v>60</v>
      </c>
      <c r="C296" s="10" t="s">
        <v>21</v>
      </c>
      <c r="D296" s="9" t="s">
        <v>22</v>
      </c>
      <c r="E296" s="9" t="s">
        <v>14</v>
      </c>
      <c r="F296" s="10">
        <v>1088</v>
      </c>
      <c r="G296" s="18">
        <v>44302</v>
      </c>
      <c r="H296" s="14">
        <f t="shared" si="11"/>
        <v>2021</v>
      </c>
      <c r="I296" s="12">
        <f>42.7*51592</f>
        <v>2202978.4000000004</v>
      </c>
      <c r="J296" s="10">
        <v>3329</v>
      </c>
      <c r="K296" s="18">
        <v>44551</v>
      </c>
      <c r="L296" s="14">
        <f t="shared" si="10"/>
        <v>2021</v>
      </c>
      <c r="M296" s="12">
        <f>42.7*54171</f>
        <v>2313101.7000000002</v>
      </c>
    </row>
    <row r="297" spans="1:13" ht="15.75" customHeight="1" x14ac:dyDescent="0.25">
      <c r="A297" s="9" t="s">
        <v>15</v>
      </c>
      <c r="B297" s="9" t="s">
        <v>61</v>
      </c>
      <c r="C297" s="10" t="s">
        <v>21</v>
      </c>
      <c r="D297" s="9" t="s">
        <v>13</v>
      </c>
      <c r="E297" s="9" t="s">
        <v>14</v>
      </c>
      <c r="F297" s="10">
        <v>2980</v>
      </c>
      <c r="G297" s="18">
        <v>44182</v>
      </c>
      <c r="H297" s="14">
        <f t="shared" si="11"/>
        <v>2020</v>
      </c>
      <c r="I297" s="12">
        <f>16.1*51029</f>
        <v>821566.9</v>
      </c>
      <c r="J297" s="10">
        <v>906</v>
      </c>
      <c r="K297" s="18">
        <v>44286</v>
      </c>
      <c r="L297" s="14">
        <f t="shared" si="10"/>
        <v>2021</v>
      </c>
      <c r="M297" s="12">
        <v>828989</v>
      </c>
    </row>
    <row r="298" spans="1:13" ht="15.75" customHeight="1" x14ac:dyDescent="0.25">
      <c r="A298" s="9" t="s">
        <v>15</v>
      </c>
      <c r="B298" s="9" t="s">
        <v>61</v>
      </c>
      <c r="C298" s="10" t="s">
        <v>21</v>
      </c>
      <c r="D298" s="9" t="s">
        <v>13</v>
      </c>
      <c r="E298" s="9" t="s">
        <v>47</v>
      </c>
      <c r="F298" s="10">
        <v>3076</v>
      </c>
      <c r="G298" s="18">
        <v>44187</v>
      </c>
      <c r="H298" s="14">
        <f t="shared" si="11"/>
        <v>2020</v>
      </c>
      <c r="I298" s="12">
        <f>54.6*51029</f>
        <v>2786183.4</v>
      </c>
      <c r="J298" s="10">
        <v>2148</v>
      </c>
      <c r="K298" s="18">
        <v>44407</v>
      </c>
      <c r="L298" s="14">
        <f t="shared" si="10"/>
        <v>2021</v>
      </c>
      <c r="M298" s="12">
        <f>21.7*52161</f>
        <v>1131893.7</v>
      </c>
    </row>
    <row r="299" spans="1:13" ht="15.75" customHeight="1" x14ac:dyDescent="0.25">
      <c r="A299" s="9" t="s">
        <v>15</v>
      </c>
      <c r="B299" s="9" t="s">
        <v>61</v>
      </c>
      <c r="C299" s="10" t="s">
        <v>21</v>
      </c>
      <c r="D299" s="9" t="s">
        <v>13</v>
      </c>
      <c r="E299" s="9" t="s">
        <v>47</v>
      </c>
      <c r="F299" s="10">
        <v>3069</v>
      </c>
      <c r="G299" s="18">
        <v>44187</v>
      </c>
      <c r="H299" s="14">
        <f t="shared" si="11"/>
        <v>2020</v>
      </c>
      <c r="I299" s="12">
        <f>92.05*51029</f>
        <v>4697219.45</v>
      </c>
      <c r="J299" s="10">
        <v>2149</v>
      </c>
      <c r="K299" s="18">
        <v>44407</v>
      </c>
      <c r="L299" s="14">
        <f t="shared" si="10"/>
        <v>2021</v>
      </c>
      <c r="M299" s="12">
        <f>53.55*52161</f>
        <v>2793221.55</v>
      </c>
    </row>
    <row r="300" spans="1:13" ht="15.75" customHeight="1" x14ac:dyDescent="0.25">
      <c r="A300" s="9" t="s">
        <v>15</v>
      </c>
      <c r="B300" s="9" t="s">
        <v>61</v>
      </c>
      <c r="C300" s="10" t="s">
        <v>21</v>
      </c>
      <c r="D300" s="9" t="s">
        <v>22</v>
      </c>
      <c r="E300" s="9" t="s">
        <v>47</v>
      </c>
      <c r="F300" s="10">
        <v>3070</v>
      </c>
      <c r="G300" s="18">
        <v>44187</v>
      </c>
      <c r="H300" s="14">
        <f t="shared" si="11"/>
        <v>2020</v>
      </c>
      <c r="I300" s="12">
        <f>59.85*51029</f>
        <v>3054085.65</v>
      </c>
      <c r="J300" s="10">
        <v>2147</v>
      </c>
      <c r="K300" s="18">
        <v>44407</v>
      </c>
      <c r="L300" s="14">
        <f t="shared" si="10"/>
        <v>2021</v>
      </c>
      <c r="M300" s="12">
        <f>58.8*51021</f>
        <v>3000034.8</v>
      </c>
    </row>
    <row r="301" spans="1:13" ht="15.75" customHeight="1" x14ac:dyDescent="0.25">
      <c r="A301" s="9" t="s">
        <v>10</v>
      </c>
      <c r="B301" s="9" t="s">
        <v>61</v>
      </c>
      <c r="C301" s="10" t="s">
        <v>21</v>
      </c>
      <c r="D301" s="9" t="s">
        <v>22</v>
      </c>
      <c r="E301" s="9" t="s">
        <v>76</v>
      </c>
      <c r="F301" s="10">
        <v>1909</v>
      </c>
      <c r="G301" s="18">
        <v>44371</v>
      </c>
      <c r="H301" s="14">
        <f t="shared" si="11"/>
        <v>2021</v>
      </c>
      <c r="I301" s="12">
        <v>319609</v>
      </c>
      <c r="J301" s="10">
        <v>3328</v>
      </c>
      <c r="K301" s="18">
        <v>44551</v>
      </c>
      <c r="L301" s="14">
        <f t="shared" si="10"/>
        <v>2021</v>
      </c>
      <c r="M301" s="12">
        <v>319609</v>
      </c>
    </row>
    <row r="302" spans="1:13" ht="15.75" customHeight="1" x14ac:dyDescent="0.25">
      <c r="A302" s="9" t="s">
        <v>10</v>
      </c>
      <c r="B302" s="9" t="s">
        <v>61</v>
      </c>
      <c r="C302" s="10" t="s">
        <v>21</v>
      </c>
      <c r="D302" s="9" t="s">
        <v>13</v>
      </c>
      <c r="E302" s="9" t="s">
        <v>76</v>
      </c>
      <c r="F302" s="10">
        <v>1910</v>
      </c>
      <c r="G302" s="18">
        <v>44371</v>
      </c>
      <c r="H302" s="14">
        <f t="shared" si="11"/>
        <v>2021</v>
      </c>
      <c r="I302" s="12">
        <v>319609</v>
      </c>
      <c r="J302" s="10">
        <v>3218</v>
      </c>
      <c r="K302" s="18">
        <v>44540</v>
      </c>
      <c r="L302" s="14">
        <f t="shared" si="10"/>
        <v>2021</v>
      </c>
      <c r="M302" s="12">
        <v>319609</v>
      </c>
    </row>
    <row r="303" spans="1:13" ht="15.75" customHeight="1" x14ac:dyDescent="0.25">
      <c r="A303" s="9" t="s">
        <v>59</v>
      </c>
      <c r="B303" s="9" t="s">
        <v>61</v>
      </c>
      <c r="C303" s="10" t="s">
        <v>21</v>
      </c>
      <c r="D303" s="9" t="s">
        <v>22</v>
      </c>
      <c r="E303" s="9" t="s">
        <v>65</v>
      </c>
      <c r="F303" s="10">
        <v>1912</v>
      </c>
      <c r="G303" s="18">
        <v>44371</v>
      </c>
      <c r="H303" s="14">
        <f t="shared" si="11"/>
        <v>2021</v>
      </c>
      <c r="I303" s="12">
        <v>400865</v>
      </c>
      <c r="J303" s="10">
        <v>3219</v>
      </c>
      <c r="K303" s="18">
        <v>44540</v>
      </c>
      <c r="L303" s="14">
        <f t="shared" si="10"/>
        <v>2021</v>
      </c>
      <c r="M303" s="12">
        <v>400865</v>
      </c>
    </row>
    <row r="304" spans="1:13" ht="15.75" customHeight="1" x14ac:dyDescent="0.25">
      <c r="A304" s="9" t="s">
        <v>10</v>
      </c>
      <c r="B304" s="9" t="s">
        <v>61</v>
      </c>
      <c r="C304" s="10" t="s">
        <v>21</v>
      </c>
      <c r="D304" s="9" t="s">
        <v>22</v>
      </c>
      <c r="E304" s="9" t="s">
        <v>65</v>
      </c>
      <c r="F304" s="10">
        <v>1911</v>
      </c>
      <c r="G304" s="18">
        <v>44371</v>
      </c>
      <c r="H304" s="14">
        <f t="shared" si="11"/>
        <v>2021</v>
      </c>
      <c r="I304" s="12">
        <v>400865</v>
      </c>
      <c r="J304" s="10">
        <v>3220</v>
      </c>
      <c r="K304" s="18">
        <v>44540</v>
      </c>
      <c r="L304" s="14">
        <f t="shared" si="10"/>
        <v>2021</v>
      </c>
      <c r="M304" s="12">
        <v>400865</v>
      </c>
    </row>
    <row r="305" spans="1:13" ht="15.75" customHeight="1" x14ac:dyDescent="0.25">
      <c r="A305" s="9" t="s">
        <v>15</v>
      </c>
      <c r="B305" s="9" t="s">
        <v>61</v>
      </c>
      <c r="C305" s="10" t="s">
        <v>21</v>
      </c>
      <c r="D305" s="9" t="s">
        <v>22</v>
      </c>
      <c r="E305" s="9" t="s">
        <v>65</v>
      </c>
      <c r="F305" s="10">
        <v>2062</v>
      </c>
      <c r="G305" s="18">
        <v>44053</v>
      </c>
      <c r="H305" s="14">
        <f t="shared" si="11"/>
        <v>2020</v>
      </c>
      <c r="I305" s="12">
        <v>247147</v>
      </c>
      <c r="J305" s="10">
        <v>773</v>
      </c>
      <c r="K305" s="18">
        <v>44277</v>
      </c>
      <c r="L305" s="14">
        <f t="shared" si="10"/>
        <v>2021</v>
      </c>
      <c r="M305" s="12">
        <v>247147</v>
      </c>
    </row>
    <row r="306" spans="1:13" ht="15.75" customHeight="1" x14ac:dyDescent="0.25">
      <c r="A306" s="9" t="s">
        <v>15</v>
      </c>
      <c r="B306" s="9" t="s">
        <v>61</v>
      </c>
      <c r="C306" s="10" t="s">
        <v>21</v>
      </c>
      <c r="D306" s="9" t="s">
        <v>13</v>
      </c>
      <c r="E306" s="9" t="s">
        <v>65</v>
      </c>
      <c r="F306" s="10">
        <v>2066</v>
      </c>
      <c r="G306" s="18">
        <v>44053</v>
      </c>
      <c r="H306" s="14">
        <f t="shared" si="11"/>
        <v>2020</v>
      </c>
      <c r="I306" s="12">
        <v>385991</v>
      </c>
      <c r="J306" s="10">
        <v>2033</v>
      </c>
      <c r="K306" s="18">
        <v>44383</v>
      </c>
      <c r="L306" s="14">
        <f t="shared" si="10"/>
        <v>2021</v>
      </c>
      <c r="M306" s="12">
        <v>385991</v>
      </c>
    </row>
    <row r="307" spans="1:13" ht="15.75" customHeight="1" x14ac:dyDescent="0.25">
      <c r="A307" s="9" t="s">
        <v>57</v>
      </c>
      <c r="B307" s="9" t="s">
        <v>61</v>
      </c>
      <c r="C307" s="10" t="s">
        <v>21</v>
      </c>
      <c r="D307" s="9" t="s">
        <v>13</v>
      </c>
      <c r="E307" s="9" t="s">
        <v>58</v>
      </c>
      <c r="F307" s="10">
        <v>2476</v>
      </c>
      <c r="G307" s="18">
        <v>44112</v>
      </c>
      <c r="H307" s="14">
        <f t="shared" si="11"/>
        <v>2020</v>
      </c>
      <c r="I307" s="12">
        <v>1081269</v>
      </c>
      <c r="J307" s="10">
        <v>845</v>
      </c>
      <c r="K307" s="18">
        <v>44284</v>
      </c>
      <c r="L307" s="14">
        <f t="shared" si="10"/>
        <v>2021</v>
      </c>
      <c r="M307" s="12">
        <v>1081269</v>
      </c>
    </row>
    <row r="308" spans="1:13" ht="15.75" customHeight="1" x14ac:dyDescent="0.25">
      <c r="A308" s="9" t="s">
        <v>57</v>
      </c>
      <c r="B308" s="9" t="s">
        <v>61</v>
      </c>
      <c r="C308" s="10" t="s">
        <v>21</v>
      </c>
      <c r="D308" s="9" t="s">
        <v>13</v>
      </c>
      <c r="E308" s="9" t="s">
        <v>58</v>
      </c>
      <c r="F308" s="10">
        <v>2477</v>
      </c>
      <c r="G308" s="18">
        <v>44112</v>
      </c>
      <c r="H308" s="14">
        <f t="shared" si="11"/>
        <v>2020</v>
      </c>
      <c r="I308" s="12">
        <v>1351586</v>
      </c>
      <c r="J308" s="10">
        <v>846</v>
      </c>
      <c r="K308" s="18">
        <v>44284</v>
      </c>
      <c r="L308" s="14">
        <f t="shared" si="10"/>
        <v>2021</v>
      </c>
      <c r="M308" s="12">
        <v>1351586</v>
      </c>
    </row>
    <row r="309" spans="1:13" ht="15.75" customHeight="1" x14ac:dyDescent="0.25">
      <c r="A309" s="9" t="s">
        <v>57</v>
      </c>
      <c r="B309" s="9" t="s">
        <v>61</v>
      </c>
      <c r="C309" s="10" t="s">
        <v>21</v>
      </c>
      <c r="D309" s="9" t="s">
        <v>22</v>
      </c>
      <c r="E309" s="9" t="s">
        <v>58</v>
      </c>
      <c r="F309" s="10">
        <v>2478</v>
      </c>
      <c r="G309" s="18">
        <v>44112</v>
      </c>
      <c r="H309" s="14">
        <f t="shared" si="11"/>
        <v>2020</v>
      </c>
      <c r="I309" s="12">
        <v>535269</v>
      </c>
      <c r="J309" s="10">
        <v>306</v>
      </c>
      <c r="K309" s="18">
        <v>44225</v>
      </c>
      <c r="L309" s="14">
        <f t="shared" si="10"/>
        <v>2021</v>
      </c>
      <c r="M309" s="12">
        <v>535269</v>
      </c>
    </row>
    <row r="310" spans="1:13" ht="15.75" customHeight="1" x14ac:dyDescent="0.25">
      <c r="A310" s="9" t="s">
        <v>57</v>
      </c>
      <c r="B310" s="9" t="s">
        <v>61</v>
      </c>
      <c r="C310" s="10" t="s">
        <v>21</v>
      </c>
      <c r="D310" s="9" t="s">
        <v>22</v>
      </c>
      <c r="E310" s="9" t="s">
        <v>58</v>
      </c>
      <c r="F310" s="10">
        <v>2479</v>
      </c>
      <c r="G310" s="18">
        <v>44112</v>
      </c>
      <c r="H310" s="14">
        <f t="shared" si="11"/>
        <v>2020</v>
      </c>
      <c r="I310" s="12">
        <v>1621904</v>
      </c>
      <c r="J310" s="10">
        <v>877</v>
      </c>
      <c r="K310" s="18">
        <v>44286</v>
      </c>
      <c r="L310" s="14">
        <f t="shared" si="10"/>
        <v>2021</v>
      </c>
      <c r="M310" s="12">
        <v>1621904</v>
      </c>
    </row>
    <row r="311" spans="1:13" ht="15.75" customHeight="1" x14ac:dyDescent="0.25">
      <c r="A311" s="9" t="s">
        <v>57</v>
      </c>
      <c r="B311" s="9" t="s">
        <v>61</v>
      </c>
      <c r="C311" s="10" t="s">
        <v>21</v>
      </c>
      <c r="D311" s="9" t="s">
        <v>22</v>
      </c>
      <c r="E311" s="9" t="s">
        <v>58</v>
      </c>
      <c r="F311" s="10">
        <v>2480</v>
      </c>
      <c r="G311" s="18">
        <v>44112</v>
      </c>
      <c r="H311" s="14">
        <f t="shared" si="11"/>
        <v>2020</v>
      </c>
      <c r="I311" s="12">
        <v>1621904</v>
      </c>
      <c r="J311" s="10">
        <v>875</v>
      </c>
      <c r="K311" s="18">
        <v>44286</v>
      </c>
      <c r="L311" s="14">
        <f t="shared" si="10"/>
        <v>2021</v>
      </c>
      <c r="M311" s="12">
        <v>1621904</v>
      </c>
    </row>
    <row r="312" spans="1:13" ht="15.75" customHeight="1" x14ac:dyDescent="0.25">
      <c r="A312" s="9" t="s">
        <v>15</v>
      </c>
      <c r="B312" s="9" t="s">
        <v>61</v>
      </c>
      <c r="C312" s="10" t="s">
        <v>77</v>
      </c>
      <c r="D312" s="9" t="s">
        <v>13</v>
      </c>
      <c r="E312" s="9" t="s">
        <v>19</v>
      </c>
      <c r="F312" s="10">
        <v>2747</v>
      </c>
      <c r="G312" s="18">
        <v>44160</v>
      </c>
      <c r="H312" s="14">
        <f t="shared" si="11"/>
        <v>2020</v>
      </c>
      <c r="I312" s="12">
        <v>395801</v>
      </c>
      <c r="J312" s="10">
        <v>437</v>
      </c>
      <c r="K312" s="18">
        <v>44239</v>
      </c>
      <c r="L312" s="14">
        <f t="shared" si="10"/>
        <v>2021</v>
      </c>
      <c r="M312" s="12">
        <v>395801</v>
      </c>
    </row>
    <row r="313" spans="1:13" ht="15.75" customHeight="1" x14ac:dyDescent="0.25">
      <c r="A313" s="9" t="s">
        <v>15</v>
      </c>
      <c r="B313" s="9" t="s">
        <v>61</v>
      </c>
      <c r="C313" s="10" t="s">
        <v>21</v>
      </c>
      <c r="D313" s="9" t="s">
        <v>22</v>
      </c>
      <c r="E313" s="9" t="s">
        <v>23</v>
      </c>
      <c r="F313" s="10">
        <v>2776</v>
      </c>
      <c r="G313" s="18">
        <v>44165</v>
      </c>
      <c r="H313" s="14">
        <f t="shared" si="11"/>
        <v>2020</v>
      </c>
      <c r="I313" s="12">
        <v>534142</v>
      </c>
      <c r="J313" s="10">
        <v>876</v>
      </c>
      <c r="K313" s="18">
        <v>44286</v>
      </c>
      <c r="L313" s="14">
        <f t="shared" si="10"/>
        <v>2021</v>
      </c>
      <c r="M313" s="12">
        <v>534142</v>
      </c>
    </row>
    <row r="314" spans="1:13" ht="15.75" customHeight="1" x14ac:dyDescent="0.25">
      <c r="A314" s="9" t="s">
        <v>15</v>
      </c>
      <c r="B314" s="9" t="s">
        <v>61</v>
      </c>
      <c r="C314" s="10" t="s">
        <v>21</v>
      </c>
      <c r="D314" s="9" t="s">
        <v>22</v>
      </c>
      <c r="E314" s="9" t="s">
        <v>14</v>
      </c>
      <c r="F314" s="10">
        <v>3193</v>
      </c>
      <c r="G314" s="18">
        <v>44195</v>
      </c>
      <c r="H314" s="14">
        <f t="shared" si="11"/>
        <v>2020</v>
      </c>
      <c r="I314" s="12">
        <f>110.95*51029</f>
        <v>5661667.5499999998</v>
      </c>
      <c r="J314" s="10">
        <v>1522</v>
      </c>
      <c r="K314" s="18">
        <v>44344</v>
      </c>
      <c r="L314" s="14">
        <f t="shared" si="10"/>
        <v>2021</v>
      </c>
      <c r="M314" s="12">
        <v>4387291</v>
      </c>
    </row>
    <row r="315" spans="1:13" ht="15.75" customHeight="1" x14ac:dyDescent="0.25">
      <c r="A315" s="9" t="s">
        <v>15</v>
      </c>
      <c r="B315" s="9" t="s">
        <v>61</v>
      </c>
      <c r="C315" s="10" t="s">
        <v>21</v>
      </c>
      <c r="D315" s="9" t="s">
        <v>13</v>
      </c>
      <c r="E315" s="9" t="s">
        <v>14</v>
      </c>
      <c r="F315" s="10">
        <v>227</v>
      </c>
      <c r="G315" s="18">
        <v>44215</v>
      </c>
      <c r="H315" s="14">
        <f t="shared" si="11"/>
        <v>2021</v>
      </c>
      <c r="I315" s="12">
        <f>5.25*50978</f>
        <v>267634.5</v>
      </c>
      <c r="J315" s="10">
        <v>3292</v>
      </c>
      <c r="K315" s="18">
        <v>44546</v>
      </c>
      <c r="L315" s="14">
        <f t="shared" si="10"/>
        <v>2021</v>
      </c>
      <c r="M315" s="12">
        <v>284398</v>
      </c>
    </row>
    <row r="316" spans="1:13" ht="15.75" customHeight="1" x14ac:dyDescent="0.25">
      <c r="A316" s="9" t="s">
        <v>15</v>
      </c>
      <c r="B316" s="9" t="s">
        <v>61</v>
      </c>
      <c r="C316" s="10" t="s">
        <v>21</v>
      </c>
      <c r="D316" s="9" t="s">
        <v>22</v>
      </c>
      <c r="E316" s="9" t="s">
        <v>14</v>
      </c>
      <c r="F316" s="10">
        <v>228</v>
      </c>
      <c r="G316" s="18">
        <v>44215</v>
      </c>
      <c r="H316" s="14">
        <f t="shared" si="11"/>
        <v>2021</v>
      </c>
      <c r="I316" s="12">
        <f>21.35*50978</f>
        <v>1088380.3</v>
      </c>
      <c r="J316" s="10">
        <v>3327</v>
      </c>
      <c r="K316" s="18">
        <v>44546</v>
      </c>
      <c r="L316" s="14">
        <f t="shared" si="10"/>
        <v>2021</v>
      </c>
      <c r="M316" s="12">
        <v>1156551</v>
      </c>
    </row>
    <row r="317" spans="1:13" ht="15.75" customHeight="1" x14ac:dyDescent="0.25">
      <c r="A317" s="9" t="s">
        <v>15</v>
      </c>
      <c r="B317" s="9" t="s">
        <v>61</v>
      </c>
      <c r="C317" s="10" t="s">
        <v>21</v>
      </c>
      <c r="D317" s="9" t="s">
        <v>22</v>
      </c>
      <c r="E317" s="9" t="s">
        <v>14</v>
      </c>
      <c r="F317" s="10">
        <v>29</v>
      </c>
      <c r="G317" s="18">
        <v>44207</v>
      </c>
      <c r="H317" s="14">
        <f t="shared" si="11"/>
        <v>2021</v>
      </c>
      <c r="I317" s="12">
        <f>52.85*50978</f>
        <v>2694187.3000000003</v>
      </c>
      <c r="J317" s="10">
        <v>2275</v>
      </c>
      <c r="K317" s="18">
        <v>44438</v>
      </c>
      <c r="L317" s="14">
        <f t="shared" si="10"/>
        <v>2021</v>
      </c>
      <c r="M317" s="12">
        <v>2759457</v>
      </c>
    </row>
    <row r="318" spans="1:13" ht="15.75" customHeight="1" x14ac:dyDescent="0.25">
      <c r="A318" s="9" t="s">
        <v>15</v>
      </c>
      <c r="B318" s="9" t="s">
        <v>61</v>
      </c>
      <c r="C318" s="10" t="s">
        <v>21</v>
      </c>
      <c r="D318" s="9" t="s">
        <v>13</v>
      </c>
      <c r="E318" s="9" t="s">
        <v>47</v>
      </c>
      <c r="F318" s="10">
        <v>1350</v>
      </c>
      <c r="G318" s="18">
        <v>44326</v>
      </c>
      <c r="H318" s="14">
        <f t="shared" si="11"/>
        <v>2021</v>
      </c>
      <c r="I318" s="12">
        <f>53.55*51798</f>
        <v>2773782.9</v>
      </c>
      <c r="J318" s="10">
        <v>2945</v>
      </c>
      <c r="K318" s="18">
        <v>44515</v>
      </c>
      <c r="L318" s="14">
        <f t="shared" si="10"/>
        <v>2021</v>
      </c>
      <c r="M318" s="12">
        <v>2283425</v>
      </c>
    </row>
    <row r="319" spans="1:13" ht="15.75" customHeight="1" x14ac:dyDescent="0.25">
      <c r="A319" s="9" t="s">
        <v>59</v>
      </c>
      <c r="B319" s="9" t="s">
        <v>24</v>
      </c>
      <c r="C319" s="10" t="s">
        <v>12</v>
      </c>
      <c r="D319" s="9" t="s">
        <v>25</v>
      </c>
      <c r="E319" s="9" t="s">
        <v>47</v>
      </c>
      <c r="F319" s="10">
        <v>250</v>
      </c>
      <c r="G319" s="18">
        <v>43601</v>
      </c>
      <c r="H319" s="14">
        <f t="shared" si="11"/>
        <v>2019</v>
      </c>
      <c r="I319" s="12">
        <v>8981338</v>
      </c>
      <c r="J319" s="10">
        <v>3617</v>
      </c>
      <c r="K319" s="18">
        <v>44561</v>
      </c>
      <c r="L319" s="14">
        <f t="shared" si="10"/>
        <v>2021</v>
      </c>
      <c r="M319" s="12">
        <v>7705719</v>
      </c>
    </row>
    <row r="320" spans="1:13" ht="15.75" customHeight="1" x14ac:dyDescent="0.25">
      <c r="A320" s="9" t="s">
        <v>10</v>
      </c>
      <c r="B320" s="9" t="s">
        <v>24</v>
      </c>
      <c r="C320" s="10" t="s">
        <v>12</v>
      </c>
      <c r="D320" s="9" t="s">
        <v>25</v>
      </c>
      <c r="E320" s="9" t="s">
        <v>65</v>
      </c>
      <c r="F320" s="10">
        <v>344</v>
      </c>
      <c r="G320" s="18">
        <v>43657</v>
      </c>
      <c r="H320" s="14">
        <f t="shared" si="11"/>
        <v>2019</v>
      </c>
      <c r="I320" s="12">
        <v>436394</v>
      </c>
      <c r="J320" s="10">
        <v>1594</v>
      </c>
      <c r="K320" s="18">
        <v>44351</v>
      </c>
      <c r="L320" s="14">
        <f t="shared" si="10"/>
        <v>2021</v>
      </c>
      <c r="M320" s="12">
        <v>220649</v>
      </c>
    </row>
    <row r="321" spans="1:13" ht="15.75" customHeight="1" x14ac:dyDescent="0.25">
      <c r="A321" s="9" t="s">
        <v>15</v>
      </c>
      <c r="B321" s="9" t="s">
        <v>24</v>
      </c>
      <c r="C321" s="10" t="s">
        <v>12</v>
      </c>
      <c r="D321" s="9" t="s">
        <v>25</v>
      </c>
      <c r="E321" s="9" t="s">
        <v>68</v>
      </c>
      <c r="F321" s="10">
        <v>421</v>
      </c>
      <c r="G321" s="18">
        <v>43724</v>
      </c>
      <c r="H321" s="14">
        <f t="shared" si="11"/>
        <v>2019</v>
      </c>
      <c r="I321" s="12">
        <v>309525</v>
      </c>
      <c r="J321" s="10">
        <v>2367</v>
      </c>
      <c r="K321" s="18">
        <v>44448</v>
      </c>
      <c r="L321" s="14">
        <f t="shared" si="10"/>
        <v>2021</v>
      </c>
      <c r="M321" s="12">
        <v>309525</v>
      </c>
    </row>
    <row r="322" spans="1:13" ht="15.75" customHeight="1" x14ac:dyDescent="0.25">
      <c r="A322" s="9" t="s">
        <v>15</v>
      </c>
      <c r="B322" s="9" t="s">
        <v>24</v>
      </c>
      <c r="C322" s="10" t="s">
        <v>12</v>
      </c>
      <c r="D322" s="9" t="s">
        <v>25</v>
      </c>
      <c r="E322" s="9" t="s">
        <v>68</v>
      </c>
      <c r="F322" s="10">
        <v>422</v>
      </c>
      <c r="G322" s="18">
        <v>43724</v>
      </c>
      <c r="H322" s="14">
        <f t="shared" si="11"/>
        <v>2019</v>
      </c>
      <c r="I322" s="12">
        <v>432353</v>
      </c>
      <c r="J322" s="10">
        <v>2365</v>
      </c>
      <c r="K322" s="18">
        <v>44448</v>
      </c>
      <c r="L322" s="14">
        <f t="shared" si="10"/>
        <v>2021</v>
      </c>
      <c r="M322" s="12">
        <v>432353</v>
      </c>
    </row>
    <row r="323" spans="1:13" ht="15.75" customHeight="1" x14ac:dyDescent="0.25">
      <c r="A323" s="9" t="s">
        <v>15</v>
      </c>
      <c r="B323" s="9" t="s">
        <v>24</v>
      </c>
      <c r="C323" s="10" t="s">
        <v>12</v>
      </c>
      <c r="D323" s="9" t="s">
        <v>25</v>
      </c>
      <c r="E323" s="9" t="s">
        <v>68</v>
      </c>
      <c r="F323" s="10">
        <v>423</v>
      </c>
      <c r="G323" s="18">
        <v>43724</v>
      </c>
      <c r="H323" s="14">
        <f t="shared" si="11"/>
        <v>2019</v>
      </c>
      <c r="I323" s="12">
        <v>520789</v>
      </c>
      <c r="J323" s="10">
        <v>2366</v>
      </c>
      <c r="K323" s="18">
        <v>44448</v>
      </c>
      <c r="L323" s="14">
        <f t="shared" si="10"/>
        <v>2021</v>
      </c>
      <c r="M323" s="12">
        <v>520789</v>
      </c>
    </row>
    <row r="324" spans="1:13" ht="15.75" customHeight="1" x14ac:dyDescent="0.25">
      <c r="A324" s="9" t="s">
        <v>59</v>
      </c>
      <c r="B324" s="9" t="s">
        <v>24</v>
      </c>
      <c r="C324" s="10" t="s">
        <v>12</v>
      </c>
      <c r="D324" s="9" t="s">
        <v>25</v>
      </c>
      <c r="E324" s="9" t="s">
        <v>65</v>
      </c>
      <c r="F324" s="10">
        <v>427</v>
      </c>
      <c r="G324" s="18">
        <v>43732</v>
      </c>
      <c r="H324" s="14">
        <f t="shared" si="11"/>
        <v>2019</v>
      </c>
      <c r="I324" s="12">
        <v>437266</v>
      </c>
      <c r="J324" s="10">
        <v>2720</v>
      </c>
      <c r="K324" s="18">
        <v>44482</v>
      </c>
      <c r="L324" s="14">
        <f t="shared" si="10"/>
        <v>2021</v>
      </c>
      <c r="M324" s="12">
        <v>221090</v>
      </c>
    </row>
    <row r="325" spans="1:13" ht="15.75" customHeight="1" x14ac:dyDescent="0.25">
      <c r="A325" s="9" t="s">
        <v>15</v>
      </c>
      <c r="B325" s="9" t="s">
        <v>24</v>
      </c>
      <c r="C325" s="10" t="s">
        <v>12</v>
      </c>
      <c r="D325" s="9" t="s">
        <v>25</v>
      </c>
      <c r="E325" s="9" t="s">
        <v>36</v>
      </c>
      <c r="F325" s="10">
        <v>507</v>
      </c>
      <c r="G325" s="18">
        <v>43797</v>
      </c>
      <c r="H325" s="14">
        <f t="shared" si="11"/>
        <v>2019</v>
      </c>
      <c r="I325" s="12">
        <v>61459575</v>
      </c>
      <c r="J325" s="10">
        <v>3445</v>
      </c>
      <c r="K325" s="18">
        <v>44554</v>
      </c>
      <c r="L325" s="14">
        <f t="shared" si="10"/>
        <v>2021</v>
      </c>
      <c r="M325" s="12">
        <v>58236065</v>
      </c>
    </row>
    <row r="326" spans="1:13" ht="15.75" customHeight="1" x14ac:dyDescent="0.25">
      <c r="A326" s="9" t="s">
        <v>15</v>
      </c>
      <c r="B326" s="9" t="s">
        <v>24</v>
      </c>
      <c r="C326" s="10" t="s">
        <v>12</v>
      </c>
      <c r="D326" s="9" t="s">
        <v>25</v>
      </c>
      <c r="E326" s="9" t="s">
        <v>36</v>
      </c>
      <c r="F326" s="10">
        <v>528</v>
      </c>
      <c r="G326" s="18">
        <v>43805</v>
      </c>
      <c r="H326" s="14">
        <f t="shared" si="11"/>
        <v>2019</v>
      </c>
      <c r="I326" s="12">
        <v>52985961</v>
      </c>
      <c r="J326" s="10">
        <v>2626</v>
      </c>
      <c r="K326" s="18">
        <v>44477</v>
      </c>
      <c r="L326" s="14">
        <f t="shared" ref="L326:L389" si="12">YEAR(K326)</f>
        <v>2021</v>
      </c>
      <c r="M326" s="12">
        <v>44415066</v>
      </c>
    </row>
    <row r="327" spans="1:13" ht="15.75" customHeight="1" x14ac:dyDescent="0.25">
      <c r="A327" s="9" t="s">
        <v>15</v>
      </c>
      <c r="B327" s="9" t="s">
        <v>24</v>
      </c>
      <c r="C327" s="10" t="s">
        <v>12</v>
      </c>
      <c r="D327" s="9" t="s">
        <v>25</v>
      </c>
      <c r="E327" s="9" t="s">
        <v>72</v>
      </c>
      <c r="F327" s="10">
        <v>124</v>
      </c>
      <c r="G327" s="18">
        <v>44266</v>
      </c>
      <c r="H327" s="14">
        <f t="shared" ref="H327:H390" si="13">YEAR(G327)</f>
        <v>2021</v>
      </c>
      <c r="I327" s="12">
        <v>66316729</v>
      </c>
      <c r="J327" s="10">
        <v>3318</v>
      </c>
      <c r="K327" s="18">
        <v>44551</v>
      </c>
      <c r="L327" s="14">
        <f t="shared" si="12"/>
        <v>2021</v>
      </c>
      <c r="M327" s="12">
        <v>66316729</v>
      </c>
    </row>
    <row r="328" spans="1:13" ht="15.75" customHeight="1" x14ac:dyDescent="0.25">
      <c r="A328" s="9" t="s">
        <v>15</v>
      </c>
      <c r="B328" s="9" t="s">
        <v>24</v>
      </c>
      <c r="C328" s="10" t="s">
        <v>12</v>
      </c>
      <c r="D328" s="9" t="s">
        <v>25</v>
      </c>
      <c r="E328" s="9" t="s">
        <v>72</v>
      </c>
      <c r="F328" s="10">
        <v>339</v>
      </c>
      <c r="G328" s="18">
        <v>44175</v>
      </c>
      <c r="H328" s="14">
        <f t="shared" si="13"/>
        <v>2020</v>
      </c>
      <c r="I328" s="12">
        <v>40162945</v>
      </c>
      <c r="J328" s="10">
        <v>3216</v>
      </c>
      <c r="K328" s="18">
        <v>44540</v>
      </c>
      <c r="L328" s="14">
        <f t="shared" si="12"/>
        <v>2021</v>
      </c>
      <c r="M328" s="12">
        <v>40162945</v>
      </c>
    </row>
    <row r="329" spans="1:13" ht="15.75" customHeight="1" x14ac:dyDescent="0.25">
      <c r="A329" s="9" t="s">
        <v>10</v>
      </c>
      <c r="B329" s="9" t="s">
        <v>24</v>
      </c>
      <c r="C329" s="10" t="s">
        <v>12</v>
      </c>
      <c r="D329" s="9" t="s">
        <v>25</v>
      </c>
      <c r="E329" s="9" t="s">
        <v>72</v>
      </c>
      <c r="F329" s="10">
        <v>49</v>
      </c>
      <c r="G329" s="18">
        <v>44209</v>
      </c>
      <c r="H329" s="14">
        <f t="shared" si="13"/>
        <v>2021</v>
      </c>
      <c r="I329" s="12">
        <v>2377920</v>
      </c>
      <c r="J329" s="10">
        <v>3215</v>
      </c>
      <c r="K329" s="18">
        <v>44540</v>
      </c>
      <c r="L329" s="14">
        <f t="shared" si="12"/>
        <v>2021</v>
      </c>
      <c r="M329" s="12">
        <v>2377920</v>
      </c>
    </row>
    <row r="330" spans="1:13" ht="15.75" customHeight="1" x14ac:dyDescent="0.25">
      <c r="A330" s="9" t="s">
        <v>10</v>
      </c>
      <c r="B330" s="9" t="s">
        <v>24</v>
      </c>
      <c r="C330" s="10" t="s">
        <v>12</v>
      </c>
      <c r="D330" s="9" t="s">
        <v>25</v>
      </c>
      <c r="E330" s="9" t="s">
        <v>72</v>
      </c>
      <c r="F330" s="10">
        <v>50</v>
      </c>
      <c r="G330" s="18">
        <v>44209</v>
      </c>
      <c r="H330" s="14">
        <f t="shared" si="13"/>
        <v>2021</v>
      </c>
      <c r="I330" s="12">
        <v>2116247</v>
      </c>
      <c r="J330" s="10">
        <v>3285</v>
      </c>
      <c r="K330" s="18">
        <v>44546</v>
      </c>
      <c r="L330" s="14">
        <f t="shared" si="12"/>
        <v>2021</v>
      </c>
      <c r="M330" s="12">
        <v>2116247</v>
      </c>
    </row>
    <row r="331" spans="1:13" ht="15.75" customHeight="1" x14ac:dyDescent="0.25">
      <c r="A331" s="9" t="s">
        <v>10</v>
      </c>
      <c r="B331" s="9" t="s">
        <v>78</v>
      </c>
      <c r="C331" s="10" t="s">
        <v>79</v>
      </c>
      <c r="D331" s="9" t="s">
        <v>13</v>
      </c>
      <c r="E331" s="9" t="s">
        <v>65</v>
      </c>
      <c r="F331" s="10">
        <v>1907</v>
      </c>
      <c r="G331" s="18">
        <v>44371</v>
      </c>
      <c r="H331" s="14">
        <f t="shared" si="13"/>
        <v>2021</v>
      </c>
      <c r="I331" s="12">
        <v>528548</v>
      </c>
      <c r="J331" s="10">
        <v>3225</v>
      </c>
      <c r="K331" s="18">
        <v>44540</v>
      </c>
      <c r="L331" s="14">
        <f t="shared" si="12"/>
        <v>2021</v>
      </c>
      <c r="M331" s="12">
        <v>528548</v>
      </c>
    </row>
    <row r="332" spans="1:13" ht="15.75" customHeight="1" x14ac:dyDescent="0.25">
      <c r="A332" s="9" t="s">
        <v>59</v>
      </c>
      <c r="B332" s="9" t="s">
        <v>78</v>
      </c>
      <c r="C332" s="10" t="s">
        <v>79</v>
      </c>
      <c r="D332" s="9" t="s">
        <v>13</v>
      </c>
      <c r="E332" s="9" t="s">
        <v>65</v>
      </c>
      <c r="F332" s="10">
        <v>1905</v>
      </c>
      <c r="G332" s="18">
        <v>44371</v>
      </c>
      <c r="H332" s="14">
        <f t="shared" si="13"/>
        <v>2021</v>
      </c>
      <c r="I332" s="12">
        <v>528548</v>
      </c>
      <c r="J332" s="10">
        <v>3227</v>
      </c>
      <c r="K332" s="18">
        <v>44540</v>
      </c>
      <c r="L332" s="14">
        <f t="shared" si="12"/>
        <v>2021</v>
      </c>
      <c r="M332" s="12">
        <v>528548</v>
      </c>
    </row>
    <row r="333" spans="1:13" ht="15.75" customHeight="1" x14ac:dyDescent="0.25">
      <c r="A333" s="9" t="s">
        <v>10</v>
      </c>
      <c r="B333" s="9" t="s">
        <v>78</v>
      </c>
      <c r="C333" s="10" t="s">
        <v>79</v>
      </c>
      <c r="D333" s="9" t="s">
        <v>40</v>
      </c>
      <c r="E333" s="9" t="s">
        <v>65</v>
      </c>
      <c r="F333" s="10">
        <v>1908</v>
      </c>
      <c r="G333" s="18">
        <v>44371</v>
      </c>
      <c r="H333" s="14">
        <f t="shared" si="13"/>
        <v>2021</v>
      </c>
      <c r="I333" s="12">
        <v>538218</v>
      </c>
      <c r="J333" s="10">
        <v>3224</v>
      </c>
      <c r="K333" s="18">
        <v>44540</v>
      </c>
      <c r="L333" s="14">
        <f t="shared" si="12"/>
        <v>2021</v>
      </c>
      <c r="M333" s="12">
        <v>538218</v>
      </c>
    </row>
    <row r="334" spans="1:13" ht="15.75" customHeight="1" x14ac:dyDescent="0.25">
      <c r="A334" s="9" t="s">
        <v>59</v>
      </c>
      <c r="B334" s="9" t="s">
        <v>78</v>
      </c>
      <c r="C334" s="10" t="s">
        <v>79</v>
      </c>
      <c r="D334" s="9" t="s">
        <v>40</v>
      </c>
      <c r="E334" s="9" t="s">
        <v>65</v>
      </c>
      <c r="F334" s="10">
        <v>1906</v>
      </c>
      <c r="G334" s="18">
        <v>44371</v>
      </c>
      <c r="H334" s="14">
        <f t="shared" si="13"/>
        <v>2021</v>
      </c>
      <c r="I334" s="12">
        <v>412501</v>
      </c>
      <c r="J334" s="10">
        <v>3226</v>
      </c>
      <c r="K334" s="18">
        <v>44540</v>
      </c>
      <c r="L334" s="14">
        <f t="shared" si="12"/>
        <v>2021</v>
      </c>
      <c r="M334" s="12">
        <v>412501</v>
      </c>
    </row>
    <row r="335" spans="1:13" ht="15.75" customHeight="1" x14ac:dyDescent="0.25">
      <c r="A335" s="9" t="s">
        <v>59</v>
      </c>
      <c r="B335" s="9" t="s">
        <v>30</v>
      </c>
      <c r="C335" s="10" t="s">
        <v>12</v>
      </c>
      <c r="D335" s="9" t="s">
        <v>44</v>
      </c>
      <c r="E335" s="9" t="s">
        <v>47</v>
      </c>
      <c r="F335" s="10">
        <v>167</v>
      </c>
      <c r="G335" s="18">
        <v>43602</v>
      </c>
      <c r="H335" s="14">
        <f t="shared" si="13"/>
        <v>2019</v>
      </c>
      <c r="I335" s="12">
        <v>8015744</v>
      </c>
      <c r="J335" s="10">
        <v>3037</v>
      </c>
      <c r="K335" s="18">
        <v>44523</v>
      </c>
      <c r="L335" s="14">
        <f t="shared" si="12"/>
        <v>2021</v>
      </c>
      <c r="M335" s="12">
        <v>7995334</v>
      </c>
    </row>
    <row r="336" spans="1:13" ht="15.75" customHeight="1" x14ac:dyDescent="0.25">
      <c r="A336" s="9" t="s">
        <v>10</v>
      </c>
      <c r="B336" s="9" t="s">
        <v>30</v>
      </c>
      <c r="C336" s="10" t="s">
        <v>12</v>
      </c>
      <c r="D336" s="9" t="s">
        <v>31</v>
      </c>
      <c r="E336" s="9" t="s">
        <v>47</v>
      </c>
      <c r="F336" s="10">
        <v>181</v>
      </c>
      <c r="G336" s="18">
        <v>43663</v>
      </c>
      <c r="H336" s="14">
        <f t="shared" si="13"/>
        <v>2019</v>
      </c>
      <c r="I336" s="12">
        <v>8566066</v>
      </c>
      <c r="J336" s="10">
        <v>2405</v>
      </c>
      <c r="K336" s="18">
        <v>44452</v>
      </c>
      <c r="L336" s="14">
        <f t="shared" si="12"/>
        <v>2021</v>
      </c>
      <c r="M336" s="12">
        <v>6337024</v>
      </c>
    </row>
    <row r="337" spans="1:13" ht="15.75" customHeight="1" x14ac:dyDescent="0.25">
      <c r="A337" s="9" t="s">
        <v>10</v>
      </c>
      <c r="B337" s="9" t="s">
        <v>30</v>
      </c>
      <c r="C337" s="10" t="s">
        <v>12</v>
      </c>
      <c r="D337" s="9" t="s">
        <v>35</v>
      </c>
      <c r="E337" s="9" t="s">
        <v>47</v>
      </c>
      <c r="F337" s="10">
        <v>135</v>
      </c>
      <c r="G337" s="18">
        <v>43663</v>
      </c>
      <c r="H337" s="14">
        <f t="shared" si="13"/>
        <v>2019</v>
      </c>
      <c r="I337" s="12">
        <v>30829502</v>
      </c>
      <c r="J337" s="10">
        <v>2379</v>
      </c>
      <c r="K337" s="18">
        <v>44452</v>
      </c>
      <c r="L337" s="14">
        <f t="shared" si="12"/>
        <v>2021</v>
      </c>
      <c r="M337" s="12">
        <v>25768314</v>
      </c>
    </row>
    <row r="338" spans="1:13" ht="15.75" customHeight="1" x14ac:dyDescent="0.25">
      <c r="A338" s="9" t="s">
        <v>10</v>
      </c>
      <c r="B338" s="9" t="s">
        <v>30</v>
      </c>
      <c r="C338" s="10" t="s">
        <v>12</v>
      </c>
      <c r="D338" s="9" t="s">
        <v>44</v>
      </c>
      <c r="E338" s="9" t="s">
        <v>47</v>
      </c>
      <c r="F338" s="10">
        <v>242</v>
      </c>
      <c r="G338" s="18">
        <v>43672</v>
      </c>
      <c r="H338" s="14">
        <f t="shared" si="13"/>
        <v>2019</v>
      </c>
      <c r="I338" s="12">
        <v>18260871</v>
      </c>
      <c r="J338" s="10">
        <v>2562</v>
      </c>
      <c r="K338" s="18">
        <v>44470</v>
      </c>
      <c r="L338" s="14">
        <f t="shared" si="12"/>
        <v>2021</v>
      </c>
      <c r="M338" s="12">
        <v>17223332</v>
      </c>
    </row>
    <row r="339" spans="1:13" ht="15.75" customHeight="1" x14ac:dyDescent="0.25">
      <c r="A339" s="9" t="s">
        <v>10</v>
      </c>
      <c r="B339" s="9" t="s">
        <v>30</v>
      </c>
      <c r="C339" s="10" t="s">
        <v>12</v>
      </c>
      <c r="D339" s="9" t="s">
        <v>44</v>
      </c>
      <c r="E339" s="9" t="s">
        <v>47</v>
      </c>
      <c r="F339" s="10">
        <v>243</v>
      </c>
      <c r="G339" s="18">
        <v>43672</v>
      </c>
      <c r="H339" s="14">
        <f t="shared" si="13"/>
        <v>2019</v>
      </c>
      <c r="I339" s="12">
        <v>15305654</v>
      </c>
      <c r="J339" s="10">
        <v>2550</v>
      </c>
      <c r="K339" s="18">
        <v>44470</v>
      </c>
      <c r="L339" s="14">
        <f t="shared" si="12"/>
        <v>2021</v>
      </c>
      <c r="M339" s="12">
        <v>12981978</v>
      </c>
    </row>
    <row r="340" spans="1:13" ht="15.75" customHeight="1" x14ac:dyDescent="0.25">
      <c r="A340" s="9" t="s">
        <v>10</v>
      </c>
      <c r="B340" s="9" t="s">
        <v>30</v>
      </c>
      <c r="C340" s="10" t="s">
        <v>12</v>
      </c>
      <c r="D340" s="9" t="s">
        <v>44</v>
      </c>
      <c r="E340" s="9" t="s">
        <v>47</v>
      </c>
      <c r="F340" s="10">
        <v>244</v>
      </c>
      <c r="G340" s="18">
        <v>43672</v>
      </c>
      <c r="H340" s="14">
        <f t="shared" si="13"/>
        <v>2019</v>
      </c>
      <c r="I340" s="12">
        <v>21506855</v>
      </c>
      <c r="J340" s="10">
        <v>2378</v>
      </c>
      <c r="K340" s="18">
        <v>44452</v>
      </c>
      <c r="L340" s="14">
        <f t="shared" si="12"/>
        <v>2021</v>
      </c>
      <c r="M340" s="12">
        <v>17181166</v>
      </c>
    </row>
    <row r="341" spans="1:13" ht="15.75" customHeight="1" x14ac:dyDescent="0.25">
      <c r="A341" s="9" t="s">
        <v>59</v>
      </c>
      <c r="B341" s="9" t="s">
        <v>30</v>
      </c>
      <c r="C341" s="10" t="s">
        <v>12</v>
      </c>
      <c r="D341" s="9" t="s">
        <v>44</v>
      </c>
      <c r="E341" s="9" t="s">
        <v>65</v>
      </c>
      <c r="F341" s="10">
        <v>276</v>
      </c>
      <c r="G341" s="18">
        <v>43710</v>
      </c>
      <c r="H341" s="14">
        <f t="shared" si="13"/>
        <v>2019</v>
      </c>
      <c r="I341" s="12">
        <v>289873</v>
      </c>
      <c r="J341" s="10">
        <v>1828</v>
      </c>
      <c r="K341" s="18">
        <v>44364</v>
      </c>
      <c r="L341" s="14">
        <f t="shared" si="12"/>
        <v>2021</v>
      </c>
      <c r="M341" s="12">
        <v>0</v>
      </c>
    </row>
    <row r="342" spans="1:13" ht="15.75" customHeight="1" x14ac:dyDescent="0.25">
      <c r="A342" s="9" t="s">
        <v>59</v>
      </c>
      <c r="B342" s="9" t="s">
        <v>30</v>
      </c>
      <c r="C342" s="10" t="s">
        <v>12</v>
      </c>
      <c r="D342" s="9" t="s">
        <v>35</v>
      </c>
      <c r="E342" s="9" t="s">
        <v>65</v>
      </c>
      <c r="F342" s="10">
        <v>158</v>
      </c>
      <c r="G342" s="18">
        <v>43710</v>
      </c>
      <c r="H342" s="14">
        <f t="shared" si="13"/>
        <v>2019</v>
      </c>
      <c r="I342" s="12">
        <v>260394</v>
      </c>
      <c r="J342" s="10">
        <v>1520</v>
      </c>
      <c r="K342" s="18">
        <v>44344</v>
      </c>
      <c r="L342" s="14">
        <f t="shared" si="12"/>
        <v>2021</v>
      </c>
      <c r="M342" s="12">
        <v>0</v>
      </c>
    </row>
    <row r="343" spans="1:13" ht="15.75" customHeight="1" x14ac:dyDescent="0.25">
      <c r="A343" s="9" t="s">
        <v>59</v>
      </c>
      <c r="B343" s="9" t="s">
        <v>30</v>
      </c>
      <c r="C343" s="10" t="s">
        <v>12</v>
      </c>
      <c r="D343" s="9" t="s">
        <v>31</v>
      </c>
      <c r="E343" s="9" t="s">
        <v>65</v>
      </c>
      <c r="F343" s="10">
        <v>220</v>
      </c>
      <c r="G343" s="18">
        <v>43710</v>
      </c>
      <c r="H343" s="14">
        <f t="shared" si="13"/>
        <v>2019</v>
      </c>
      <c r="I343" s="12">
        <v>299699</v>
      </c>
      <c r="J343" s="10">
        <v>1521</v>
      </c>
      <c r="K343" s="18">
        <v>44344</v>
      </c>
      <c r="L343" s="14">
        <f t="shared" si="12"/>
        <v>2021</v>
      </c>
      <c r="M343" s="12">
        <v>0</v>
      </c>
    </row>
    <row r="344" spans="1:13" ht="15.75" customHeight="1" x14ac:dyDescent="0.25">
      <c r="A344" s="9" t="s">
        <v>15</v>
      </c>
      <c r="B344" s="9" t="s">
        <v>30</v>
      </c>
      <c r="C344" s="10" t="s">
        <v>12</v>
      </c>
      <c r="D344" s="9" t="s">
        <v>35</v>
      </c>
      <c r="E344" s="9" t="s">
        <v>36</v>
      </c>
      <c r="F344" s="10">
        <v>200</v>
      </c>
      <c r="G344" s="18">
        <v>43795</v>
      </c>
      <c r="H344" s="14">
        <f t="shared" si="13"/>
        <v>2019</v>
      </c>
      <c r="I344" s="12">
        <v>989011</v>
      </c>
      <c r="J344" s="10">
        <v>2957</v>
      </c>
      <c r="K344" s="18">
        <v>44515</v>
      </c>
      <c r="L344" s="14">
        <f t="shared" si="12"/>
        <v>2021</v>
      </c>
      <c r="M344" s="12">
        <v>968335</v>
      </c>
    </row>
    <row r="345" spans="1:13" ht="15.75" customHeight="1" x14ac:dyDescent="0.25">
      <c r="A345" s="9" t="s">
        <v>15</v>
      </c>
      <c r="B345" s="9" t="s">
        <v>30</v>
      </c>
      <c r="C345" s="10" t="s">
        <v>56</v>
      </c>
      <c r="D345" s="9" t="s">
        <v>35</v>
      </c>
      <c r="E345" s="9" t="s">
        <v>19</v>
      </c>
      <c r="F345" s="10">
        <v>2753</v>
      </c>
      <c r="G345" s="18">
        <v>44160</v>
      </c>
      <c r="H345" s="14">
        <f t="shared" si="13"/>
        <v>2020</v>
      </c>
      <c r="I345" s="12">
        <v>1346022</v>
      </c>
      <c r="J345" s="10">
        <v>566</v>
      </c>
      <c r="K345" s="18">
        <v>44256</v>
      </c>
      <c r="L345" s="14">
        <f t="shared" si="12"/>
        <v>2021</v>
      </c>
      <c r="M345" s="12">
        <v>1346022</v>
      </c>
    </row>
    <row r="346" spans="1:13" ht="15.75" customHeight="1" x14ac:dyDescent="0.25">
      <c r="A346" s="9" t="s">
        <v>15</v>
      </c>
      <c r="B346" s="9" t="s">
        <v>30</v>
      </c>
      <c r="C346" s="10" t="s">
        <v>56</v>
      </c>
      <c r="D346" s="9" t="s">
        <v>35</v>
      </c>
      <c r="E346" s="9" t="s">
        <v>23</v>
      </c>
      <c r="F346" s="10">
        <v>2786</v>
      </c>
      <c r="G346" s="18">
        <v>44165</v>
      </c>
      <c r="H346" s="14">
        <f t="shared" si="13"/>
        <v>2020</v>
      </c>
      <c r="I346" s="12">
        <v>10738308</v>
      </c>
      <c r="J346" s="10">
        <v>2722</v>
      </c>
      <c r="K346" s="18">
        <v>44482</v>
      </c>
      <c r="L346" s="14">
        <f t="shared" si="12"/>
        <v>2021</v>
      </c>
      <c r="M346" s="12">
        <v>10738308</v>
      </c>
    </row>
    <row r="347" spans="1:13" ht="15.75" customHeight="1" x14ac:dyDescent="0.25">
      <c r="A347" s="9" t="s">
        <v>15</v>
      </c>
      <c r="B347" s="9" t="s">
        <v>30</v>
      </c>
      <c r="C347" s="10" t="s">
        <v>56</v>
      </c>
      <c r="D347" s="9" t="s">
        <v>44</v>
      </c>
      <c r="E347" s="9" t="s">
        <v>23</v>
      </c>
      <c r="F347" s="10">
        <v>2785</v>
      </c>
      <c r="G347" s="18">
        <v>44165</v>
      </c>
      <c r="H347" s="14">
        <f t="shared" si="13"/>
        <v>2020</v>
      </c>
      <c r="I347" s="12">
        <v>3984777</v>
      </c>
      <c r="J347" s="10">
        <v>2534</v>
      </c>
      <c r="K347" s="18">
        <v>44469</v>
      </c>
      <c r="L347" s="14">
        <f t="shared" si="12"/>
        <v>2021</v>
      </c>
      <c r="M347" s="12">
        <v>3719125</v>
      </c>
    </row>
    <row r="348" spans="1:13" ht="15.75" customHeight="1" x14ac:dyDescent="0.25">
      <c r="A348" s="9" t="s">
        <v>15</v>
      </c>
      <c r="B348" s="9" t="s">
        <v>30</v>
      </c>
      <c r="C348" s="10" t="s">
        <v>56</v>
      </c>
      <c r="D348" s="9" t="s">
        <v>35</v>
      </c>
      <c r="E348" s="9" t="s">
        <v>73</v>
      </c>
      <c r="F348" s="10">
        <v>42</v>
      </c>
      <c r="G348" s="18">
        <v>44207</v>
      </c>
      <c r="H348" s="14">
        <f t="shared" si="13"/>
        <v>2021</v>
      </c>
      <c r="I348" s="12">
        <v>10074400</v>
      </c>
      <c r="J348" s="10">
        <v>3319</v>
      </c>
      <c r="K348" s="18">
        <v>44551</v>
      </c>
      <c r="L348" s="14">
        <f t="shared" si="12"/>
        <v>2021</v>
      </c>
      <c r="M348" s="12">
        <v>10074400</v>
      </c>
    </row>
    <row r="349" spans="1:13" ht="15.75" customHeight="1" x14ac:dyDescent="0.25">
      <c r="A349" s="9" t="s">
        <v>15</v>
      </c>
      <c r="B349" s="9" t="s">
        <v>30</v>
      </c>
      <c r="C349" s="10" t="s">
        <v>56</v>
      </c>
      <c r="D349" s="9" t="s">
        <v>31</v>
      </c>
      <c r="E349" s="9" t="s">
        <v>73</v>
      </c>
      <c r="F349" s="10">
        <v>1488</v>
      </c>
      <c r="G349" s="18">
        <v>44341</v>
      </c>
      <c r="H349" s="14">
        <f t="shared" si="13"/>
        <v>2021</v>
      </c>
      <c r="I349" s="12">
        <v>10054400</v>
      </c>
      <c r="J349" s="10">
        <v>3039</v>
      </c>
      <c r="K349" s="18">
        <v>44523</v>
      </c>
      <c r="L349" s="14">
        <f t="shared" si="12"/>
        <v>2021</v>
      </c>
      <c r="M349" s="12">
        <v>10054400</v>
      </c>
    </row>
    <row r="350" spans="1:13" ht="15.75" customHeight="1" x14ac:dyDescent="0.25">
      <c r="A350" s="9" t="s">
        <v>15</v>
      </c>
      <c r="B350" s="9" t="s">
        <v>53</v>
      </c>
      <c r="C350" s="10" t="s">
        <v>17</v>
      </c>
      <c r="D350" s="9" t="s">
        <v>54</v>
      </c>
      <c r="E350" s="9" t="s">
        <v>47</v>
      </c>
      <c r="F350" s="10">
        <v>159</v>
      </c>
      <c r="G350" s="18">
        <v>43851</v>
      </c>
      <c r="H350" s="14">
        <f t="shared" si="13"/>
        <v>2020</v>
      </c>
      <c r="I350" s="12">
        <f>120.75*50978</f>
        <v>6155593.5</v>
      </c>
      <c r="J350" s="10">
        <v>2625</v>
      </c>
      <c r="K350" s="18">
        <v>44477</v>
      </c>
      <c r="L350" s="14">
        <f t="shared" si="12"/>
        <v>2021</v>
      </c>
      <c r="M350" s="12">
        <f>120.75*52842</f>
        <v>6380671.5</v>
      </c>
    </row>
    <row r="351" spans="1:13" ht="15.75" customHeight="1" x14ac:dyDescent="0.25">
      <c r="A351" s="9" t="s">
        <v>15</v>
      </c>
      <c r="B351" s="9" t="s">
        <v>53</v>
      </c>
      <c r="C351" s="10" t="s">
        <v>17</v>
      </c>
      <c r="D351" s="9" t="s">
        <v>54</v>
      </c>
      <c r="E351" s="9" t="s">
        <v>14</v>
      </c>
      <c r="F351" s="10">
        <v>160</v>
      </c>
      <c r="G351" s="18">
        <v>43851</v>
      </c>
      <c r="H351" s="14">
        <f t="shared" si="13"/>
        <v>2020</v>
      </c>
      <c r="I351" s="12">
        <f>1171.45*50978</f>
        <v>59718178.100000001</v>
      </c>
      <c r="J351" s="10">
        <v>2726</v>
      </c>
      <c r="K351" s="18">
        <v>44482</v>
      </c>
      <c r="L351" s="14">
        <f t="shared" si="12"/>
        <v>2021</v>
      </c>
      <c r="M351" s="12">
        <f>1171.45*52842</f>
        <v>61901760.900000006</v>
      </c>
    </row>
    <row r="352" spans="1:13" ht="15.75" customHeight="1" x14ac:dyDescent="0.25">
      <c r="A352" s="9" t="s">
        <v>15</v>
      </c>
      <c r="B352" s="9" t="s">
        <v>53</v>
      </c>
      <c r="C352" s="10" t="s">
        <v>17</v>
      </c>
      <c r="D352" s="9" t="s">
        <v>54</v>
      </c>
      <c r="E352" s="9" t="s">
        <v>14</v>
      </c>
      <c r="F352" s="10">
        <v>748</v>
      </c>
      <c r="G352" s="18">
        <v>43893</v>
      </c>
      <c r="H352" s="14">
        <f t="shared" si="13"/>
        <v>2020</v>
      </c>
      <c r="I352" s="12">
        <f>640.5*50021</f>
        <v>32038450.5</v>
      </c>
      <c r="J352" s="10">
        <v>2725</v>
      </c>
      <c r="K352" s="18">
        <v>44482</v>
      </c>
      <c r="L352" s="14">
        <f t="shared" si="12"/>
        <v>2021</v>
      </c>
      <c r="M352" s="12">
        <f>630*52842</f>
        <v>33290460</v>
      </c>
    </row>
    <row r="353" spans="1:13" ht="15.75" customHeight="1" x14ac:dyDescent="0.25">
      <c r="A353" s="9" t="s">
        <v>15</v>
      </c>
      <c r="B353" s="9" t="s">
        <v>53</v>
      </c>
      <c r="C353" s="10" t="s">
        <v>17</v>
      </c>
      <c r="D353" s="9" t="s">
        <v>13</v>
      </c>
      <c r="E353" s="9" t="s">
        <v>14</v>
      </c>
      <c r="F353" s="10">
        <v>752</v>
      </c>
      <c r="G353" s="18">
        <v>43893</v>
      </c>
      <c r="H353" s="14">
        <f t="shared" si="13"/>
        <v>2020</v>
      </c>
      <c r="I353" s="12">
        <f>3550.05*50021</f>
        <v>177577051.05000001</v>
      </c>
      <c r="J353" s="10">
        <v>2727</v>
      </c>
      <c r="K353" s="18">
        <v>44482</v>
      </c>
      <c r="L353" s="14">
        <f t="shared" si="12"/>
        <v>2021</v>
      </c>
      <c r="M353" s="12">
        <f>3465.7*52842</f>
        <v>183134519.39999998</v>
      </c>
    </row>
    <row r="354" spans="1:13" ht="15.75" customHeight="1" x14ac:dyDescent="0.25">
      <c r="A354" s="9" t="s">
        <v>15</v>
      </c>
      <c r="B354" s="9" t="s">
        <v>53</v>
      </c>
      <c r="C354" s="10" t="s">
        <v>17</v>
      </c>
      <c r="D354" s="9" t="s">
        <v>54</v>
      </c>
      <c r="E354" s="9" t="s">
        <v>47</v>
      </c>
      <c r="F354" s="10">
        <v>749</v>
      </c>
      <c r="G354" s="18">
        <v>43893</v>
      </c>
      <c r="H354" s="14">
        <f t="shared" si="13"/>
        <v>2020</v>
      </c>
      <c r="I354" s="12">
        <f>522.55*50021</f>
        <v>26138473.549999997</v>
      </c>
      <c r="J354" s="10">
        <v>2623</v>
      </c>
      <c r="K354" s="18">
        <v>44477</v>
      </c>
      <c r="L354" s="14">
        <f t="shared" si="12"/>
        <v>2021</v>
      </c>
      <c r="M354" s="12">
        <v>27256730</v>
      </c>
    </row>
    <row r="355" spans="1:13" ht="15.75" customHeight="1" x14ac:dyDescent="0.25">
      <c r="A355" s="9" t="s">
        <v>15</v>
      </c>
      <c r="B355" s="9" t="s">
        <v>53</v>
      </c>
      <c r="C355" s="10" t="s">
        <v>17</v>
      </c>
      <c r="D355" s="9" t="s">
        <v>54</v>
      </c>
      <c r="E355" s="9" t="s">
        <v>47</v>
      </c>
      <c r="F355" s="10">
        <v>1124</v>
      </c>
      <c r="G355" s="18">
        <v>43923</v>
      </c>
      <c r="H355" s="14">
        <f t="shared" si="13"/>
        <v>2020</v>
      </c>
      <c r="I355" s="12">
        <f>631.05*50221</f>
        <v>31691962.049999997</v>
      </c>
      <c r="J355" s="10">
        <v>2624</v>
      </c>
      <c r="K355" s="18">
        <v>44477</v>
      </c>
      <c r="L355" s="14">
        <f t="shared" si="12"/>
        <v>2021</v>
      </c>
      <c r="M355" s="12">
        <v>24226172</v>
      </c>
    </row>
    <row r="356" spans="1:13" ht="15.75" customHeight="1" x14ac:dyDescent="0.25">
      <c r="A356" s="9" t="s">
        <v>15</v>
      </c>
      <c r="B356" s="9" t="s">
        <v>53</v>
      </c>
      <c r="C356" s="10" t="s">
        <v>17</v>
      </c>
      <c r="D356" s="9" t="s">
        <v>13</v>
      </c>
      <c r="E356" s="9" t="s">
        <v>14</v>
      </c>
      <c r="F356" s="10">
        <v>1126</v>
      </c>
      <c r="G356" s="18">
        <v>43923</v>
      </c>
      <c r="H356" s="14">
        <f t="shared" si="13"/>
        <v>2020</v>
      </c>
      <c r="I356" s="12">
        <f>173.6*50221</f>
        <v>8718365.5999999996</v>
      </c>
      <c r="J356" s="10">
        <v>1224</v>
      </c>
      <c r="K356" s="18">
        <v>44315</v>
      </c>
      <c r="L356" s="14">
        <f t="shared" si="12"/>
        <v>2021</v>
      </c>
      <c r="M356" s="12">
        <f>173.6*51592</f>
        <v>8956371.1999999993</v>
      </c>
    </row>
    <row r="357" spans="1:13" ht="15.75" customHeight="1" x14ac:dyDescent="0.25">
      <c r="A357" s="9" t="s">
        <v>15</v>
      </c>
      <c r="B357" s="9" t="s">
        <v>53</v>
      </c>
      <c r="C357" s="10" t="s">
        <v>17</v>
      </c>
      <c r="D357" s="9" t="s">
        <v>54</v>
      </c>
      <c r="E357" s="9" t="s">
        <v>14</v>
      </c>
      <c r="F357" s="10">
        <v>1128</v>
      </c>
      <c r="G357" s="18">
        <v>43923</v>
      </c>
      <c r="H357" s="14">
        <f t="shared" si="13"/>
        <v>2020</v>
      </c>
      <c r="I357" s="12">
        <f>5.25*50221</f>
        <v>263660.25</v>
      </c>
      <c r="J357" s="10">
        <v>649</v>
      </c>
      <c r="K357" s="18">
        <v>44264</v>
      </c>
      <c r="L357" s="14">
        <f t="shared" si="12"/>
        <v>2021</v>
      </c>
      <c r="M357" s="12">
        <f>5*51489</f>
        <v>257445</v>
      </c>
    </row>
    <row r="358" spans="1:13" ht="15.75" customHeight="1" x14ac:dyDescent="0.25">
      <c r="A358" s="9" t="s">
        <v>15</v>
      </c>
      <c r="B358" s="9" t="s">
        <v>53</v>
      </c>
      <c r="C358" s="10" t="s">
        <v>17</v>
      </c>
      <c r="D358" s="9" t="s">
        <v>13</v>
      </c>
      <c r="E358" s="9" t="s">
        <v>47</v>
      </c>
      <c r="F358" s="10">
        <v>1129</v>
      </c>
      <c r="G358" s="18">
        <v>43923</v>
      </c>
      <c r="H358" s="14">
        <f t="shared" si="13"/>
        <v>2020</v>
      </c>
      <c r="I358" s="12">
        <f>273.7*50221</f>
        <v>13745487.699999999</v>
      </c>
      <c r="J358" s="10">
        <v>2273</v>
      </c>
      <c r="K358" s="18">
        <v>44435</v>
      </c>
      <c r="L358" s="14">
        <f t="shared" si="12"/>
        <v>2021</v>
      </c>
      <c r="M358" s="12">
        <f>257.25*52213</f>
        <v>13431794.25</v>
      </c>
    </row>
    <row r="359" spans="1:13" ht="15.75" customHeight="1" x14ac:dyDescent="0.25">
      <c r="A359" s="9" t="s">
        <v>15</v>
      </c>
      <c r="B359" s="9" t="s">
        <v>53</v>
      </c>
      <c r="C359" s="10" t="s">
        <v>17</v>
      </c>
      <c r="D359" s="9" t="s">
        <v>54</v>
      </c>
      <c r="E359" s="9" t="s">
        <v>23</v>
      </c>
      <c r="F359" s="10">
        <v>2781</v>
      </c>
      <c r="G359" s="18">
        <v>44165</v>
      </c>
      <c r="H359" s="14">
        <f t="shared" si="13"/>
        <v>2020</v>
      </c>
      <c r="I359" s="12">
        <v>5730478</v>
      </c>
      <c r="J359" s="10">
        <v>1777</v>
      </c>
      <c r="K359" s="18">
        <v>44361</v>
      </c>
      <c r="L359" s="14">
        <f t="shared" si="12"/>
        <v>2021</v>
      </c>
      <c r="M359" s="12">
        <v>5730478</v>
      </c>
    </row>
    <row r="360" spans="1:13" ht="15.75" customHeight="1" x14ac:dyDescent="0.25">
      <c r="A360" s="9" t="s">
        <v>57</v>
      </c>
      <c r="B360" s="9" t="s">
        <v>53</v>
      </c>
      <c r="C360" s="10" t="s">
        <v>17</v>
      </c>
      <c r="D360" s="9" t="s">
        <v>13</v>
      </c>
      <c r="E360" s="9" t="s">
        <v>58</v>
      </c>
      <c r="F360" s="10">
        <v>3214</v>
      </c>
      <c r="G360" s="18">
        <v>44195</v>
      </c>
      <c r="H360" s="14">
        <f t="shared" si="13"/>
        <v>2020</v>
      </c>
      <c r="I360" s="12">
        <v>3329046</v>
      </c>
      <c r="J360" s="10">
        <v>2753</v>
      </c>
      <c r="K360" s="18">
        <v>44488</v>
      </c>
      <c r="L360" s="14">
        <f t="shared" si="12"/>
        <v>2021</v>
      </c>
      <c r="M360" s="12">
        <v>3329046</v>
      </c>
    </row>
    <row r="361" spans="1:13" ht="15.75" customHeight="1" x14ac:dyDescent="0.25">
      <c r="A361" s="9" t="s">
        <v>57</v>
      </c>
      <c r="B361" s="9" t="s">
        <v>53</v>
      </c>
      <c r="C361" s="10" t="s">
        <v>17</v>
      </c>
      <c r="D361" s="9" t="s">
        <v>13</v>
      </c>
      <c r="E361" s="9" t="s">
        <v>58</v>
      </c>
      <c r="F361" s="10">
        <v>2994</v>
      </c>
      <c r="G361" s="18">
        <v>44182</v>
      </c>
      <c r="H361" s="14">
        <f t="shared" si="13"/>
        <v>2020</v>
      </c>
      <c r="I361" s="12">
        <v>2184210</v>
      </c>
      <c r="J361" s="10">
        <v>1827</v>
      </c>
      <c r="K361" s="18">
        <v>44364</v>
      </c>
      <c r="L361" s="14">
        <f t="shared" si="12"/>
        <v>2021</v>
      </c>
      <c r="M361" s="12">
        <v>2184210</v>
      </c>
    </row>
    <row r="362" spans="1:13" ht="15.75" customHeight="1" x14ac:dyDescent="0.25">
      <c r="A362" s="9" t="s">
        <v>57</v>
      </c>
      <c r="B362" s="9" t="s">
        <v>53</v>
      </c>
      <c r="C362" s="10" t="s">
        <v>17</v>
      </c>
      <c r="D362" s="9" t="s">
        <v>13</v>
      </c>
      <c r="E362" s="9" t="s">
        <v>58</v>
      </c>
      <c r="F362" s="10">
        <v>2995</v>
      </c>
      <c r="G362" s="18">
        <v>44182</v>
      </c>
      <c r="H362" s="14">
        <f t="shared" si="13"/>
        <v>2020</v>
      </c>
      <c r="I362" s="12">
        <v>16927628</v>
      </c>
      <c r="J362" s="10">
        <v>1826</v>
      </c>
      <c r="K362" s="18">
        <v>44364</v>
      </c>
      <c r="L362" s="14">
        <f t="shared" si="12"/>
        <v>2021</v>
      </c>
      <c r="M362" s="12">
        <v>16927628</v>
      </c>
    </row>
    <row r="363" spans="1:13" ht="15.75" customHeight="1" x14ac:dyDescent="0.25">
      <c r="A363" s="9" t="s">
        <v>15</v>
      </c>
      <c r="B363" s="9" t="s">
        <v>53</v>
      </c>
      <c r="C363" s="10" t="s">
        <v>17</v>
      </c>
      <c r="D363" s="9" t="s">
        <v>54</v>
      </c>
      <c r="E363" s="9" t="s">
        <v>19</v>
      </c>
      <c r="F363" s="10">
        <v>338</v>
      </c>
      <c r="G363" s="18">
        <v>44231</v>
      </c>
      <c r="H363" s="14">
        <f t="shared" si="13"/>
        <v>2021</v>
      </c>
      <c r="I363" s="12">
        <v>383779</v>
      </c>
      <c r="J363" s="10">
        <v>3320</v>
      </c>
      <c r="K363" s="18">
        <v>44551</v>
      </c>
      <c r="L363" s="14">
        <f t="shared" si="12"/>
        <v>2021</v>
      </c>
      <c r="M363" s="12">
        <v>0</v>
      </c>
    </row>
    <row r="364" spans="1:13" ht="15.75" customHeight="1" x14ac:dyDescent="0.25">
      <c r="A364" s="9" t="s">
        <v>59</v>
      </c>
      <c r="B364" s="9" t="s">
        <v>53</v>
      </c>
      <c r="C364" s="10" t="s">
        <v>17</v>
      </c>
      <c r="D364" s="9" t="s">
        <v>13</v>
      </c>
      <c r="E364" s="9" t="s">
        <v>65</v>
      </c>
      <c r="F364" s="10">
        <v>1873</v>
      </c>
      <c r="G364" s="18">
        <v>44371</v>
      </c>
      <c r="H364" s="14">
        <f t="shared" si="13"/>
        <v>2021</v>
      </c>
      <c r="I364" s="12">
        <v>280827</v>
      </c>
      <c r="J364" s="10">
        <v>2944</v>
      </c>
      <c r="K364" s="18">
        <v>44515</v>
      </c>
      <c r="L364" s="14">
        <f t="shared" si="12"/>
        <v>2021</v>
      </c>
      <c r="M364" s="12">
        <v>0</v>
      </c>
    </row>
    <row r="365" spans="1:13" ht="15.75" customHeight="1" x14ac:dyDescent="0.25">
      <c r="A365" s="9" t="s">
        <v>15</v>
      </c>
      <c r="B365" s="9" t="s">
        <v>51</v>
      </c>
      <c r="C365" s="10" t="s">
        <v>21</v>
      </c>
      <c r="D365" s="9" t="s">
        <v>13</v>
      </c>
      <c r="E365" s="9" t="s">
        <v>47</v>
      </c>
      <c r="F365" s="10">
        <v>126</v>
      </c>
      <c r="G365" s="18">
        <v>44210</v>
      </c>
      <c r="H365" s="14">
        <f t="shared" si="13"/>
        <v>2021</v>
      </c>
      <c r="I365" s="12">
        <f>64.05*50978</f>
        <v>3265140.9</v>
      </c>
      <c r="J365" s="10">
        <v>1487</v>
      </c>
      <c r="K365" s="18">
        <v>44341</v>
      </c>
      <c r="L365" s="14">
        <f t="shared" si="12"/>
        <v>2021</v>
      </c>
      <c r="M365" s="12">
        <v>3317662</v>
      </c>
    </row>
    <row r="366" spans="1:13" ht="15.75" customHeight="1" x14ac:dyDescent="0.25">
      <c r="A366" s="9" t="s">
        <v>15</v>
      </c>
      <c r="B366" s="9" t="s">
        <v>51</v>
      </c>
      <c r="C366" s="10" t="s">
        <v>17</v>
      </c>
      <c r="D366" s="9" t="s">
        <v>13</v>
      </c>
      <c r="E366" s="9" t="s">
        <v>14</v>
      </c>
      <c r="F366" s="10">
        <v>751</v>
      </c>
      <c r="G366" s="18">
        <v>43893</v>
      </c>
      <c r="H366" s="14">
        <f t="shared" si="13"/>
        <v>2020</v>
      </c>
      <c r="I366" s="12">
        <f>31.5*50021</f>
        <v>1575661.5</v>
      </c>
      <c r="J366" s="10">
        <v>1595</v>
      </c>
      <c r="K366" s="18">
        <v>44351</v>
      </c>
      <c r="L366" s="14">
        <f t="shared" si="12"/>
        <v>2021</v>
      </c>
      <c r="M366" s="12">
        <v>1638158</v>
      </c>
    </row>
    <row r="367" spans="1:13" ht="15.75" customHeight="1" x14ac:dyDescent="0.25">
      <c r="A367" s="9" t="s">
        <v>15</v>
      </c>
      <c r="B367" s="9" t="s">
        <v>51</v>
      </c>
      <c r="C367" s="10" t="s">
        <v>21</v>
      </c>
      <c r="D367" s="9" t="s">
        <v>13</v>
      </c>
      <c r="E367" s="9" t="s">
        <v>65</v>
      </c>
      <c r="F367" s="10">
        <v>2059</v>
      </c>
      <c r="G367" s="18">
        <v>44053</v>
      </c>
      <c r="H367" s="14">
        <f t="shared" si="13"/>
        <v>2020</v>
      </c>
      <c r="I367" s="12">
        <v>123574</v>
      </c>
      <c r="J367" s="10">
        <v>777</v>
      </c>
      <c r="K367" s="18">
        <v>44277</v>
      </c>
      <c r="L367" s="14">
        <f t="shared" si="12"/>
        <v>2021</v>
      </c>
      <c r="M367" s="12">
        <v>123574</v>
      </c>
    </row>
    <row r="368" spans="1:13" ht="15.75" customHeight="1" x14ac:dyDescent="0.25">
      <c r="A368" s="9" t="s">
        <v>10</v>
      </c>
      <c r="B368" s="9" t="s">
        <v>51</v>
      </c>
      <c r="C368" s="10" t="s">
        <v>17</v>
      </c>
      <c r="D368" s="9" t="s">
        <v>13</v>
      </c>
      <c r="E368" s="9" t="s">
        <v>19</v>
      </c>
      <c r="F368" s="10">
        <v>2123</v>
      </c>
      <c r="G368" s="18">
        <v>44057</v>
      </c>
      <c r="H368" s="14">
        <f t="shared" si="13"/>
        <v>2020</v>
      </c>
      <c r="I368" s="12">
        <v>296009</v>
      </c>
      <c r="J368" s="10">
        <v>425</v>
      </c>
      <c r="K368" s="18">
        <v>44239</v>
      </c>
      <c r="L368" s="14">
        <f t="shared" si="12"/>
        <v>2021</v>
      </c>
      <c r="M368" s="12">
        <v>296009</v>
      </c>
    </row>
    <row r="369" spans="1:15" ht="15.75" customHeight="1" x14ac:dyDescent="0.25">
      <c r="A369" s="9" t="s">
        <v>15</v>
      </c>
      <c r="B369" s="9" t="s">
        <v>51</v>
      </c>
      <c r="C369" s="10" t="s">
        <v>17</v>
      </c>
      <c r="D369" s="9" t="s">
        <v>54</v>
      </c>
      <c r="E369" s="9" t="s">
        <v>23</v>
      </c>
      <c r="F369" s="10">
        <v>2156</v>
      </c>
      <c r="G369" s="18">
        <v>44068</v>
      </c>
      <c r="H369" s="14">
        <f t="shared" si="13"/>
        <v>2020</v>
      </c>
      <c r="I369" s="12">
        <v>22594203</v>
      </c>
      <c r="J369" s="10">
        <v>2752</v>
      </c>
      <c r="K369" s="18">
        <v>44488</v>
      </c>
      <c r="L369" s="14">
        <f t="shared" si="12"/>
        <v>2021</v>
      </c>
      <c r="M369" s="12">
        <v>17411880</v>
      </c>
    </row>
    <row r="370" spans="1:15" ht="15.75" customHeight="1" x14ac:dyDescent="0.25">
      <c r="A370" s="9" t="s">
        <v>15</v>
      </c>
      <c r="B370" s="9" t="s">
        <v>51</v>
      </c>
      <c r="C370" s="10" t="s">
        <v>17</v>
      </c>
      <c r="D370" s="9" t="s">
        <v>13</v>
      </c>
      <c r="E370" s="9" t="s">
        <v>23</v>
      </c>
      <c r="F370" s="10">
        <v>2158</v>
      </c>
      <c r="G370" s="18">
        <v>44068</v>
      </c>
      <c r="H370" s="14">
        <f t="shared" si="13"/>
        <v>2020</v>
      </c>
      <c r="I370" s="12">
        <v>40361591</v>
      </c>
      <c r="J370" s="10">
        <v>1776</v>
      </c>
      <c r="K370" s="18">
        <v>44361</v>
      </c>
      <c r="L370" s="14">
        <f t="shared" si="12"/>
        <v>2021</v>
      </c>
      <c r="M370" s="12">
        <v>37440755</v>
      </c>
    </row>
    <row r="371" spans="1:15" ht="15.75" customHeight="1" x14ac:dyDescent="0.25">
      <c r="A371" s="9" t="s">
        <v>57</v>
      </c>
      <c r="B371" s="9" t="s">
        <v>51</v>
      </c>
      <c r="C371" s="10" t="s">
        <v>17</v>
      </c>
      <c r="D371" s="9" t="s">
        <v>13</v>
      </c>
      <c r="E371" s="9" t="s">
        <v>58</v>
      </c>
      <c r="F371" s="10">
        <v>2993</v>
      </c>
      <c r="G371" s="18">
        <v>44182</v>
      </c>
      <c r="H371" s="14">
        <f t="shared" si="13"/>
        <v>2020</v>
      </c>
      <c r="I371" s="12">
        <v>2162538</v>
      </c>
      <c r="J371" s="10">
        <v>653</v>
      </c>
      <c r="K371" s="18">
        <v>44264</v>
      </c>
      <c r="L371" s="14">
        <f t="shared" si="12"/>
        <v>2021</v>
      </c>
      <c r="M371" s="12">
        <v>2162538</v>
      </c>
    </row>
    <row r="372" spans="1:15" ht="15.75" customHeight="1" x14ac:dyDescent="0.25">
      <c r="A372" s="9" t="s">
        <v>15</v>
      </c>
      <c r="B372" s="9" t="s">
        <v>51</v>
      </c>
      <c r="C372" s="10" t="s">
        <v>21</v>
      </c>
      <c r="D372" s="9" t="s">
        <v>13</v>
      </c>
      <c r="E372" s="9" t="s">
        <v>14</v>
      </c>
      <c r="F372" s="10">
        <v>3162</v>
      </c>
      <c r="G372" s="18">
        <v>44195</v>
      </c>
      <c r="H372" s="14">
        <f t="shared" si="13"/>
        <v>2020</v>
      </c>
      <c r="I372" s="12">
        <f>26.25*51029</f>
        <v>1339511.25</v>
      </c>
      <c r="J372" s="10">
        <v>1444</v>
      </c>
      <c r="K372" s="18">
        <v>44336</v>
      </c>
      <c r="L372" s="14">
        <f t="shared" si="12"/>
        <v>2021</v>
      </c>
      <c r="M372" s="12">
        <v>1359698</v>
      </c>
    </row>
    <row r="373" spans="1:15" ht="15.75" customHeight="1" x14ac:dyDescent="0.25">
      <c r="A373" s="9" t="s">
        <v>57</v>
      </c>
      <c r="B373" s="9" t="s">
        <v>51</v>
      </c>
      <c r="C373" s="10" t="s">
        <v>17</v>
      </c>
      <c r="D373" s="9" t="s">
        <v>13</v>
      </c>
      <c r="E373" s="9" t="s">
        <v>58</v>
      </c>
      <c r="F373" s="10">
        <v>3213</v>
      </c>
      <c r="G373" s="18">
        <v>44195</v>
      </c>
      <c r="H373" s="14">
        <f t="shared" si="13"/>
        <v>2020</v>
      </c>
      <c r="I373" s="12">
        <v>540634</v>
      </c>
      <c r="J373" s="10">
        <v>704</v>
      </c>
      <c r="K373" s="18">
        <v>44267</v>
      </c>
      <c r="L373" s="14">
        <f t="shared" si="12"/>
        <v>2021</v>
      </c>
      <c r="M373" s="12">
        <v>540634</v>
      </c>
    </row>
    <row r="374" spans="1:15" ht="15.75" customHeight="1" x14ac:dyDescent="0.25">
      <c r="A374" s="9" t="s">
        <v>15</v>
      </c>
      <c r="B374" s="9" t="s">
        <v>51</v>
      </c>
      <c r="C374" s="10" t="s">
        <v>21</v>
      </c>
      <c r="D374" s="9" t="s">
        <v>13</v>
      </c>
      <c r="E374" s="9" t="s">
        <v>14</v>
      </c>
      <c r="F374" s="10">
        <v>244</v>
      </c>
      <c r="G374" s="18">
        <v>44215</v>
      </c>
      <c r="H374" s="14">
        <f t="shared" si="13"/>
        <v>2021</v>
      </c>
      <c r="I374" s="12">
        <f>136.85*50978</f>
        <v>6976339.2999999998</v>
      </c>
      <c r="J374" s="10">
        <v>1443</v>
      </c>
      <c r="K374" s="18">
        <v>44335</v>
      </c>
      <c r="L374" s="14">
        <f t="shared" si="12"/>
        <v>2021</v>
      </c>
      <c r="M374" s="12">
        <v>7088557</v>
      </c>
    </row>
    <row r="375" spans="1:15" ht="15.75" customHeight="1" x14ac:dyDescent="0.25">
      <c r="A375" s="9" t="s">
        <v>15</v>
      </c>
      <c r="B375" s="9" t="s">
        <v>51</v>
      </c>
      <c r="C375" s="10" t="s">
        <v>21</v>
      </c>
      <c r="D375" s="9" t="s">
        <v>13</v>
      </c>
      <c r="E375" s="9" t="s">
        <v>14</v>
      </c>
      <c r="F375" s="10">
        <v>245</v>
      </c>
      <c r="G375" s="18">
        <v>44215</v>
      </c>
      <c r="H375" s="14">
        <f t="shared" si="13"/>
        <v>2021</v>
      </c>
      <c r="I375" s="12">
        <f>36.75*50978</f>
        <v>1873441.5</v>
      </c>
      <c r="J375" s="10">
        <v>1442</v>
      </c>
      <c r="K375" s="18">
        <v>44335</v>
      </c>
      <c r="L375" s="14">
        <f t="shared" si="12"/>
        <v>2021</v>
      </c>
      <c r="M375" s="12">
        <v>1903577</v>
      </c>
    </row>
    <row r="376" spans="1:15" ht="15.75" customHeight="1" x14ac:dyDescent="0.25">
      <c r="A376" s="9" t="s">
        <v>15</v>
      </c>
      <c r="B376" s="9" t="s">
        <v>51</v>
      </c>
      <c r="C376" s="10" t="s">
        <v>21</v>
      </c>
      <c r="D376" s="9" t="s">
        <v>13</v>
      </c>
      <c r="E376" s="9" t="s">
        <v>14</v>
      </c>
      <c r="F376" s="10">
        <v>28</v>
      </c>
      <c r="G376" s="18">
        <v>44207</v>
      </c>
      <c r="H376" s="14">
        <f t="shared" si="13"/>
        <v>2021</v>
      </c>
      <c r="I376" s="12">
        <f>36.75*50978</f>
        <v>1873441.5</v>
      </c>
      <c r="J376" s="10">
        <v>1201</v>
      </c>
      <c r="K376" s="18">
        <v>44316</v>
      </c>
      <c r="L376" s="14">
        <f t="shared" si="12"/>
        <v>2021</v>
      </c>
      <c r="M376" s="12">
        <v>1896006</v>
      </c>
    </row>
    <row r="377" spans="1:15" ht="15.75" customHeight="1" x14ac:dyDescent="0.25">
      <c r="A377" s="9" t="s">
        <v>10</v>
      </c>
      <c r="B377" s="9" t="s">
        <v>51</v>
      </c>
      <c r="C377" s="10" t="s">
        <v>21</v>
      </c>
      <c r="D377" s="9" t="s">
        <v>13</v>
      </c>
      <c r="E377" s="9" t="s">
        <v>65</v>
      </c>
      <c r="F377" s="10">
        <v>1554</v>
      </c>
      <c r="G377" s="18">
        <v>44347</v>
      </c>
      <c r="H377" s="14">
        <f t="shared" si="13"/>
        <v>2021</v>
      </c>
      <c r="I377" s="12">
        <v>250373</v>
      </c>
      <c r="J377" s="10">
        <v>2036</v>
      </c>
      <c r="K377" s="18">
        <v>44383</v>
      </c>
      <c r="L377" s="14">
        <f t="shared" si="12"/>
        <v>2021</v>
      </c>
      <c r="M377" s="12">
        <v>250373</v>
      </c>
    </row>
    <row r="378" spans="1:15" ht="15.75" customHeight="1" x14ac:dyDescent="0.25">
      <c r="A378" s="9" t="s">
        <v>10</v>
      </c>
      <c r="B378" s="9" t="s">
        <v>51</v>
      </c>
      <c r="C378" s="10" t="s">
        <v>21</v>
      </c>
      <c r="D378" s="9" t="s">
        <v>13</v>
      </c>
      <c r="E378" s="9" t="s">
        <v>65</v>
      </c>
      <c r="F378" s="10">
        <v>1555</v>
      </c>
      <c r="G378" s="18">
        <v>44347</v>
      </c>
      <c r="H378" s="14">
        <f t="shared" si="13"/>
        <v>2021</v>
      </c>
      <c r="I378" s="12">
        <v>260805</v>
      </c>
      <c r="J378" s="10">
        <v>2035</v>
      </c>
      <c r="K378" s="18">
        <v>44383</v>
      </c>
      <c r="L378" s="14">
        <f t="shared" si="12"/>
        <v>2021</v>
      </c>
      <c r="M378" s="12">
        <v>250373</v>
      </c>
    </row>
    <row r="379" spans="1:15" ht="15.75" customHeight="1" x14ac:dyDescent="0.25">
      <c r="A379" s="9" t="s">
        <v>59</v>
      </c>
      <c r="B379" s="9" t="s">
        <v>51</v>
      </c>
      <c r="C379" s="10" t="s">
        <v>21</v>
      </c>
      <c r="D379" s="9" t="s">
        <v>13</v>
      </c>
      <c r="E379" s="9" t="s">
        <v>65</v>
      </c>
      <c r="F379" s="10">
        <v>1624</v>
      </c>
      <c r="G379" s="18">
        <v>44354</v>
      </c>
      <c r="H379" s="14">
        <f t="shared" si="13"/>
        <v>2021</v>
      </c>
      <c r="I379" s="12">
        <v>125186</v>
      </c>
      <c r="J379" s="10">
        <v>2034</v>
      </c>
      <c r="K379" s="18">
        <v>44383</v>
      </c>
      <c r="L379" s="14">
        <f t="shared" si="12"/>
        <v>2021</v>
      </c>
      <c r="M379" s="12">
        <v>125186</v>
      </c>
    </row>
    <row r="380" spans="1:15" ht="15.75" customHeight="1" x14ac:dyDescent="0.25">
      <c r="A380" s="9" t="s">
        <v>10</v>
      </c>
      <c r="B380" s="9" t="s">
        <v>51</v>
      </c>
      <c r="C380" s="10" t="s">
        <v>17</v>
      </c>
      <c r="D380" s="9" t="s">
        <v>13</v>
      </c>
      <c r="E380" s="9" t="s">
        <v>65</v>
      </c>
      <c r="F380" s="10">
        <v>1625</v>
      </c>
      <c r="G380" s="18">
        <v>44354</v>
      </c>
      <c r="H380" s="14">
        <f t="shared" si="13"/>
        <v>2021</v>
      </c>
      <c r="I380" s="12">
        <f>4.8*52005</f>
        <v>249624</v>
      </c>
      <c r="J380" s="10">
        <v>2757</v>
      </c>
      <c r="K380" s="18">
        <v>44487</v>
      </c>
      <c r="L380" s="14">
        <f t="shared" si="12"/>
        <v>2021</v>
      </c>
      <c r="M380" s="12">
        <v>253642</v>
      </c>
    </row>
    <row r="381" spans="1:15" ht="15.75" customHeight="1" x14ac:dyDescent="0.25">
      <c r="A381" s="9" t="s">
        <v>59</v>
      </c>
      <c r="B381" s="9" t="s">
        <v>51</v>
      </c>
      <c r="C381" s="10" t="s">
        <v>21</v>
      </c>
      <c r="D381" s="9" t="s">
        <v>13</v>
      </c>
      <c r="E381" s="9" t="s">
        <v>65</v>
      </c>
      <c r="F381" s="10">
        <v>1887</v>
      </c>
      <c r="G381" s="18">
        <v>44371</v>
      </c>
      <c r="H381" s="14">
        <f t="shared" si="13"/>
        <v>2021</v>
      </c>
      <c r="I381" s="12">
        <v>390031</v>
      </c>
      <c r="J381" s="10">
        <v>3217</v>
      </c>
      <c r="K381" s="18">
        <v>44540</v>
      </c>
      <c r="L381" s="14">
        <f t="shared" si="12"/>
        <v>2021</v>
      </c>
      <c r="M381" s="12">
        <v>260021</v>
      </c>
    </row>
    <row r="382" spans="1:15" ht="15.75" customHeight="1" x14ac:dyDescent="0.25">
      <c r="A382" s="9" t="s">
        <v>15</v>
      </c>
      <c r="B382" s="9" t="s">
        <v>48</v>
      </c>
      <c r="C382" s="10" t="s">
        <v>21</v>
      </c>
      <c r="D382" s="9" t="s">
        <v>13</v>
      </c>
      <c r="E382" s="9" t="s">
        <v>14</v>
      </c>
      <c r="F382" s="10">
        <v>2977</v>
      </c>
      <c r="G382" s="18">
        <v>44182</v>
      </c>
      <c r="H382" s="14">
        <f t="shared" si="13"/>
        <v>2020</v>
      </c>
      <c r="I382" s="12">
        <f>155.75*51029</f>
        <v>7947766.75</v>
      </c>
      <c r="J382" s="10">
        <v>2142</v>
      </c>
      <c r="K382" s="18">
        <v>44407</v>
      </c>
      <c r="L382" s="14">
        <f t="shared" si="12"/>
        <v>2021</v>
      </c>
      <c r="M382" s="12">
        <v>7302541</v>
      </c>
      <c r="O382" s="8"/>
    </row>
    <row r="383" spans="1:15" ht="15.75" customHeight="1" x14ac:dyDescent="0.25">
      <c r="A383" s="9" t="s">
        <v>15</v>
      </c>
      <c r="B383" s="9" t="s">
        <v>48</v>
      </c>
      <c r="C383" s="10" t="s">
        <v>21</v>
      </c>
      <c r="D383" s="9" t="s">
        <v>13</v>
      </c>
      <c r="E383" s="9" t="s">
        <v>47</v>
      </c>
      <c r="F383" s="10">
        <v>3058</v>
      </c>
      <c r="G383" s="18">
        <v>44187</v>
      </c>
      <c r="H383" s="14">
        <f t="shared" si="13"/>
        <v>2020</v>
      </c>
      <c r="I383" s="12">
        <f>160.65*51029</f>
        <v>8197808.8500000006</v>
      </c>
      <c r="J383" s="10">
        <v>2799</v>
      </c>
      <c r="K383" s="18">
        <v>44491</v>
      </c>
      <c r="L383" s="14">
        <f t="shared" si="12"/>
        <v>2021</v>
      </c>
      <c r="M383" s="12">
        <v>7360892</v>
      </c>
    </row>
    <row r="384" spans="1:15" ht="15.75" customHeight="1" x14ac:dyDescent="0.25">
      <c r="A384" s="9" t="s">
        <v>15</v>
      </c>
      <c r="B384" s="9" t="s">
        <v>48</v>
      </c>
      <c r="C384" s="10" t="s">
        <v>21</v>
      </c>
      <c r="D384" s="9" t="s">
        <v>13</v>
      </c>
      <c r="E384" s="9" t="s">
        <v>47</v>
      </c>
      <c r="F384" s="10">
        <v>3054</v>
      </c>
      <c r="G384" s="18">
        <v>44187</v>
      </c>
      <c r="H384" s="14">
        <f t="shared" si="13"/>
        <v>2020</v>
      </c>
      <c r="I384" s="12">
        <f>338.45*51029</f>
        <v>17270765.050000001</v>
      </c>
      <c r="J384" s="10">
        <v>2798</v>
      </c>
      <c r="K384" s="18">
        <v>44491</v>
      </c>
      <c r="L384" s="14">
        <f t="shared" si="12"/>
        <v>2021</v>
      </c>
      <c r="M384" s="12">
        <v>15923938</v>
      </c>
    </row>
    <row r="385" spans="1:13" ht="15.75" customHeight="1" x14ac:dyDescent="0.25">
      <c r="A385" s="9" t="s">
        <v>15</v>
      </c>
      <c r="B385" s="9" t="s">
        <v>48</v>
      </c>
      <c r="C385" s="10" t="s">
        <v>12</v>
      </c>
      <c r="D385" s="9" t="s">
        <v>13</v>
      </c>
      <c r="E385" s="9" t="s">
        <v>36</v>
      </c>
      <c r="F385" s="10">
        <v>609</v>
      </c>
      <c r="G385" s="18">
        <v>43321</v>
      </c>
      <c r="H385" s="14">
        <f t="shared" si="13"/>
        <v>2018</v>
      </c>
      <c r="I385" s="12">
        <v>8518672</v>
      </c>
      <c r="J385" s="10">
        <v>2542</v>
      </c>
      <c r="K385" s="18">
        <v>44469</v>
      </c>
      <c r="L385" s="14">
        <f t="shared" si="12"/>
        <v>2021</v>
      </c>
      <c r="M385" s="12">
        <v>8024677</v>
      </c>
    </row>
    <row r="386" spans="1:13" ht="15.75" customHeight="1" x14ac:dyDescent="0.25">
      <c r="A386" s="9" t="s">
        <v>15</v>
      </c>
      <c r="B386" s="9" t="s">
        <v>48</v>
      </c>
      <c r="C386" s="10" t="s">
        <v>12</v>
      </c>
      <c r="D386" s="9" t="s">
        <v>13</v>
      </c>
      <c r="E386" s="9" t="s">
        <v>69</v>
      </c>
      <c r="F386" s="10">
        <v>741</v>
      </c>
      <c r="G386" s="18">
        <v>43721</v>
      </c>
      <c r="H386" s="14">
        <f t="shared" si="13"/>
        <v>2019</v>
      </c>
      <c r="I386" s="12">
        <v>58957</v>
      </c>
      <c r="J386" s="10">
        <v>1479</v>
      </c>
      <c r="K386" s="18">
        <v>44341</v>
      </c>
      <c r="L386" s="14">
        <f t="shared" si="12"/>
        <v>2021</v>
      </c>
      <c r="M386" s="12">
        <v>0</v>
      </c>
    </row>
    <row r="387" spans="1:13" ht="15.75" customHeight="1" x14ac:dyDescent="0.25">
      <c r="A387" s="9" t="s">
        <v>59</v>
      </c>
      <c r="B387" s="9" t="s">
        <v>48</v>
      </c>
      <c r="C387" s="10" t="s">
        <v>12</v>
      </c>
      <c r="D387" s="9" t="s">
        <v>13</v>
      </c>
      <c r="E387" s="9" t="s">
        <v>65</v>
      </c>
      <c r="F387" s="10">
        <v>792</v>
      </c>
      <c r="G387" s="18">
        <v>43754</v>
      </c>
      <c r="H387" s="14">
        <f t="shared" si="13"/>
        <v>2019</v>
      </c>
      <c r="I387" s="12">
        <v>428293</v>
      </c>
      <c r="J387" s="10">
        <v>2037</v>
      </c>
      <c r="K387" s="18">
        <v>44383</v>
      </c>
      <c r="L387" s="14">
        <f t="shared" si="12"/>
        <v>2021</v>
      </c>
      <c r="M387" s="12">
        <v>118150</v>
      </c>
    </row>
    <row r="388" spans="1:13" ht="15.75" customHeight="1" x14ac:dyDescent="0.25">
      <c r="A388" s="9" t="s">
        <v>57</v>
      </c>
      <c r="B388" s="9" t="s">
        <v>48</v>
      </c>
      <c r="C388" s="10" t="s">
        <v>21</v>
      </c>
      <c r="D388" s="9" t="s">
        <v>13</v>
      </c>
      <c r="E388" s="9" t="s">
        <v>58</v>
      </c>
      <c r="F388" s="10">
        <v>2487</v>
      </c>
      <c r="G388" s="18">
        <v>44112</v>
      </c>
      <c r="H388" s="14">
        <f t="shared" si="13"/>
        <v>2020</v>
      </c>
      <c r="I388" s="12">
        <v>810952</v>
      </c>
      <c r="J388" s="10">
        <v>849</v>
      </c>
      <c r="K388" s="18">
        <v>44284</v>
      </c>
      <c r="L388" s="14">
        <f t="shared" si="12"/>
        <v>2021</v>
      </c>
      <c r="M388" s="12">
        <v>810952</v>
      </c>
    </row>
    <row r="389" spans="1:13" ht="15.75" customHeight="1" x14ac:dyDescent="0.25">
      <c r="A389" s="9" t="s">
        <v>57</v>
      </c>
      <c r="B389" s="9" t="s">
        <v>48</v>
      </c>
      <c r="C389" s="10" t="s">
        <v>21</v>
      </c>
      <c r="D389" s="9" t="s">
        <v>13</v>
      </c>
      <c r="E389" s="9" t="s">
        <v>58</v>
      </c>
      <c r="F389" s="10">
        <v>2488</v>
      </c>
      <c r="G389" s="18">
        <v>44112</v>
      </c>
      <c r="H389" s="14">
        <f t="shared" si="13"/>
        <v>2020</v>
      </c>
      <c r="I389" s="12">
        <v>1621904</v>
      </c>
      <c r="J389" s="10">
        <v>847</v>
      </c>
      <c r="K389" s="18">
        <v>44284</v>
      </c>
      <c r="L389" s="14">
        <f t="shared" si="12"/>
        <v>2021</v>
      </c>
      <c r="M389" s="12">
        <v>1621904</v>
      </c>
    </row>
    <row r="390" spans="1:13" ht="15.75" customHeight="1" x14ac:dyDescent="0.25">
      <c r="A390" s="9" t="s">
        <v>57</v>
      </c>
      <c r="B390" s="9" t="s">
        <v>48</v>
      </c>
      <c r="C390" s="10" t="s">
        <v>21</v>
      </c>
      <c r="D390" s="9" t="s">
        <v>13</v>
      </c>
      <c r="E390" s="9" t="s">
        <v>58</v>
      </c>
      <c r="F390" s="10">
        <v>2489</v>
      </c>
      <c r="G390" s="18">
        <v>44112</v>
      </c>
      <c r="H390" s="14">
        <f t="shared" si="13"/>
        <v>2020</v>
      </c>
      <c r="I390" s="12">
        <v>810952</v>
      </c>
      <c r="J390" s="10">
        <v>848</v>
      </c>
      <c r="K390" s="18">
        <v>44284</v>
      </c>
      <c r="L390" s="14">
        <f t="shared" ref="L390:L453" si="14">YEAR(K390)</f>
        <v>2021</v>
      </c>
      <c r="M390" s="12">
        <v>810952</v>
      </c>
    </row>
    <row r="391" spans="1:13" ht="15.75" customHeight="1" x14ac:dyDescent="0.25">
      <c r="A391" s="9" t="s">
        <v>15</v>
      </c>
      <c r="B391" s="9" t="s">
        <v>48</v>
      </c>
      <c r="C391" s="10" t="s">
        <v>79</v>
      </c>
      <c r="D391" s="9" t="s">
        <v>25</v>
      </c>
      <c r="E391" s="9" t="s">
        <v>73</v>
      </c>
      <c r="F391" s="10">
        <v>2750</v>
      </c>
      <c r="G391" s="18">
        <v>44160</v>
      </c>
      <c r="H391" s="14">
        <f t="shared" ref="H391:H454" si="15">YEAR(G391)</f>
        <v>2020</v>
      </c>
      <c r="I391" s="12">
        <v>10064400</v>
      </c>
      <c r="J391" s="10">
        <v>3608</v>
      </c>
      <c r="K391" s="18">
        <v>44561</v>
      </c>
      <c r="L391" s="14">
        <f t="shared" si="14"/>
        <v>2021</v>
      </c>
      <c r="M391" s="12">
        <v>10064400</v>
      </c>
    </row>
    <row r="392" spans="1:13" ht="15.75" customHeight="1" x14ac:dyDescent="0.25">
      <c r="A392" s="9" t="s">
        <v>15</v>
      </c>
      <c r="B392" s="9" t="s">
        <v>48</v>
      </c>
      <c r="C392" s="10" t="s">
        <v>12</v>
      </c>
      <c r="D392" s="9" t="s">
        <v>13</v>
      </c>
      <c r="E392" s="9" t="s">
        <v>72</v>
      </c>
      <c r="F392" s="10">
        <v>658</v>
      </c>
      <c r="G392" s="18">
        <v>44174</v>
      </c>
      <c r="H392" s="14">
        <f t="shared" si="15"/>
        <v>2020</v>
      </c>
      <c r="I392" s="12">
        <v>1081896</v>
      </c>
      <c r="J392" s="10">
        <v>1452</v>
      </c>
      <c r="K392" s="18">
        <v>44335</v>
      </c>
      <c r="L392" s="14">
        <f t="shared" si="14"/>
        <v>2021</v>
      </c>
      <c r="M392" s="12">
        <v>1081896</v>
      </c>
    </row>
    <row r="393" spans="1:13" ht="15.75" customHeight="1" x14ac:dyDescent="0.25">
      <c r="A393" s="9" t="s">
        <v>15</v>
      </c>
      <c r="B393" s="9" t="s">
        <v>48</v>
      </c>
      <c r="C393" s="10" t="s">
        <v>12</v>
      </c>
      <c r="D393" s="9" t="s">
        <v>13</v>
      </c>
      <c r="E393" s="9" t="s">
        <v>72</v>
      </c>
      <c r="F393" s="10">
        <v>649</v>
      </c>
      <c r="G393" s="18">
        <v>44174</v>
      </c>
      <c r="H393" s="14">
        <f t="shared" si="15"/>
        <v>2020</v>
      </c>
      <c r="I393" s="12">
        <v>39813</v>
      </c>
      <c r="J393" s="10">
        <v>1451</v>
      </c>
      <c r="K393" s="18">
        <v>44335</v>
      </c>
      <c r="L393" s="14">
        <f t="shared" si="14"/>
        <v>2021</v>
      </c>
      <c r="M393" s="12">
        <v>39813</v>
      </c>
    </row>
    <row r="394" spans="1:13" ht="15.75" customHeight="1" x14ac:dyDescent="0.25">
      <c r="A394" s="9" t="s">
        <v>10</v>
      </c>
      <c r="B394" s="9" t="s">
        <v>48</v>
      </c>
      <c r="C394" s="10" t="s">
        <v>12</v>
      </c>
      <c r="D394" s="9" t="s">
        <v>13</v>
      </c>
      <c r="E394" s="9" t="s">
        <v>72</v>
      </c>
      <c r="F394" s="10">
        <v>8</v>
      </c>
      <c r="G394" s="18">
        <v>44210</v>
      </c>
      <c r="H394" s="14">
        <f t="shared" si="15"/>
        <v>2021</v>
      </c>
      <c r="I394" s="12">
        <v>288569</v>
      </c>
      <c r="J394" s="10">
        <v>1450</v>
      </c>
      <c r="K394" s="18">
        <v>44335</v>
      </c>
      <c r="L394" s="14">
        <f t="shared" si="14"/>
        <v>2021</v>
      </c>
      <c r="M394" s="12">
        <v>288569</v>
      </c>
    </row>
    <row r="395" spans="1:13" ht="15.75" customHeight="1" x14ac:dyDescent="0.25">
      <c r="A395" s="9" t="s">
        <v>15</v>
      </c>
      <c r="B395" s="9" t="s">
        <v>48</v>
      </c>
      <c r="C395" s="10" t="s">
        <v>21</v>
      </c>
      <c r="D395" s="9" t="s">
        <v>13</v>
      </c>
      <c r="E395" s="9" t="s">
        <v>14</v>
      </c>
      <c r="F395" s="10">
        <v>238</v>
      </c>
      <c r="G395" s="18">
        <v>44215</v>
      </c>
      <c r="H395" s="14">
        <f t="shared" si="15"/>
        <v>2021</v>
      </c>
      <c r="I395" s="12">
        <f>16.1*50978</f>
        <v>820745.8</v>
      </c>
      <c r="J395" s="10">
        <v>3324</v>
      </c>
      <c r="K395" s="18">
        <v>44551</v>
      </c>
      <c r="L395" s="14">
        <f t="shared" si="14"/>
        <v>2021</v>
      </c>
      <c r="M395" s="12">
        <f>16.1*54171</f>
        <v>872153.10000000009</v>
      </c>
    </row>
    <row r="396" spans="1:13" ht="15.75" customHeight="1" x14ac:dyDescent="0.25">
      <c r="A396" s="9" t="s">
        <v>15</v>
      </c>
      <c r="B396" s="9" t="s">
        <v>48</v>
      </c>
      <c r="C396" s="10" t="s">
        <v>21</v>
      </c>
      <c r="D396" s="9" t="s">
        <v>13</v>
      </c>
      <c r="E396" s="9" t="s">
        <v>14</v>
      </c>
      <c r="F396" s="10">
        <v>240</v>
      </c>
      <c r="G396" s="18">
        <v>44215</v>
      </c>
      <c r="H396" s="14">
        <f t="shared" si="15"/>
        <v>2021</v>
      </c>
      <c r="I396" s="12">
        <f>31.5*50978</f>
        <v>1605807</v>
      </c>
      <c r="J396" s="10">
        <v>887</v>
      </c>
      <c r="K396" s="18">
        <v>44286</v>
      </c>
      <c r="L396" s="14">
        <f t="shared" si="14"/>
        <v>2021</v>
      </c>
      <c r="M396" s="12">
        <v>1621904</v>
      </c>
    </row>
    <row r="397" spans="1:13" ht="15.75" customHeight="1" x14ac:dyDescent="0.25">
      <c r="A397" s="9" t="s">
        <v>15</v>
      </c>
      <c r="B397" s="9" t="s">
        <v>48</v>
      </c>
      <c r="C397" s="10" t="s">
        <v>21</v>
      </c>
      <c r="D397" s="9" t="s">
        <v>13</v>
      </c>
      <c r="E397" s="9" t="s">
        <v>14</v>
      </c>
      <c r="F397" s="10">
        <v>30</v>
      </c>
      <c r="G397" s="18">
        <v>44207</v>
      </c>
      <c r="H397" s="14">
        <f t="shared" si="15"/>
        <v>2021</v>
      </c>
      <c r="I397" s="12">
        <f>10.5*50978</f>
        <v>535269</v>
      </c>
      <c r="J397" s="10">
        <v>1453</v>
      </c>
      <c r="K397" s="18">
        <v>44335</v>
      </c>
      <c r="L397" s="14">
        <f t="shared" si="14"/>
        <v>2021</v>
      </c>
      <c r="M397" s="12">
        <v>543879</v>
      </c>
    </row>
    <row r="398" spans="1:13" ht="15.75" customHeight="1" x14ac:dyDescent="0.25">
      <c r="A398" s="9" t="s">
        <v>15</v>
      </c>
      <c r="B398" s="9" t="s">
        <v>48</v>
      </c>
      <c r="C398" s="10" t="s">
        <v>12</v>
      </c>
      <c r="D398" s="9" t="s">
        <v>13</v>
      </c>
      <c r="E398" s="9" t="s">
        <v>65</v>
      </c>
      <c r="F398" s="10">
        <v>211</v>
      </c>
      <c r="G398" s="18">
        <v>44307</v>
      </c>
      <c r="H398" s="14">
        <f t="shared" si="15"/>
        <v>2021</v>
      </c>
      <c r="I398" s="12">
        <v>211527</v>
      </c>
      <c r="J398" s="10">
        <v>1599</v>
      </c>
      <c r="K398" s="18">
        <v>44351</v>
      </c>
      <c r="L398" s="14">
        <f t="shared" si="14"/>
        <v>2021</v>
      </c>
      <c r="M398" s="12">
        <v>211527</v>
      </c>
    </row>
    <row r="399" spans="1:13" ht="15.75" customHeight="1" x14ac:dyDescent="0.25">
      <c r="A399" s="9" t="s">
        <v>10</v>
      </c>
      <c r="B399" s="9" t="s">
        <v>48</v>
      </c>
      <c r="C399" s="10" t="s">
        <v>21</v>
      </c>
      <c r="D399" s="9" t="s">
        <v>13</v>
      </c>
      <c r="E399" s="9" t="s">
        <v>65</v>
      </c>
      <c r="F399" s="10">
        <v>1558</v>
      </c>
      <c r="G399" s="18">
        <v>44347</v>
      </c>
      <c r="H399" s="14">
        <f t="shared" si="15"/>
        <v>2021</v>
      </c>
      <c r="I399" s="12">
        <v>125311</v>
      </c>
      <c r="J399" s="10">
        <v>2279</v>
      </c>
      <c r="K399" s="18">
        <v>44435</v>
      </c>
      <c r="L399" s="14">
        <f t="shared" si="14"/>
        <v>2021</v>
      </c>
      <c r="M399" s="12">
        <v>125311</v>
      </c>
    </row>
    <row r="400" spans="1:13" ht="15.75" customHeight="1" x14ac:dyDescent="0.25">
      <c r="A400" s="9" t="s">
        <v>59</v>
      </c>
      <c r="B400" s="9" t="s">
        <v>48</v>
      </c>
      <c r="C400" s="10" t="s">
        <v>21</v>
      </c>
      <c r="D400" s="9" t="s">
        <v>13</v>
      </c>
      <c r="E400" s="9" t="s">
        <v>65</v>
      </c>
      <c r="F400" s="10">
        <v>1627</v>
      </c>
      <c r="G400" s="18">
        <v>44354</v>
      </c>
      <c r="H400" s="14">
        <f t="shared" si="15"/>
        <v>2021</v>
      </c>
      <c r="I400" s="12">
        <v>125311</v>
      </c>
      <c r="J400" s="10">
        <v>2280</v>
      </c>
      <c r="K400" s="18">
        <v>44435</v>
      </c>
      <c r="L400" s="14">
        <f t="shared" si="14"/>
        <v>2021</v>
      </c>
      <c r="M400" s="12">
        <v>125311</v>
      </c>
    </row>
    <row r="401" spans="1:13" ht="15.75" customHeight="1" x14ac:dyDescent="0.25">
      <c r="A401" s="9" t="s">
        <v>10</v>
      </c>
      <c r="B401" s="9" t="s">
        <v>48</v>
      </c>
      <c r="C401" s="10" t="s">
        <v>21</v>
      </c>
      <c r="D401" s="9" t="s">
        <v>13</v>
      </c>
      <c r="E401" s="9" t="s">
        <v>76</v>
      </c>
      <c r="F401" s="10">
        <v>1920</v>
      </c>
      <c r="G401" s="18">
        <v>44371</v>
      </c>
      <c r="H401" s="14">
        <f t="shared" si="15"/>
        <v>2021</v>
      </c>
      <c r="I401" s="12">
        <v>176471</v>
      </c>
      <c r="J401" s="10">
        <v>2947</v>
      </c>
      <c r="K401" s="18">
        <v>44515</v>
      </c>
      <c r="L401" s="14">
        <f t="shared" si="14"/>
        <v>2021</v>
      </c>
      <c r="M401" s="12">
        <v>176471</v>
      </c>
    </row>
    <row r="402" spans="1:13" ht="15.75" customHeight="1" x14ac:dyDescent="0.25">
      <c r="A402" s="9" t="s">
        <v>15</v>
      </c>
      <c r="B402" s="9" t="s">
        <v>48</v>
      </c>
      <c r="C402" s="10" t="s">
        <v>12</v>
      </c>
      <c r="D402" s="9" t="s">
        <v>13</v>
      </c>
      <c r="E402" s="9" t="s">
        <v>74</v>
      </c>
      <c r="F402" s="10">
        <v>410</v>
      </c>
      <c r="G402" s="18">
        <v>44432</v>
      </c>
      <c r="H402" s="14">
        <f t="shared" si="15"/>
        <v>2021</v>
      </c>
      <c r="I402" s="12">
        <v>1352620</v>
      </c>
      <c r="J402" s="10">
        <v>2739</v>
      </c>
      <c r="K402" s="18">
        <v>44483</v>
      </c>
      <c r="L402" s="14">
        <f t="shared" si="14"/>
        <v>2021</v>
      </c>
      <c r="M402" s="12">
        <v>1352620</v>
      </c>
    </row>
    <row r="403" spans="1:13" ht="15.75" customHeight="1" x14ac:dyDescent="0.25">
      <c r="A403" s="9" t="s">
        <v>10</v>
      </c>
      <c r="B403" s="9" t="s">
        <v>48</v>
      </c>
      <c r="C403" s="10" t="s">
        <v>12</v>
      </c>
      <c r="D403" s="9" t="s">
        <v>13</v>
      </c>
      <c r="E403" s="9" t="s">
        <v>74</v>
      </c>
      <c r="F403" s="10">
        <v>411</v>
      </c>
      <c r="G403" s="18">
        <v>44432</v>
      </c>
      <c r="H403" s="14">
        <f t="shared" si="15"/>
        <v>2021</v>
      </c>
      <c r="I403" s="12">
        <v>931570</v>
      </c>
      <c r="J403" s="10">
        <v>2738</v>
      </c>
      <c r="K403" s="18">
        <v>44483</v>
      </c>
      <c r="L403" s="14">
        <f t="shared" si="14"/>
        <v>2021</v>
      </c>
      <c r="M403" s="12">
        <v>931570</v>
      </c>
    </row>
    <row r="404" spans="1:13" ht="15.75" customHeight="1" x14ac:dyDescent="0.25">
      <c r="A404" s="9" t="s">
        <v>15</v>
      </c>
      <c r="B404" s="9" t="s">
        <v>48</v>
      </c>
      <c r="C404" s="10" t="s">
        <v>21</v>
      </c>
      <c r="D404" s="9" t="s">
        <v>13</v>
      </c>
      <c r="E404" s="9" t="s">
        <v>47</v>
      </c>
      <c r="F404" s="10">
        <v>1352</v>
      </c>
      <c r="G404" s="18">
        <v>44326</v>
      </c>
      <c r="H404" s="14">
        <f t="shared" si="15"/>
        <v>2021</v>
      </c>
      <c r="I404" s="12">
        <f>5.6*51798</f>
        <v>290068.8</v>
      </c>
      <c r="J404" s="10">
        <v>3326</v>
      </c>
      <c r="K404" s="18">
        <v>44551</v>
      </c>
      <c r="L404" s="14">
        <f t="shared" si="14"/>
        <v>2021</v>
      </c>
      <c r="M404" s="12">
        <v>284398</v>
      </c>
    </row>
    <row r="405" spans="1:13" ht="15.75" customHeight="1" x14ac:dyDescent="0.25">
      <c r="A405" s="9" t="s">
        <v>15</v>
      </c>
      <c r="B405" s="9" t="s">
        <v>48</v>
      </c>
      <c r="C405" s="10" t="s">
        <v>21</v>
      </c>
      <c r="D405" s="9" t="s">
        <v>13</v>
      </c>
      <c r="E405" s="9" t="s">
        <v>47</v>
      </c>
      <c r="F405" s="10">
        <v>1351</v>
      </c>
      <c r="G405" s="18">
        <v>44326</v>
      </c>
      <c r="H405" s="14">
        <f t="shared" si="15"/>
        <v>2021</v>
      </c>
      <c r="I405" s="12">
        <v>3412774</v>
      </c>
      <c r="J405" s="10">
        <v>3325</v>
      </c>
      <c r="K405" s="18">
        <v>44551</v>
      </c>
      <c r="L405" s="14">
        <f t="shared" si="14"/>
        <v>2021</v>
      </c>
      <c r="M405" s="12">
        <v>1990784</v>
      </c>
    </row>
    <row r="406" spans="1:13" ht="15.75" customHeight="1" x14ac:dyDescent="0.25">
      <c r="A406" s="9" t="s">
        <v>15</v>
      </c>
      <c r="B406" s="9" t="s">
        <v>33</v>
      </c>
      <c r="C406" s="10" t="s">
        <v>12</v>
      </c>
      <c r="D406" s="9" t="s">
        <v>25</v>
      </c>
      <c r="E406" s="9" t="s">
        <v>36</v>
      </c>
      <c r="F406" s="10">
        <v>378</v>
      </c>
      <c r="G406" s="18">
        <v>42800</v>
      </c>
      <c r="H406" s="14">
        <f t="shared" si="15"/>
        <v>2017</v>
      </c>
      <c r="I406" s="12">
        <v>8324450</v>
      </c>
      <c r="J406" s="10">
        <v>3245</v>
      </c>
      <c r="K406" s="18">
        <v>44540</v>
      </c>
      <c r="L406" s="14">
        <f t="shared" si="14"/>
        <v>2021</v>
      </c>
      <c r="M406" s="12">
        <v>8324450</v>
      </c>
    </row>
    <row r="407" spans="1:13" ht="15.75" customHeight="1" x14ac:dyDescent="0.25">
      <c r="A407" s="9" t="s">
        <v>59</v>
      </c>
      <c r="B407" s="9" t="s">
        <v>33</v>
      </c>
      <c r="C407" s="10" t="s">
        <v>12</v>
      </c>
      <c r="D407" s="9" t="s">
        <v>25</v>
      </c>
      <c r="E407" s="9" t="s">
        <v>47</v>
      </c>
      <c r="F407" s="10">
        <v>245</v>
      </c>
      <c r="G407" s="18">
        <v>43601</v>
      </c>
      <c r="H407" s="14">
        <f t="shared" si="15"/>
        <v>2019</v>
      </c>
      <c r="I407" s="12">
        <v>14983296</v>
      </c>
      <c r="J407" s="10">
        <v>2377</v>
      </c>
      <c r="K407" s="18">
        <v>44452</v>
      </c>
      <c r="L407" s="14">
        <f t="shared" si="14"/>
        <v>2021</v>
      </c>
      <c r="M407" s="12">
        <v>12363057</v>
      </c>
    </row>
    <row r="408" spans="1:13" ht="15.75" customHeight="1" x14ac:dyDescent="0.25">
      <c r="A408" s="9" t="s">
        <v>59</v>
      </c>
      <c r="B408" s="9" t="s">
        <v>33</v>
      </c>
      <c r="C408" s="10" t="s">
        <v>12</v>
      </c>
      <c r="D408" s="9" t="s">
        <v>25</v>
      </c>
      <c r="E408" s="9" t="s">
        <v>47</v>
      </c>
      <c r="F408" s="10">
        <v>246</v>
      </c>
      <c r="G408" s="18">
        <v>43601</v>
      </c>
      <c r="H408" s="14">
        <f t="shared" si="15"/>
        <v>2019</v>
      </c>
      <c r="I408" s="12">
        <v>12752789</v>
      </c>
      <c r="J408" s="10">
        <v>2401</v>
      </c>
      <c r="K408" s="18">
        <v>44452</v>
      </c>
      <c r="L408" s="14">
        <f t="shared" si="14"/>
        <v>2021</v>
      </c>
      <c r="M408" s="12">
        <v>12136119</v>
      </c>
    </row>
    <row r="409" spans="1:13" ht="15.75" customHeight="1" x14ac:dyDescent="0.25">
      <c r="A409" s="9" t="s">
        <v>59</v>
      </c>
      <c r="B409" s="9" t="s">
        <v>33</v>
      </c>
      <c r="C409" s="10" t="s">
        <v>12</v>
      </c>
      <c r="D409" s="9" t="s">
        <v>25</v>
      </c>
      <c r="E409" s="9" t="s">
        <v>47</v>
      </c>
      <c r="F409" s="10">
        <v>247</v>
      </c>
      <c r="G409" s="18">
        <v>43601</v>
      </c>
      <c r="H409" s="14">
        <f t="shared" si="15"/>
        <v>2019</v>
      </c>
      <c r="I409" s="12">
        <v>15416281</v>
      </c>
      <c r="J409" s="10">
        <v>2400</v>
      </c>
      <c r="K409" s="18">
        <v>44452</v>
      </c>
      <c r="L409" s="14">
        <f t="shared" si="14"/>
        <v>2021</v>
      </c>
      <c r="M409" s="12">
        <v>7748963</v>
      </c>
    </row>
    <row r="410" spans="1:13" ht="15.75" customHeight="1" x14ac:dyDescent="0.25">
      <c r="A410" s="9" t="s">
        <v>59</v>
      </c>
      <c r="B410" s="9" t="s">
        <v>33</v>
      </c>
      <c r="C410" s="10" t="s">
        <v>12</v>
      </c>
      <c r="D410" s="9" t="s">
        <v>13</v>
      </c>
      <c r="E410" s="9" t="s">
        <v>47</v>
      </c>
      <c r="F410" s="10">
        <v>387</v>
      </c>
      <c r="G410" s="18">
        <v>43608</v>
      </c>
      <c r="H410" s="14">
        <f t="shared" si="15"/>
        <v>2019</v>
      </c>
      <c r="I410" s="12">
        <v>12168187</v>
      </c>
      <c r="J410" s="10">
        <v>2719</v>
      </c>
      <c r="K410" s="18">
        <v>44482</v>
      </c>
      <c r="L410" s="14">
        <f t="shared" si="14"/>
        <v>2021</v>
      </c>
      <c r="M410" s="12">
        <v>10750185</v>
      </c>
    </row>
    <row r="411" spans="1:13" ht="15.75" customHeight="1" x14ac:dyDescent="0.25">
      <c r="A411" s="9" t="s">
        <v>59</v>
      </c>
      <c r="B411" s="9" t="s">
        <v>33</v>
      </c>
      <c r="C411" s="10" t="s">
        <v>12</v>
      </c>
      <c r="D411" s="9" t="s">
        <v>13</v>
      </c>
      <c r="E411" s="9" t="s">
        <v>47</v>
      </c>
      <c r="F411" s="10">
        <v>388</v>
      </c>
      <c r="G411" s="18">
        <v>43608</v>
      </c>
      <c r="H411" s="14">
        <f t="shared" si="15"/>
        <v>2019</v>
      </c>
      <c r="I411" s="12">
        <v>5858612</v>
      </c>
      <c r="J411" s="10">
        <v>2718</v>
      </c>
      <c r="K411" s="18">
        <v>44482</v>
      </c>
      <c r="L411" s="14">
        <f t="shared" si="14"/>
        <v>2021</v>
      </c>
      <c r="M411" s="12">
        <v>4429920</v>
      </c>
    </row>
    <row r="412" spans="1:13" ht="15.75" customHeight="1" x14ac:dyDescent="0.25">
      <c r="A412" s="9" t="s">
        <v>59</v>
      </c>
      <c r="B412" s="9" t="s">
        <v>33</v>
      </c>
      <c r="C412" s="10" t="s">
        <v>12</v>
      </c>
      <c r="D412" s="9" t="s">
        <v>13</v>
      </c>
      <c r="E412" s="9" t="s">
        <v>47</v>
      </c>
      <c r="F412" s="10">
        <v>389</v>
      </c>
      <c r="G412" s="18">
        <v>43608</v>
      </c>
      <c r="H412" s="14">
        <f t="shared" si="15"/>
        <v>2019</v>
      </c>
      <c r="I412" s="12">
        <v>12824706</v>
      </c>
      <c r="J412" s="10">
        <v>2717</v>
      </c>
      <c r="K412" s="18">
        <v>44482</v>
      </c>
      <c r="L412" s="14">
        <f t="shared" si="14"/>
        <v>2021</v>
      </c>
      <c r="M412" s="12">
        <v>10513531</v>
      </c>
    </row>
    <row r="413" spans="1:13" ht="15.75" customHeight="1" x14ac:dyDescent="0.25">
      <c r="A413" s="9" t="s">
        <v>59</v>
      </c>
      <c r="B413" s="9" t="s">
        <v>33</v>
      </c>
      <c r="C413" s="10" t="s">
        <v>12</v>
      </c>
      <c r="D413" s="9" t="s">
        <v>37</v>
      </c>
      <c r="E413" s="9" t="s">
        <v>47</v>
      </c>
      <c r="F413" s="10">
        <v>125</v>
      </c>
      <c r="G413" s="18">
        <v>43605</v>
      </c>
      <c r="H413" s="14">
        <f t="shared" si="15"/>
        <v>2019</v>
      </c>
      <c r="I413" s="12">
        <v>1655147</v>
      </c>
      <c r="J413" s="10">
        <v>3244</v>
      </c>
      <c r="K413" s="18">
        <v>44540</v>
      </c>
      <c r="L413" s="14">
        <f t="shared" si="14"/>
        <v>2021</v>
      </c>
      <c r="M413" s="12">
        <v>586056</v>
      </c>
    </row>
    <row r="414" spans="1:13" ht="15.75" customHeight="1" x14ac:dyDescent="0.25">
      <c r="A414" s="9" t="s">
        <v>15</v>
      </c>
      <c r="B414" s="9" t="s">
        <v>33</v>
      </c>
      <c r="C414" s="10" t="s">
        <v>12</v>
      </c>
      <c r="D414" s="9" t="s">
        <v>13</v>
      </c>
      <c r="E414" s="9" t="s">
        <v>19</v>
      </c>
      <c r="F414" s="10">
        <v>451</v>
      </c>
      <c r="G414" s="18">
        <v>43634</v>
      </c>
      <c r="H414" s="14">
        <f t="shared" si="15"/>
        <v>2019</v>
      </c>
      <c r="I414" s="12">
        <v>24104919</v>
      </c>
      <c r="J414" s="10">
        <v>603</v>
      </c>
      <c r="K414" s="18">
        <v>44258</v>
      </c>
      <c r="L414" s="14">
        <f t="shared" si="14"/>
        <v>2021</v>
      </c>
      <c r="M414" s="12">
        <v>24104919</v>
      </c>
    </row>
    <row r="415" spans="1:13" ht="15.75" customHeight="1" x14ac:dyDescent="0.25">
      <c r="A415" s="9" t="s">
        <v>10</v>
      </c>
      <c r="B415" s="9" t="s">
        <v>33</v>
      </c>
      <c r="C415" s="10" t="s">
        <v>12</v>
      </c>
      <c r="D415" s="9" t="s">
        <v>13</v>
      </c>
      <c r="E415" s="9" t="s">
        <v>19</v>
      </c>
      <c r="F415" s="10">
        <v>452</v>
      </c>
      <c r="G415" s="18">
        <v>43634</v>
      </c>
      <c r="H415" s="14">
        <f t="shared" si="15"/>
        <v>2019</v>
      </c>
      <c r="I415" s="12">
        <v>852029</v>
      </c>
      <c r="J415" s="10">
        <v>602</v>
      </c>
      <c r="K415" s="18">
        <v>44258</v>
      </c>
      <c r="L415" s="14">
        <f t="shared" si="14"/>
        <v>2021</v>
      </c>
      <c r="M415" s="12">
        <v>852029</v>
      </c>
    </row>
    <row r="416" spans="1:13" ht="15.75" customHeight="1" x14ac:dyDescent="0.25">
      <c r="A416" s="9" t="s">
        <v>10</v>
      </c>
      <c r="B416" s="9" t="s">
        <v>33</v>
      </c>
      <c r="C416" s="10" t="s">
        <v>12</v>
      </c>
      <c r="D416" s="9" t="s">
        <v>25</v>
      </c>
      <c r="E416" s="9" t="s">
        <v>19</v>
      </c>
      <c r="F416" s="10">
        <v>290</v>
      </c>
      <c r="G416" s="18">
        <v>43630</v>
      </c>
      <c r="H416" s="14">
        <f t="shared" si="15"/>
        <v>2019</v>
      </c>
      <c r="I416" s="12">
        <v>2515221</v>
      </c>
      <c r="J416" s="10">
        <v>778</v>
      </c>
      <c r="K416" s="18">
        <v>44277</v>
      </c>
      <c r="L416" s="14">
        <f t="shared" si="14"/>
        <v>2021</v>
      </c>
      <c r="M416" s="12">
        <v>2515221</v>
      </c>
    </row>
    <row r="417" spans="1:13" ht="15.75" customHeight="1" x14ac:dyDescent="0.25">
      <c r="A417" s="9" t="s">
        <v>10</v>
      </c>
      <c r="B417" s="9" t="s">
        <v>33</v>
      </c>
      <c r="C417" s="10" t="s">
        <v>12</v>
      </c>
      <c r="D417" s="9" t="s">
        <v>25</v>
      </c>
      <c r="E417" s="9" t="s">
        <v>47</v>
      </c>
      <c r="F417" s="10">
        <v>340</v>
      </c>
      <c r="G417" s="18">
        <v>43657</v>
      </c>
      <c r="H417" s="14">
        <f t="shared" si="15"/>
        <v>2019</v>
      </c>
      <c r="I417" s="12">
        <v>43335368</v>
      </c>
      <c r="J417" s="10">
        <v>3246</v>
      </c>
      <c r="K417" s="18">
        <v>44540</v>
      </c>
      <c r="L417" s="14">
        <f t="shared" si="14"/>
        <v>2021</v>
      </c>
      <c r="M417" s="12">
        <v>37100331</v>
      </c>
    </row>
    <row r="418" spans="1:13" ht="15.75" customHeight="1" x14ac:dyDescent="0.25">
      <c r="A418" s="9" t="s">
        <v>10</v>
      </c>
      <c r="B418" s="9" t="s">
        <v>33</v>
      </c>
      <c r="C418" s="10" t="s">
        <v>12</v>
      </c>
      <c r="D418" s="9" t="s">
        <v>25</v>
      </c>
      <c r="E418" s="9" t="s">
        <v>65</v>
      </c>
      <c r="F418" s="10">
        <v>345</v>
      </c>
      <c r="G418" s="18">
        <v>43657</v>
      </c>
      <c r="H418" s="14">
        <f t="shared" si="15"/>
        <v>2019</v>
      </c>
      <c r="I418" s="12">
        <v>240262</v>
      </c>
      <c r="J418" s="10">
        <v>1764</v>
      </c>
      <c r="K418" s="18">
        <v>44361</v>
      </c>
      <c r="L418" s="14">
        <f t="shared" si="14"/>
        <v>2021</v>
      </c>
      <c r="M418" s="12">
        <v>0</v>
      </c>
    </row>
    <row r="419" spans="1:13" ht="15.75" customHeight="1" x14ac:dyDescent="0.25">
      <c r="A419" s="9" t="s">
        <v>10</v>
      </c>
      <c r="B419" s="9" t="s">
        <v>33</v>
      </c>
      <c r="C419" s="10" t="s">
        <v>12</v>
      </c>
      <c r="D419" s="9" t="s">
        <v>37</v>
      </c>
      <c r="E419" s="9" t="s">
        <v>65</v>
      </c>
      <c r="F419" s="10">
        <v>208</v>
      </c>
      <c r="G419" s="18">
        <v>43658</v>
      </c>
      <c r="H419" s="14">
        <f t="shared" si="15"/>
        <v>2019</v>
      </c>
      <c r="I419" s="12">
        <v>240262</v>
      </c>
      <c r="J419" s="10">
        <v>1766</v>
      </c>
      <c r="K419" s="18">
        <v>44361</v>
      </c>
      <c r="L419" s="14">
        <f t="shared" si="14"/>
        <v>2021</v>
      </c>
      <c r="M419" s="12">
        <v>0</v>
      </c>
    </row>
    <row r="420" spans="1:13" ht="15.75" customHeight="1" x14ac:dyDescent="0.25">
      <c r="A420" s="9" t="s">
        <v>10</v>
      </c>
      <c r="B420" s="9" t="s">
        <v>33</v>
      </c>
      <c r="C420" s="10" t="s">
        <v>12</v>
      </c>
      <c r="D420" s="9" t="s">
        <v>13</v>
      </c>
      <c r="E420" s="9" t="s">
        <v>65</v>
      </c>
      <c r="F420" s="10">
        <v>570</v>
      </c>
      <c r="G420" s="18">
        <v>43669</v>
      </c>
      <c r="H420" s="14">
        <f t="shared" si="15"/>
        <v>2019</v>
      </c>
      <c r="I420" s="12">
        <v>240262</v>
      </c>
      <c r="J420" s="10">
        <v>1765</v>
      </c>
      <c r="K420" s="18">
        <v>44361</v>
      </c>
      <c r="L420" s="14">
        <f t="shared" si="14"/>
        <v>2021</v>
      </c>
      <c r="M420" s="12">
        <v>0</v>
      </c>
    </row>
    <row r="421" spans="1:13" ht="15.75" customHeight="1" x14ac:dyDescent="0.25">
      <c r="A421" s="9" t="s">
        <v>10</v>
      </c>
      <c r="B421" s="9" t="s">
        <v>33</v>
      </c>
      <c r="C421" s="10" t="s">
        <v>12</v>
      </c>
      <c r="D421" s="9" t="s">
        <v>25</v>
      </c>
      <c r="E421" s="9" t="s">
        <v>14</v>
      </c>
      <c r="F421" s="10">
        <v>359</v>
      </c>
      <c r="G421" s="18">
        <v>43671</v>
      </c>
      <c r="H421" s="14">
        <f t="shared" si="15"/>
        <v>2019</v>
      </c>
      <c r="I421" s="12">
        <v>8340525</v>
      </c>
      <c r="J421" s="10">
        <v>2370</v>
      </c>
      <c r="K421" s="18">
        <v>44448</v>
      </c>
      <c r="L421" s="14">
        <f t="shared" si="14"/>
        <v>2021</v>
      </c>
      <c r="M421" s="12">
        <v>8257659</v>
      </c>
    </row>
    <row r="422" spans="1:13" ht="15.75" customHeight="1" x14ac:dyDescent="0.25">
      <c r="A422" s="9" t="s">
        <v>15</v>
      </c>
      <c r="B422" s="9" t="s">
        <v>33</v>
      </c>
      <c r="C422" s="10" t="s">
        <v>12</v>
      </c>
      <c r="D422" s="9" t="s">
        <v>13</v>
      </c>
      <c r="E422" s="9" t="s">
        <v>36</v>
      </c>
      <c r="F422" s="10">
        <v>636</v>
      </c>
      <c r="G422" s="18">
        <v>43689</v>
      </c>
      <c r="H422" s="14">
        <f t="shared" si="15"/>
        <v>2019</v>
      </c>
      <c r="I422" s="12">
        <v>14755988</v>
      </c>
      <c r="J422" s="10">
        <v>2276</v>
      </c>
      <c r="K422" s="18">
        <v>44435</v>
      </c>
      <c r="L422" s="14">
        <f t="shared" si="14"/>
        <v>2021</v>
      </c>
      <c r="M422" s="12">
        <v>13647352</v>
      </c>
    </row>
    <row r="423" spans="1:13" ht="15.75" customHeight="1" x14ac:dyDescent="0.25">
      <c r="A423" s="9" t="s">
        <v>59</v>
      </c>
      <c r="B423" s="9" t="s">
        <v>33</v>
      </c>
      <c r="C423" s="10" t="s">
        <v>12</v>
      </c>
      <c r="D423" s="9" t="s">
        <v>37</v>
      </c>
      <c r="E423" s="9" t="s">
        <v>65</v>
      </c>
      <c r="F423" s="10">
        <v>284</v>
      </c>
      <c r="G423" s="18">
        <v>43735</v>
      </c>
      <c r="H423" s="14">
        <f t="shared" si="15"/>
        <v>2019</v>
      </c>
      <c r="I423" s="12">
        <v>241222</v>
      </c>
      <c r="J423" s="10">
        <v>1830</v>
      </c>
      <c r="K423" s="18">
        <v>44364</v>
      </c>
      <c r="L423" s="14">
        <f t="shared" si="14"/>
        <v>2021</v>
      </c>
      <c r="M423" s="12">
        <v>0</v>
      </c>
    </row>
    <row r="424" spans="1:13" ht="15.75" customHeight="1" x14ac:dyDescent="0.25">
      <c r="A424" s="9" t="s">
        <v>59</v>
      </c>
      <c r="B424" s="9" t="s">
        <v>33</v>
      </c>
      <c r="C424" s="10" t="s">
        <v>12</v>
      </c>
      <c r="D424" s="9" t="s">
        <v>25</v>
      </c>
      <c r="E424" s="9" t="s">
        <v>65</v>
      </c>
      <c r="F424" s="10">
        <v>428</v>
      </c>
      <c r="G424" s="18">
        <v>43732</v>
      </c>
      <c r="H424" s="14">
        <f t="shared" si="15"/>
        <v>2019</v>
      </c>
      <c r="I424" s="12">
        <v>241222</v>
      </c>
      <c r="J424" s="10">
        <v>1767</v>
      </c>
      <c r="K424" s="18">
        <v>44361</v>
      </c>
      <c r="L424" s="14">
        <f t="shared" si="14"/>
        <v>2021</v>
      </c>
      <c r="M424" s="12">
        <v>0</v>
      </c>
    </row>
    <row r="425" spans="1:13" ht="15.75" customHeight="1" x14ac:dyDescent="0.25">
      <c r="A425" s="9" t="s">
        <v>59</v>
      </c>
      <c r="B425" s="9" t="s">
        <v>33</v>
      </c>
      <c r="C425" s="10" t="s">
        <v>12</v>
      </c>
      <c r="D425" s="9" t="s">
        <v>13</v>
      </c>
      <c r="E425" s="9" t="s">
        <v>65</v>
      </c>
      <c r="F425" s="10">
        <v>793</v>
      </c>
      <c r="G425" s="18">
        <v>43754</v>
      </c>
      <c r="H425" s="14">
        <f t="shared" si="15"/>
        <v>2019</v>
      </c>
      <c r="I425" s="12">
        <v>241222</v>
      </c>
      <c r="J425" s="10">
        <v>1829</v>
      </c>
      <c r="K425" s="18">
        <v>44364</v>
      </c>
      <c r="L425" s="14">
        <f t="shared" si="14"/>
        <v>2021</v>
      </c>
      <c r="M425" s="12">
        <v>0</v>
      </c>
    </row>
    <row r="426" spans="1:13" ht="15.75" customHeight="1" x14ac:dyDescent="0.25">
      <c r="A426" s="9" t="s">
        <v>15</v>
      </c>
      <c r="B426" s="9" t="s">
        <v>33</v>
      </c>
      <c r="C426" s="10" t="s">
        <v>12</v>
      </c>
      <c r="D426" s="9" t="s">
        <v>25</v>
      </c>
      <c r="E426" s="9" t="s">
        <v>36</v>
      </c>
      <c r="F426" s="10">
        <v>526</v>
      </c>
      <c r="G426" s="18">
        <v>43805</v>
      </c>
      <c r="H426" s="14">
        <f t="shared" si="15"/>
        <v>2019</v>
      </c>
      <c r="I426" s="12">
        <v>65337623</v>
      </c>
      <c r="J426" s="10">
        <v>2563</v>
      </c>
      <c r="K426" s="18">
        <v>44470</v>
      </c>
      <c r="L426" s="14">
        <f t="shared" si="14"/>
        <v>2021</v>
      </c>
      <c r="M426" s="12">
        <v>62011392</v>
      </c>
    </row>
    <row r="427" spans="1:13" ht="15.75" customHeight="1" x14ac:dyDescent="0.25">
      <c r="A427" s="9" t="s">
        <v>15</v>
      </c>
      <c r="B427" s="9" t="s">
        <v>33</v>
      </c>
      <c r="C427" s="10" t="s">
        <v>12</v>
      </c>
      <c r="D427" s="9" t="s">
        <v>37</v>
      </c>
      <c r="E427" s="9" t="s">
        <v>72</v>
      </c>
      <c r="F427" s="10">
        <v>225</v>
      </c>
      <c r="G427" s="18">
        <v>44176</v>
      </c>
      <c r="H427" s="14">
        <f t="shared" si="15"/>
        <v>2020</v>
      </c>
      <c r="I427" s="12">
        <v>16544292</v>
      </c>
      <c r="J427" s="10">
        <v>3354</v>
      </c>
      <c r="K427" s="18">
        <v>44551</v>
      </c>
      <c r="L427" s="14">
        <f t="shared" si="14"/>
        <v>2021</v>
      </c>
      <c r="M427" s="12">
        <v>16544292</v>
      </c>
    </row>
    <row r="428" spans="1:13" ht="15.75" customHeight="1" x14ac:dyDescent="0.25">
      <c r="A428" s="9" t="s">
        <v>15</v>
      </c>
      <c r="B428" s="9" t="s">
        <v>33</v>
      </c>
      <c r="C428" s="10" t="s">
        <v>12</v>
      </c>
      <c r="D428" s="9" t="s">
        <v>37</v>
      </c>
      <c r="E428" s="9" t="s">
        <v>72</v>
      </c>
      <c r="F428" s="10">
        <v>226</v>
      </c>
      <c r="G428" s="18">
        <v>44176</v>
      </c>
      <c r="H428" s="14">
        <f t="shared" si="15"/>
        <v>2020</v>
      </c>
      <c r="I428" s="12">
        <v>16303765</v>
      </c>
      <c r="J428" s="10">
        <v>3358</v>
      </c>
      <c r="K428" s="18">
        <v>44551</v>
      </c>
      <c r="L428" s="14">
        <f t="shared" si="14"/>
        <v>2021</v>
      </c>
      <c r="M428" s="12">
        <v>16303765</v>
      </c>
    </row>
    <row r="429" spans="1:13" ht="15.75" customHeight="1" x14ac:dyDescent="0.25">
      <c r="A429" s="9" t="s">
        <v>15</v>
      </c>
      <c r="B429" s="9" t="s">
        <v>33</v>
      </c>
      <c r="C429" s="10" t="s">
        <v>12</v>
      </c>
      <c r="D429" s="9" t="s">
        <v>37</v>
      </c>
      <c r="E429" s="9" t="s">
        <v>72</v>
      </c>
      <c r="F429" s="10">
        <v>227</v>
      </c>
      <c r="G429" s="18">
        <v>44176</v>
      </c>
      <c r="H429" s="14">
        <f t="shared" si="15"/>
        <v>2020</v>
      </c>
      <c r="I429" s="12">
        <v>93665831</v>
      </c>
      <c r="J429" s="10">
        <v>3351</v>
      </c>
      <c r="K429" s="18">
        <v>44551</v>
      </c>
      <c r="L429" s="14">
        <f t="shared" si="14"/>
        <v>2021</v>
      </c>
      <c r="M429" s="12">
        <v>39197619</v>
      </c>
    </row>
    <row r="430" spans="1:13" ht="15.75" customHeight="1" x14ac:dyDescent="0.25">
      <c r="A430" s="9" t="s">
        <v>15</v>
      </c>
      <c r="B430" s="9" t="s">
        <v>33</v>
      </c>
      <c r="C430" s="10" t="s">
        <v>12</v>
      </c>
      <c r="D430" s="9" t="s">
        <v>13</v>
      </c>
      <c r="E430" s="9" t="s">
        <v>72</v>
      </c>
      <c r="F430" s="10">
        <v>86</v>
      </c>
      <c r="G430" s="18">
        <v>44252</v>
      </c>
      <c r="H430" s="14">
        <f t="shared" si="15"/>
        <v>2021</v>
      </c>
      <c r="I430" s="12">
        <v>155528218</v>
      </c>
      <c r="J430" s="10">
        <v>3355</v>
      </c>
      <c r="K430" s="18">
        <v>44551</v>
      </c>
      <c r="L430" s="14">
        <f t="shared" si="14"/>
        <v>2021</v>
      </c>
      <c r="M430" s="12">
        <v>155528218</v>
      </c>
    </row>
    <row r="431" spans="1:13" ht="15.75" customHeight="1" x14ac:dyDescent="0.25">
      <c r="A431" s="9" t="s">
        <v>15</v>
      </c>
      <c r="B431" s="9" t="s">
        <v>33</v>
      </c>
      <c r="C431" s="10" t="s">
        <v>12</v>
      </c>
      <c r="D431" s="9" t="s">
        <v>25</v>
      </c>
      <c r="E431" s="9" t="s">
        <v>72</v>
      </c>
      <c r="F431" s="10">
        <v>123</v>
      </c>
      <c r="G431" s="18">
        <v>44266</v>
      </c>
      <c r="H431" s="14">
        <f t="shared" si="15"/>
        <v>2021</v>
      </c>
      <c r="I431" s="12">
        <v>85939181</v>
      </c>
      <c r="J431" s="10">
        <v>3357</v>
      </c>
      <c r="K431" s="18">
        <v>44551</v>
      </c>
      <c r="L431" s="14">
        <f t="shared" si="14"/>
        <v>2021</v>
      </c>
      <c r="M431" s="12">
        <v>85939181</v>
      </c>
    </row>
    <row r="432" spans="1:13" ht="15.75" customHeight="1" x14ac:dyDescent="0.25">
      <c r="A432" s="9" t="s">
        <v>15</v>
      </c>
      <c r="B432" s="9" t="s">
        <v>33</v>
      </c>
      <c r="C432" s="10" t="s">
        <v>12</v>
      </c>
      <c r="D432" s="9" t="s">
        <v>13</v>
      </c>
      <c r="E432" s="9" t="s">
        <v>72</v>
      </c>
      <c r="F432" s="10">
        <v>650</v>
      </c>
      <c r="G432" s="18">
        <v>44174</v>
      </c>
      <c r="H432" s="14">
        <f t="shared" si="15"/>
        <v>2020</v>
      </c>
      <c r="I432" s="12">
        <v>268305148</v>
      </c>
      <c r="J432" s="10">
        <v>3352</v>
      </c>
      <c r="K432" s="18">
        <v>44551</v>
      </c>
      <c r="L432" s="14">
        <f t="shared" si="14"/>
        <v>2021</v>
      </c>
      <c r="M432" s="12">
        <v>268305148</v>
      </c>
    </row>
    <row r="433" spans="1:13" ht="15.75" customHeight="1" x14ac:dyDescent="0.25">
      <c r="A433" s="9" t="s">
        <v>15</v>
      </c>
      <c r="B433" s="9" t="s">
        <v>33</v>
      </c>
      <c r="C433" s="10" t="s">
        <v>12</v>
      </c>
      <c r="D433" s="9" t="s">
        <v>13</v>
      </c>
      <c r="E433" s="9" t="s">
        <v>72</v>
      </c>
      <c r="F433" s="10">
        <v>4</v>
      </c>
      <c r="G433" s="18">
        <v>44204</v>
      </c>
      <c r="H433" s="14">
        <f t="shared" si="15"/>
        <v>2021</v>
      </c>
      <c r="I433" s="12">
        <v>93160312</v>
      </c>
      <c r="J433" s="10">
        <v>3356</v>
      </c>
      <c r="K433" s="18">
        <v>44551</v>
      </c>
      <c r="L433" s="14">
        <f t="shared" si="14"/>
        <v>2021</v>
      </c>
      <c r="M433" s="12">
        <v>91196540</v>
      </c>
    </row>
    <row r="434" spans="1:13" ht="15.75" customHeight="1" x14ac:dyDescent="0.25">
      <c r="A434" s="9" t="s">
        <v>15</v>
      </c>
      <c r="B434" s="9" t="s">
        <v>33</v>
      </c>
      <c r="C434" s="10" t="s">
        <v>12</v>
      </c>
      <c r="D434" s="9" t="s">
        <v>25</v>
      </c>
      <c r="E434" s="9" t="s">
        <v>72</v>
      </c>
      <c r="F434" s="10">
        <v>125</v>
      </c>
      <c r="G434" s="18">
        <v>44266</v>
      </c>
      <c r="H434" s="14">
        <f t="shared" si="15"/>
        <v>2021</v>
      </c>
      <c r="I434" s="12">
        <v>22080001</v>
      </c>
      <c r="J434" s="10">
        <v>3286</v>
      </c>
      <c r="K434" s="18">
        <v>44546</v>
      </c>
      <c r="L434" s="14">
        <f t="shared" si="14"/>
        <v>2021</v>
      </c>
      <c r="M434" s="12">
        <v>22080001</v>
      </c>
    </row>
    <row r="435" spans="1:13" ht="15.75" customHeight="1" x14ac:dyDescent="0.25">
      <c r="A435" s="9" t="s">
        <v>15</v>
      </c>
      <c r="B435" s="9" t="s">
        <v>33</v>
      </c>
      <c r="C435" s="10" t="s">
        <v>12</v>
      </c>
      <c r="D435" s="9" t="s">
        <v>25</v>
      </c>
      <c r="E435" s="9" t="s">
        <v>72</v>
      </c>
      <c r="F435" s="10">
        <v>341</v>
      </c>
      <c r="G435" s="18">
        <v>44175</v>
      </c>
      <c r="H435" s="14">
        <f t="shared" si="15"/>
        <v>2020</v>
      </c>
      <c r="I435" s="12">
        <v>87238212</v>
      </c>
      <c r="J435" s="10">
        <v>3353</v>
      </c>
      <c r="K435" s="18">
        <v>44551</v>
      </c>
      <c r="L435" s="14">
        <f t="shared" si="14"/>
        <v>2021</v>
      </c>
      <c r="M435" s="12">
        <v>87238212</v>
      </c>
    </row>
    <row r="436" spans="1:13" ht="15.75" customHeight="1" x14ac:dyDescent="0.25">
      <c r="A436" s="9" t="s">
        <v>15</v>
      </c>
      <c r="B436" s="9" t="s">
        <v>33</v>
      </c>
      <c r="C436" s="10" t="s">
        <v>12</v>
      </c>
      <c r="D436" s="9" t="s">
        <v>13</v>
      </c>
      <c r="E436" s="9" t="s">
        <v>69</v>
      </c>
      <c r="F436" s="10">
        <v>210</v>
      </c>
      <c r="G436" s="18">
        <v>44307</v>
      </c>
      <c r="H436" s="14">
        <f t="shared" si="15"/>
        <v>2021</v>
      </c>
      <c r="I436" s="12">
        <v>103596</v>
      </c>
      <c r="J436" s="10">
        <v>2012</v>
      </c>
      <c r="K436" s="18">
        <v>44382</v>
      </c>
      <c r="L436" s="14">
        <f t="shared" si="14"/>
        <v>2021</v>
      </c>
      <c r="M436" s="12">
        <v>103596</v>
      </c>
    </row>
    <row r="437" spans="1:13" ht="15.75" customHeight="1" x14ac:dyDescent="0.25">
      <c r="A437" s="9" t="s">
        <v>10</v>
      </c>
      <c r="B437" s="9" t="s">
        <v>62</v>
      </c>
      <c r="C437" s="10" t="s">
        <v>17</v>
      </c>
      <c r="D437" s="9" t="s">
        <v>13</v>
      </c>
      <c r="E437" s="9" t="s">
        <v>76</v>
      </c>
      <c r="F437" s="10">
        <v>1901</v>
      </c>
      <c r="G437" s="18">
        <v>44371</v>
      </c>
      <c r="H437" s="14">
        <f t="shared" si="15"/>
        <v>2021</v>
      </c>
      <c r="I437" s="12">
        <v>101604</v>
      </c>
      <c r="J437" s="10">
        <v>2958</v>
      </c>
      <c r="K437" s="18">
        <v>44515</v>
      </c>
      <c r="L437" s="14">
        <f t="shared" si="14"/>
        <v>2021</v>
      </c>
      <c r="M437" s="12">
        <v>101604</v>
      </c>
    </row>
    <row r="438" spans="1:13" ht="15.75" customHeight="1" x14ac:dyDescent="0.25">
      <c r="A438" s="9" t="s">
        <v>15</v>
      </c>
      <c r="B438" s="9" t="s">
        <v>62</v>
      </c>
      <c r="C438" s="10" t="s">
        <v>17</v>
      </c>
      <c r="D438" s="9" t="s">
        <v>13</v>
      </c>
      <c r="E438" s="9" t="s">
        <v>47</v>
      </c>
      <c r="F438" s="10">
        <v>140</v>
      </c>
      <c r="G438" s="18">
        <v>43851</v>
      </c>
      <c r="H438" s="14">
        <f t="shared" si="15"/>
        <v>2020</v>
      </c>
      <c r="I438" s="12">
        <f>10.85*50978</f>
        <v>553111.29999999993</v>
      </c>
      <c r="J438" s="10">
        <v>423</v>
      </c>
      <c r="K438" s="18">
        <v>44239</v>
      </c>
      <c r="L438" s="14">
        <f t="shared" si="14"/>
        <v>2021</v>
      </c>
      <c r="M438" s="12">
        <f>11*51131</f>
        <v>562441</v>
      </c>
    </row>
    <row r="439" spans="1:13" ht="15.75" customHeight="1" x14ac:dyDescent="0.25">
      <c r="A439" s="9" t="s">
        <v>15</v>
      </c>
      <c r="B439" s="9" t="s">
        <v>62</v>
      </c>
      <c r="C439" s="10" t="s">
        <v>17</v>
      </c>
      <c r="D439" s="9" t="s">
        <v>13</v>
      </c>
      <c r="E439" s="9" t="s">
        <v>47</v>
      </c>
      <c r="F439" s="10">
        <v>982</v>
      </c>
      <c r="G439" s="18">
        <v>43907</v>
      </c>
      <c r="H439" s="14">
        <f t="shared" si="15"/>
        <v>2020</v>
      </c>
      <c r="I439" s="12">
        <f>10.85*50021</f>
        <v>542727.85</v>
      </c>
      <c r="J439" s="10">
        <v>699</v>
      </c>
      <c r="K439" s="18">
        <v>44267</v>
      </c>
      <c r="L439" s="14">
        <f t="shared" si="14"/>
        <v>2021</v>
      </c>
      <c r="M439" s="12">
        <f>11*51489</f>
        <v>566379</v>
      </c>
    </row>
    <row r="440" spans="1:13" ht="15.75" customHeight="1" x14ac:dyDescent="0.25">
      <c r="A440" s="9" t="s">
        <v>59</v>
      </c>
      <c r="B440" s="9" t="s">
        <v>62</v>
      </c>
      <c r="C440" s="10" t="s">
        <v>17</v>
      </c>
      <c r="D440" s="9" t="s">
        <v>13</v>
      </c>
      <c r="E440" s="9" t="s">
        <v>19</v>
      </c>
      <c r="F440" s="10">
        <v>2102</v>
      </c>
      <c r="G440" s="18">
        <v>44057</v>
      </c>
      <c r="H440" s="14">
        <f t="shared" si="15"/>
        <v>2020</v>
      </c>
      <c r="I440" s="12">
        <v>214687</v>
      </c>
      <c r="J440" s="10">
        <v>567</v>
      </c>
      <c r="K440" s="18">
        <v>44256</v>
      </c>
      <c r="L440" s="14">
        <f t="shared" si="14"/>
        <v>2021</v>
      </c>
      <c r="M440" s="12">
        <v>214687</v>
      </c>
    </row>
    <row r="441" spans="1:13" ht="15.75" customHeight="1" x14ac:dyDescent="0.25">
      <c r="A441" s="9" t="s">
        <v>15</v>
      </c>
      <c r="B441" s="9" t="s">
        <v>62</v>
      </c>
      <c r="C441" s="10" t="s">
        <v>17</v>
      </c>
      <c r="D441" s="9" t="s">
        <v>13</v>
      </c>
      <c r="E441" s="9" t="s">
        <v>23</v>
      </c>
      <c r="F441" s="10">
        <v>2159</v>
      </c>
      <c r="G441" s="18">
        <v>44068</v>
      </c>
      <c r="H441" s="14">
        <f t="shared" si="15"/>
        <v>2020</v>
      </c>
      <c r="I441" s="12">
        <v>3882573</v>
      </c>
      <c r="J441" s="10">
        <v>598</v>
      </c>
      <c r="K441" s="18">
        <v>44258</v>
      </c>
      <c r="L441" s="14">
        <f t="shared" si="14"/>
        <v>2021</v>
      </c>
      <c r="M441" s="12">
        <v>3882573</v>
      </c>
    </row>
    <row r="442" spans="1:13" ht="15.75" customHeight="1" x14ac:dyDescent="0.25">
      <c r="A442" s="9" t="s">
        <v>10</v>
      </c>
      <c r="B442" s="9" t="s">
        <v>62</v>
      </c>
      <c r="C442" s="10" t="s">
        <v>77</v>
      </c>
      <c r="D442" s="9" t="s">
        <v>13</v>
      </c>
      <c r="E442" s="9" t="s">
        <v>19</v>
      </c>
      <c r="F442" s="10">
        <v>2748</v>
      </c>
      <c r="G442" s="18">
        <v>44160</v>
      </c>
      <c r="H442" s="14">
        <f t="shared" si="15"/>
        <v>2020</v>
      </c>
      <c r="I442" s="12">
        <v>163756</v>
      </c>
      <c r="J442" s="10">
        <v>1610</v>
      </c>
      <c r="K442" s="18">
        <v>44351</v>
      </c>
      <c r="L442" s="14">
        <f t="shared" si="14"/>
        <v>2021</v>
      </c>
      <c r="M442" s="12">
        <v>0</v>
      </c>
    </row>
    <row r="443" spans="1:13" ht="15.75" customHeight="1" x14ac:dyDescent="0.25">
      <c r="A443" s="9" t="s">
        <v>57</v>
      </c>
      <c r="B443" s="9" t="s">
        <v>62</v>
      </c>
      <c r="C443" s="10" t="s">
        <v>17</v>
      </c>
      <c r="D443" s="9" t="s">
        <v>13</v>
      </c>
      <c r="E443" s="9" t="s">
        <v>58</v>
      </c>
      <c r="F443" s="10">
        <v>2992</v>
      </c>
      <c r="G443" s="18">
        <v>44182</v>
      </c>
      <c r="H443" s="14">
        <f t="shared" si="15"/>
        <v>2020</v>
      </c>
      <c r="I443" s="12">
        <v>2162538</v>
      </c>
      <c r="J443" s="10">
        <v>648</v>
      </c>
      <c r="K443" s="18">
        <v>44264</v>
      </c>
      <c r="L443" s="14">
        <f t="shared" si="14"/>
        <v>2021</v>
      </c>
      <c r="M443" s="12">
        <v>2162538</v>
      </c>
    </row>
    <row r="444" spans="1:13" ht="15.75" customHeight="1" x14ac:dyDescent="0.25">
      <c r="A444" s="9" t="s">
        <v>59</v>
      </c>
      <c r="B444" s="9" t="s">
        <v>62</v>
      </c>
      <c r="C444" s="10" t="s">
        <v>17</v>
      </c>
      <c r="D444" s="9" t="s">
        <v>13</v>
      </c>
      <c r="E444" s="9" t="s">
        <v>76</v>
      </c>
      <c r="F444" s="10">
        <v>2265</v>
      </c>
      <c r="G444" s="18">
        <v>44435</v>
      </c>
      <c r="H444" s="14">
        <f t="shared" si="15"/>
        <v>2021</v>
      </c>
      <c r="I444" s="12">
        <v>112300</v>
      </c>
      <c r="J444" s="10">
        <v>2959</v>
      </c>
      <c r="K444" s="18">
        <v>44515</v>
      </c>
      <c r="L444" s="14">
        <f t="shared" si="14"/>
        <v>2021</v>
      </c>
      <c r="M444" s="12">
        <v>112300</v>
      </c>
    </row>
    <row r="445" spans="1:13" ht="15.75" customHeight="1" x14ac:dyDescent="0.25">
      <c r="A445" s="9" t="s">
        <v>15</v>
      </c>
      <c r="B445" s="9" t="s">
        <v>29</v>
      </c>
      <c r="C445" s="10" t="s">
        <v>39</v>
      </c>
      <c r="D445" s="9" t="s">
        <v>40</v>
      </c>
      <c r="E445" s="9" t="s">
        <v>36</v>
      </c>
      <c r="F445" s="10">
        <v>692</v>
      </c>
      <c r="G445" s="18">
        <v>42891</v>
      </c>
      <c r="H445" s="14">
        <f t="shared" si="15"/>
        <v>2017</v>
      </c>
      <c r="I445" s="12">
        <v>3894843</v>
      </c>
      <c r="J445" s="10">
        <v>1480</v>
      </c>
      <c r="K445" s="18">
        <v>44341</v>
      </c>
      <c r="L445" s="14">
        <f t="shared" si="14"/>
        <v>2021</v>
      </c>
      <c r="M445" s="12">
        <v>3894843</v>
      </c>
    </row>
    <row r="446" spans="1:13" ht="15.75" customHeight="1" x14ac:dyDescent="0.25">
      <c r="A446" s="9" t="s">
        <v>15</v>
      </c>
      <c r="B446" s="9" t="s">
        <v>29</v>
      </c>
      <c r="C446" s="10" t="s">
        <v>21</v>
      </c>
      <c r="D446" s="9" t="s">
        <v>22</v>
      </c>
      <c r="E446" s="9" t="s">
        <v>14</v>
      </c>
      <c r="F446" s="10">
        <v>2984</v>
      </c>
      <c r="G446" s="18">
        <v>44182</v>
      </c>
      <c r="H446" s="14">
        <f t="shared" si="15"/>
        <v>2020</v>
      </c>
      <c r="I446" s="12">
        <f>1849.05*51029</f>
        <v>94355172.450000003</v>
      </c>
      <c r="J446" s="10">
        <v>3340</v>
      </c>
      <c r="K446" s="18">
        <v>44551</v>
      </c>
      <c r="L446" s="14">
        <f t="shared" si="14"/>
        <v>2021</v>
      </c>
      <c r="M446" s="12">
        <f>1849.05*54171</f>
        <v>100164887.55</v>
      </c>
    </row>
    <row r="447" spans="1:13" ht="15.75" customHeight="1" x14ac:dyDescent="0.25">
      <c r="A447" s="9" t="s">
        <v>15</v>
      </c>
      <c r="B447" s="9" t="s">
        <v>29</v>
      </c>
      <c r="C447" s="10" t="s">
        <v>21</v>
      </c>
      <c r="D447" s="9" t="s">
        <v>38</v>
      </c>
      <c r="E447" s="9" t="s">
        <v>47</v>
      </c>
      <c r="F447" s="10">
        <v>3066</v>
      </c>
      <c r="G447" s="18">
        <v>44187</v>
      </c>
      <c r="H447" s="14">
        <f t="shared" si="15"/>
        <v>2020</v>
      </c>
      <c r="I447" s="12">
        <f>978.95*51029</f>
        <v>49954839.550000004</v>
      </c>
      <c r="J447" s="10">
        <v>968</v>
      </c>
      <c r="K447" s="18">
        <v>44294</v>
      </c>
      <c r="L447" s="14">
        <f t="shared" si="14"/>
        <v>2021</v>
      </c>
      <c r="M447" s="12">
        <v>50505987</v>
      </c>
    </row>
    <row r="448" spans="1:13" ht="15.75" customHeight="1" x14ac:dyDescent="0.25">
      <c r="A448" s="9" t="s">
        <v>15</v>
      </c>
      <c r="B448" s="9" t="s">
        <v>29</v>
      </c>
      <c r="C448" s="10" t="s">
        <v>39</v>
      </c>
      <c r="D448" s="9" t="s">
        <v>40</v>
      </c>
      <c r="E448" s="9" t="s">
        <v>36</v>
      </c>
      <c r="F448" s="10">
        <v>689</v>
      </c>
      <c r="G448" s="18">
        <v>42891</v>
      </c>
      <c r="H448" s="14">
        <f t="shared" si="15"/>
        <v>2017</v>
      </c>
      <c r="I448" s="12">
        <v>8322528</v>
      </c>
      <c r="J448" s="10">
        <v>1519</v>
      </c>
      <c r="K448" s="18">
        <v>44344</v>
      </c>
      <c r="L448" s="14">
        <f t="shared" si="14"/>
        <v>2021</v>
      </c>
      <c r="M448" s="12">
        <v>8015914</v>
      </c>
    </row>
    <row r="449" spans="1:13" ht="15.75" customHeight="1" x14ac:dyDescent="0.25">
      <c r="A449" s="9" t="s">
        <v>10</v>
      </c>
      <c r="B449" s="9" t="s">
        <v>29</v>
      </c>
      <c r="C449" s="10" t="s">
        <v>39</v>
      </c>
      <c r="D449" s="9" t="s">
        <v>40</v>
      </c>
      <c r="E449" s="9" t="s">
        <v>65</v>
      </c>
      <c r="F449" s="10">
        <v>416</v>
      </c>
      <c r="G449" s="18">
        <v>43712</v>
      </c>
      <c r="H449" s="14">
        <f t="shared" si="15"/>
        <v>2019</v>
      </c>
      <c r="I449" s="12">
        <v>1105447</v>
      </c>
      <c r="J449" s="10">
        <v>1837</v>
      </c>
      <c r="K449" s="18">
        <v>44365</v>
      </c>
      <c r="L449" s="14">
        <f t="shared" si="14"/>
        <v>2021</v>
      </c>
      <c r="M449" s="12">
        <v>319352</v>
      </c>
    </row>
    <row r="450" spans="1:13" ht="15.75" customHeight="1" x14ac:dyDescent="0.25">
      <c r="A450" s="9" t="s">
        <v>15</v>
      </c>
      <c r="B450" s="9" t="s">
        <v>29</v>
      </c>
      <c r="C450" s="10" t="s">
        <v>21</v>
      </c>
      <c r="D450" s="9" t="s">
        <v>22</v>
      </c>
      <c r="E450" s="9" t="s">
        <v>19</v>
      </c>
      <c r="F450" s="10">
        <v>3059</v>
      </c>
      <c r="G450" s="18">
        <v>43795</v>
      </c>
      <c r="H450" s="14">
        <f t="shared" si="15"/>
        <v>2019</v>
      </c>
      <c r="I450" s="12">
        <v>48714536</v>
      </c>
      <c r="J450" s="10">
        <v>909</v>
      </c>
      <c r="K450" s="18">
        <v>44286</v>
      </c>
      <c r="L450" s="14">
        <f t="shared" si="14"/>
        <v>2021</v>
      </c>
      <c r="M450" s="12">
        <v>48714536</v>
      </c>
    </row>
    <row r="451" spans="1:13" ht="15.75" customHeight="1" x14ac:dyDescent="0.25">
      <c r="A451" s="9" t="s">
        <v>59</v>
      </c>
      <c r="B451" s="9" t="s">
        <v>29</v>
      </c>
      <c r="C451" s="10" t="s">
        <v>21</v>
      </c>
      <c r="D451" s="9" t="s">
        <v>41</v>
      </c>
      <c r="E451" s="9" t="s">
        <v>19</v>
      </c>
      <c r="F451" s="10">
        <v>3567</v>
      </c>
      <c r="G451" s="18">
        <v>43830</v>
      </c>
      <c r="H451" s="14">
        <f t="shared" si="15"/>
        <v>2019</v>
      </c>
      <c r="I451" s="12">
        <v>3903076</v>
      </c>
      <c r="J451" s="10">
        <v>831</v>
      </c>
      <c r="K451" s="18">
        <v>44284</v>
      </c>
      <c r="L451" s="14">
        <f t="shared" si="14"/>
        <v>2021</v>
      </c>
      <c r="M451" s="12">
        <v>978962</v>
      </c>
    </row>
    <row r="452" spans="1:13" ht="15.75" customHeight="1" x14ac:dyDescent="0.25">
      <c r="A452" s="9" t="s">
        <v>59</v>
      </c>
      <c r="B452" s="9" t="s">
        <v>29</v>
      </c>
      <c r="C452" s="10" t="s">
        <v>21</v>
      </c>
      <c r="D452" s="9" t="s">
        <v>22</v>
      </c>
      <c r="E452" s="9" t="s">
        <v>19</v>
      </c>
      <c r="F452" s="10">
        <v>3560</v>
      </c>
      <c r="G452" s="18">
        <v>43830</v>
      </c>
      <c r="H452" s="14">
        <f t="shared" si="15"/>
        <v>2019</v>
      </c>
      <c r="I452" s="12">
        <v>603203</v>
      </c>
      <c r="J452" s="10">
        <v>833</v>
      </c>
      <c r="K452" s="18">
        <v>44284</v>
      </c>
      <c r="L452" s="14">
        <f t="shared" si="14"/>
        <v>2021</v>
      </c>
      <c r="M452" s="12">
        <v>603203</v>
      </c>
    </row>
    <row r="453" spans="1:13" ht="15.75" customHeight="1" x14ac:dyDescent="0.25">
      <c r="A453" s="9" t="s">
        <v>10</v>
      </c>
      <c r="B453" s="9" t="s">
        <v>29</v>
      </c>
      <c r="C453" s="10" t="s">
        <v>21</v>
      </c>
      <c r="D453" s="9" t="s">
        <v>22</v>
      </c>
      <c r="E453" s="9" t="s">
        <v>19</v>
      </c>
      <c r="F453" s="10">
        <v>3593</v>
      </c>
      <c r="G453" s="18">
        <v>43830</v>
      </c>
      <c r="H453" s="14">
        <f t="shared" si="15"/>
        <v>2019</v>
      </c>
      <c r="I453" s="12">
        <v>239550</v>
      </c>
      <c r="J453" s="10">
        <v>832</v>
      </c>
      <c r="K453" s="18">
        <v>44284</v>
      </c>
      <c r="L453" s="14">
        <f t="shared" si="14"/>
        <v>2021</v>
      </c>
      <c r="M453" s="12">
        <v>239550</v>
      </c>
    </row>
    <row r="454" spans="1:13" ht="15.75" customHeight="1" x14ac:dyDescent="0.25">
      <c r="A454" s="9" t="s">
        <v>57</v>
      </c>
      <c r="B454" s="9" t="s">
        <v>29</v>
      </c>
      <c r="C454" s="10" t="s">
        <v>21</v>
      </c>
      <c r="D454" s="9" t="s">
        <v>38</v>
      </c>
      <c r="E454" s="9" t="s">
        <v>58</v>
      </c>
      <c r="F454" s="10">
        <v>2423</v>
      </c>
      <c r="G454" s="18">
        <v>44106</v>
      </c>
      <c r="H454" s="14">
        <f t="shared" si="15"/>
        <v>2020</v>
      </c>
      <c r="I454" s="12">
        <v>3758129</v>
      </c>
      <c r="J454" s="10">
        <v>569</v>
      </c>
      <c r="K454" s="18">
        <v>44256</v>
      </c>
      <c r="L454" s="14">
        <f t="shared" ref="L454:L511" si="16">YEAR(K454)</f>
        <v>2021</v>
      </c>
      <c r="M454" s="12">
        <v>3758129</v>
      </c>
    </row>
    <row r="455" spans="1:13" ht="15.75" customHeight="1" x14ac:dyDescent="0.25">
      <c r="A455" s="9" t="s">
        <v>57</v>
      </c>
      <c r="B455" s="9" t="s">
        <v>29</v>
      </c>
      <c r="C455" s="10" t="s">
        <v>21</v>
      </c>
      <c r="D455" s="9" t="s">
        <v>38</v>
      </c>
      <c r="E455" s="9" t="s">
        <v>58</v>
      </c>
      <c r="F455" s="10">
        <v>2424</v>
      </c>
      <c r="G455" s="18">
        <v>44106</v>
      </c>
      <c r="H455" s="14">
        <f t="shared" ref="H455:H511" si="17">YEAR(G455)</f>
        <v>2020</v>
      </c>
      <c r="I455" s="12">
        <v>3758129</v>
      </c>
      <c r="J455" s="10">
        <v>851</v>
      </c>
      <c r="K455" s="18">
        <v>44284</v>
      </c>
      <c r="L455" s="14">
        <f t="shared" si="16"/>
        <v>2021</v>
      </c>
      <c r="M455" s="12">
        <v>3758129</v>
      </c>
    </row>
    <row r="456" spans="1:13" ht="15.75" customHeight="1" x14ac:dyDescent="0.25">
      <c r="A456" s="9" t="s">
        <v>57</v>
      </c>
      <c r="B456" s="9" t="s">
        <v>29</v>
      </c>
      <c r="C456" s="10" t="s">
        <v>21</v>
      </c>
      <c r="D456" s="9" t="s">
        <v>38</v>
      </c>
      <c r="E456" s="9" t="s">
        <v>58</v>
      </c>
      <c r="F456" s="10">
        <v>2422</v>
      </c>
      <c r="G456" s="18">
        <v>44106</v>
      </c>
      <c r="H456" s="14">
        <f t="shared" si="17"/>
        <v>2020</v>
      </c>
      <c r="I456" s="12">
        <v>1621903</v>
      </c>
      <c r="J456" s="10">
        <v>735</v>
      </c>
      <c r="K456" s="18">
        <v>44274</v>
      </c>
      <c r="L456" s="14">
        <f t="shared" si="16"/>
        <v>2021</v>
      </c>
      <c r="M456" s="12">
        <v>1621903</v>
      </c>
    </row>
    <row r="457" spans="1:13" ht="15.75" customHeight="1" x14ac:dyDescent="0.25">
      <c r="A457" s="9" t="s">
        <v>57</v>
      </c>
      <c r="B457" s="9" t="s">
        <v>29</v>
      </c>
      <c r="C457" s="10" t="s">
        <v>21</v>
      </c>
      <c r="D457" s="9" t="s">
        <v>41</v>
      </c>
      <c r="E457" s="9" t="s">
        <v>58</v>
      </c>
      <c r="F457" s="10">
        <v>2425</v>
      </c>
      <c r="G457" s="18">
        <v>44106</v>
      </c>
      <c r="H457" s="14">
        <f t="shared" si="17"/>
        <v>2020</v>
      </c>
      <c r="I457" s="12">
        <v>540634</v>
      </c>
      <c r="J457" s="10">
        <v>736</v>
      </c>
      <c r="K457" s="18">
        <v>44274</v>
      </c>
      <c r="L457" s="14">
        <f t="shared" si="16"/>
        <v>2021</v>
      </c>
      <c r="M457" s="12">
        <v>540634</v>
      </c>
    </row>
    <row r="458" spans="1:13" ht="15.75" customHeight="1" x14ac:dyDescent="0.25">
      <c r="A458" s="9" t="s">
        <v>57</v>
      </c>
      <c r="B458" s="9" t="s">
        <v>29</v>
      </c>
      <c r="C458" s="10" t="s">
        <v>21</v>
      </c>
      <c r="D458" s="9" t="s">
        <v>41</v>
      </c>
      <c r="E458" s="9" t="s">
        <v>58</v>
      </c>
      <c r="F458" s="10">
        <v>2427</v>
      </c>
      <c r="G458" s="18">
        <v>44106</v>
      </c>
      <c r="H458" s="14">
        <f t="shared" si="17"/>
        <v>2020</v>
      </c>
      <c r="I458" s="12">
        <v>270317</v>
      </c>
      <c r="J458" s="10">
        <v>738</v>
      </c>
      <c r="K458" s="18">
        <v>44274</v>
      </c>
      <c r="L458" s="14">
        <f t="shared" si="16"/>
        <v>2021</v>
      </c>
      <c r="M458" s="12">
        <v>270317</v>
      </c>
    </row>
    <row r="459" spans="1:13" ht="15.75" customHeight="1" x14ac:dyDescent="0.25">
      <c r="A459" s="9" t="s">
        <v>57</v>
      </c>
      <c r="B459" s="9" t="s">
        <v>29</v>
      </c>
      <c r="C459" s="10" t="s">
        <v>21</v>
      </c>
      <c r="D459" s="9" t="s">
        <v>49</v>
      </c>
      <c r="E459" s="9" t="s">
        <v>58</v>
      </c>
      <c r="F459" s="10">
        <v>2441</v>
      </c>
      <c r="G459" s="18">
        <v>44106</v>
      </c>
      <c r="H459" s="14">
        <f t="shared" si="17"/>
        <v>2020</v>
      </c>
      <c r="I459" s="12">
        <v>2703172</v>
      </c>
      <c r="J459" s="10">
        <v>740</v>
      </c>
      <c r="K459" s="18">
        <v>44274</v>
      </c>
      <c r="L459" s="14">
        <f t="shared" si="16"/>
        <v>2021</v>
      </c>
      <c r="M459" s="12">
        <v>2703172</v>
      </c>
    </row>
    <row r="460" spans="1:13" ht="15.75" customHeight="1" x14ac:dyDescent="0.25">
      <c r="A460" s="9" t="s">
        <v>57</v>
      </c>
      <c r="B460" s="9" t="s">
        <v>29</v>
      </c>
      <c r="C460" s="10" t="s">
        <v>21</v>
      </c>
      <c r="D460" s="9" t="s">
        <v>49</v>
      </c>
      <c r="E460" s="9" t="s">
        <v>58</v>
      </c>
      <c r="F460" s="10">
        <v>2428</v>
      </c>
      <c r="G460" s="18">
        <v>44106</v>
      </c>
      <c r="H460" s="14">
        <f t="shared" si="17"/>
        <v>2020</v>
      </c>
      <c r="I460" s="12">
        <v>270317</v>
      </c>
      <c r="J460" s="10">
        <v>739</v>
      </c>
      <c r="K460" s="18">
        <v>44274</v>
      </c>
      <c r="L460" s="14">
        <f t="shared" si="16"/>
        <v>2021</v>
      </c>
      <c r="M460" s="12">
        <v>270317</v>
      </c>
    </row>
    <row r="461" spans="1:13" ht="15.75" customHeight="1" x14ac:dyDescent="0.25">
      <c r="A461" s="9" t="s">
        <v>15</v>
      </c>
      <c r="B461" s="9" t="s">
        <v>29</v>
      </c>
      <c r="C461" s="10" t="s">
        <v>39</v>
      </c>
      <c r="D461" s="9" t="s">
        <v>40</v>
      </c>
      <c r="E461" s="9" t="s">
        <v>36</v>
      </c>
      <c r="F461" s="10">
        <v>311</v>
      </c>
      <c r="G461" s="18">
        <v>44125</v>
      </c>
      <c r="H461" s="14">
        <f t="shared" si="17"/>
        <v>2020</v>
      </c>
      <c r="I461" s="12">
        <v>1939322</v>
      </c>
      <c r="J461" s="10">
        <v>734</v>
      </c>
      <c r="K461" s="18">
        <v>44274</v>
      </c>
      <c r="L461" s="14">
        <f t="shared" si="16"/>
        <v>2021</v>
      </c>
      <c r="M461" s="12">
        <v>1939322</v>
      </c>
    </row>
    <row r="462" spans="1:13" ht="15.75" customHeight="1" x14ac:dyDescent="0.25">
      <c r="A462" s="9" t="s">
        <v>15</v>
      </c>
      <c r="B462" s="9" t="s">
        <v>29</v>
      </c>
      <c r="C462" s="10" t="s">
        <v>21</v>
      </c>
      <c r="D462" s="9" t="s">
        <v>22</v>
      </c>
      <c r="E462" s="9" t="s">
        <v>23</v>
      </c>
      <c r="F462" s="10">
        <v>2796</v>
      </c>
      <c r="G462" s="18">
        <v>44165</v>
      </c>
      <c r="H462" s="14">
        <f t="shared" si="17"/>
        <v>2020</v>
      </c>
      <c r="I462" s="12">
        <v>15321175</v>
      </c>
      <c r="J462" s="10">
        <v>908</v>
      </c>
      <c r="K462" s="18">
        <v>44286</v>
      </c>
      <c r="L462" s="14">
        <f t="shared" si="16"/>
        <v>2021</v>
      </c>
      <c r="M462" s="12">
        <v>15321175</v>
      </c>
    </row>
    <row r="463" spans="1:13" ht="15.75" customHeight="1" x14ac:dyDescent="0.25">
      <c r="A463" s="9" t="s">
        <v>15</v>
      </c>
      <c r="B463" s="9" t="s">
        <v>29</v>
      </c>
      <c r="C463" s="10" t="s">
        <v>21</v>
      </c>
      <c r="D463" s="9" t="s">
        <v>49</v>
      </c>
      <c r="E463" s="9" t="s">
        <v>23</v>
      </c>
      <c r="F463" s="10">
        <v>2784</v>
      </c>
      <c r="G463" s="18">
        <v>44165</v>
      </c>
      <c r="H463" s="14">
        <f t="shared" si="17"/>
        <v>2020</v>
      </c>
      <c r="I463" s="12">
        <v>561211</v>
      </c>
      <c r="J463" s="10">
        <v>872</v>
      </c>
      <c r="K463" s="18">
        <v>44286</v>
      </c>
      <c r="L463" s="14">
        <f t="shared" si="16"/>
        <v>2021</v>
      </c>
      <c r="M463" s="12">
        <v>561211</v>
      </c>
    </row>
    <row r="464" spans="1:13" ht="15.75" customHeight="1" x14ac:dyDescent="0.25">
      <c r="A464" s="9" t="s">
        <v>15</v>
      </c>
      <c r="B464" s="9" t="s">
        <v>29</v>
      </c>
      <c r="C464" s="10" t="s">
        <v>39</v>
      </c>
      <c r="D464" s="9" t="s">
        <v>40</v>
      </c>
      <c r="E464" s="9" t="s">
        <v>72</v>
      </c>
      <c r="F464" s="10">
        <v>30</v>
      </c>
      <c r="G464" s="18">
        <v>44214</v>
      </c>
      <c r="H464" s="14">
        <f t="shared" si="17"/>
        <v>2021</v>
      </c>
      <c r="I464" s="12">
        <v>27365142</v>
      </c>
      <c r="J464" s="10">
        <v>1330</v>
      </c>
      <c r="K464" s="18">
        <v>44326</v>
      </c>
      <c r="L464" s="14">
        <f t="shared" si="16"/>
        <v>2021</v>
      </c>
      <c r="M464" s="12">
        <v>27365142</v>
      </c>
    </row>
    <row r="465" spans="1:13" ht="15.75" customHeight="1" x14ac:dyDescent="0.25">
      <c r="A465" s="9" t="s">
        <v>15</v>
      </c>
      <c r="B465" s="9" t="s">
        <v>29</v>
      </c>
      <c r="C465" s="10" t="s">
        <v>39</v>
      </c>
      <c r="D465" s="9" t="s">
        <v>40</v>
      </c>
      <c r="E465" s="9" t="s">
        <v>72</v>
      </c>
      <c r="F465" s="10">
        <v>34</v>
      </c>
      <c r="G465" s="18">
        <v>44214</v>
      </c>
      <c r="H465" s="14">
        <f t="shared" si="17"/>
        <v>2021</v>
      </c>
      <c r="I465" s="12">
        <v>3092918</v>
      </c>
      <c r="J465" s="10">
        <v>1331</v>
      </c>
      <c r="K465" s="18">
        <v>44326</v>
      </c>
      <c r="L465" s="14">
        <f t="shared" si="16"/>
        <v>2021</v>
      </c>
      <c r="M465" s="12">
        <v>3092918</v>
      </c>
    </row>
    <row r="466" spans="1:13" ht="15.75" customHeight="1" x14ac:dyDescent="0.25">
      <c r="A466" s="9" t="s">
        <v>15</v>
      </c>
      <c r="B466" s="9" t="s">
        <v>29</v>
      </c>
      <c r="C466" s="10" t="s">
        <v>39</v>
      </c>
      <c r="D466" s="9" t="s">
        <v>40</v>
      </c>
      <c r="E466" s="9" t="s">
        <v>72</v>
      </c>
      <c r="F466" s="10">
        <v>40</v>
      </c>
      <c r="G466" s="18">
        <v>44214</v>
      </c>
      <c r="H466" s="14">
        <f t="shared" si="17"/>
        <v>2021</v>
      </c>
      <c r="I466" s="12">
        <v>193564</v>
      </c>
      <c r="J466" s="10">
        <v>1332</v>
      </c>
      <c r="K466" s="18">
        <v>44326</v>
      </c>
      <c r="L466" s="14">
        <f t="shared" si="16"/>
        <v>2021</v>
      </c>
      <c r="M466" s="12">
        <v>193564</v>
      </c>
    </row>
    <row r="467" spans="1:13" ht="15.75" customHeight="1" x14ac:dyDescent="0.25">
      <c r="A467" s="9" t="s">
        <v>10</v>
      </c>
      <c r="B467" s="9" t="s">
        <v>29</v>
      </c>
      <c r="C467" s="10" t="s">
        <v>39</v>
      </c>
      <c r="D467" s="9" t="s">
        <v>40</v>
      </c>
      <c r="E467" s="9" t="s">
        <v>72</v>
      </c>
      <c r="F467" s="10">
        <v>15</v>
      </c>
      <c r="G467" s="18">
        <v>44214</v>
      </c>
      <c r="H467" s="14">
        <f t="shared" si="17"/>
        <v>2021</v>
      </c>
      <c r="I467" s="12">
        <v>469452</v>
      </c>
      <c r="J467" s="10">
        <v>1323</v>
      </c>
      <c r="K467" s="18">
        <v>44326</v>
      </c>
      <c r="L467" s="14">
        <f t="shared" si="16"/>
        <v>2021</v>
      </c>
      <c r="M467" s="12">
        <v>469452</v>
      </c>
    </row>
    <row r="468" spans="1:13" ht="15.75" customHeight="1" x14ac:dyDescent="0.25">
      <c r="A468" s="9" t="s">
        <v>10</v>
      </c>
      <c r="B468" s="9" t="s">
        <v>29</v>
      </c>
      <c r="C468" s="10" t="s">
        <v>39</v>
      </c>
      <c r="D468" s="9" t="s">
        <v>40</v>
      </c>
      <c r="E468" s="9" t="s">
        <v>72</v>
      </c>
      <c r="F468" s="10">
        <v>18</v>
      </c>
      <c r="G468" s="18">
        <v>44214</v>
      </c>
      <c r="H468" s="14">
        <f t="shared" si="17"/>
        <v>2021</v>
      </c>
      <c r="I468" s="12">
        <v>220194</v>
      </c>
      <c r="J468" s="10">
        <v>1333</v>
      </c>
      <c r="K468" s="18">
        <v>44326</v>
      </c>
      <c r="L468" s="14">
        <f t="shared" si="16"/>
        <v>2021</v>
      </c>
      <c r="M468" s="12">
        <v>220194</v>
      </c>
    </row>
    <row r="469" spans="1:13" ht="15.75" customHeight="1" x14ac:dyDescent="0.25">
      <c r="A469" s="9" t="s">
        <v>10</v>
      </c>
      <c r="B469" s="9" t="s">
        <v>29</v>
      </c>
      <c r="C469" s="10" t="s">
        <v>39</v>
      </c>
      <c r="D469" s="9" t="s">
        <v>40</v>
      </c>
      <c r="E469" s="9" t="s">
        <v>72</v>
      </c>
      <c r="F469" s="10">
        <v>24</v>
      </c>
      <c r="G469" s="18">
        <v>44214</v>
      </c>
      <c r="H469" s="14">
        <f t="shared" si="17"/>
        <v>2021</v>
      </c>
      <c r="I469" s="12">
        <v>2708</v>
      </c>
      <c r="J469" s="10">
        <v>1334</v>
      </c>
      <c r="K469" s="18">
        <v>44326</v>
      </c>
      <c r="L469" s="14">
        <f t="shared" si="16"/>
        <v>2021</v>
      </c>
      <c r="M469" s="12">
        <v>2708</v>
      </c>
    </row>
    <row r="470" spans="1:13" ht="15.75" customHeight="1" x14ac:dyDescent="0.25">
      <c r="A470" s="9" t="s">
        <v>15</v>
      </c>
      <c r="B470" s="9" t="s">
        <v>29</v>
      </c>
      <c r="C470" s="10" t="s">
        <v>21</v>
      </c>
      <c r="D470" s="9" t="s">
        <v>41</v>
      </c>
      <c r="E470" s="9" t="s">
        <v>19</v>
      </c>
      <c r="F470" s="10">
        <v>332</v>
      </c>
      <c r="G470" s="18">
        <v>44231</v>
      </c>
      <c r="H470" s="14">
        <f t="shared" si="17"/>
        <v>2021</v>
      </c>
      <c r="I470" s="12">
        <v>1151959</v>
      </c>
      <c r="J470" s="10">
        <v>748</v>
      </c>
      <c r="K470" s="18">
        <v>44274</v>
      </c>
      <c r="L470" s="14">
        <f t="shared" si="16"/>
        <v>2021</v>
      </c>
      <c r="M470" s="12">
        <v>1151959</v>
      </c>
    </row>
    <row r="471" spans="1:13" ht="15.75" customHeight="1" x14ac:dyDescent="0.25">
      <c r="A471" s="9" t="s">
        <v>15</v>
      </c>
      <c r="B471" s="9" t="s">
        <v>29</v>
      </c>
      <c r="C471" s="10" t="s">
        <v>21</v>
      </c>
      <c r="D471" s="9" t="s">
        <v>49</v>
      </c>
      <c r="E471" s="9" t="s">
        <v>19</v>
      </c>
      <c r="F471" s="10">
        <v>336</v>
      </c>
      <c r="G471" s="18">
        <v>44231</v>
      </c>
      <c r="H471" s="14">
        <f t="shared" si="17"/>
        <v>2021</v>
      </c>
      <c r="I471" s="12">
        <v>49212</v>
      </c>
      <c r="J471" s="10">
        <v>749</v>
      </c>
      <c r="K471" s="18">
        <v>44274</v>
      </c>
      <c r="L471" s="14">
        <f t="shared" si="16"/>
        <v>2021</v>
      </c>
      <c r="M471" s="12">
        <v>49212</v>
      </c>
    </row>
    <row r="472" spans="1:13" ht="15.75" customHeight="1" x14ac:dyDescent="0.25">
      <c r="A472" s="9" t="s">
        <v>10</v>
      </c>
      <c r="B472" s="9" t="s">
        <v>29</v>
      </c>
      <c r="C472" s="10" t="s">
        <v>21</v>
      </c>
      <c r="D472" s="9" t="s">
        <v>38</v>
      </c>
      <c r="E472" s="9" t="s">
        <v>65</v>
      </c>
      <c r="F472" s="10">
        <v>1553</v>
      </c>
      <c r="G472" s="18">
        <v>44347</v>
      </c>
      <c r="H472" s="14">
        <f t="shared" si="17"/>
        <v>2021</v>
      </c>
      <c r="I472" s="12">
        <v>124812</v>
      </c>
      <c r="J472" s="10">
        <v>1838</v>
      </c>
      <c r="K472" s="18">
        <v>44365</v>
      </c>
      <c r="L472" s="14">
        <f t="shared" si="16"/>
        <v>2021</v>
      </c>
      <c r="M472" s="12">
        <v>124812</v>
      </c>
    </row>
    <row r="473" spans="1:13" ht="15.75" customHeight="1" x14ac:dyDescent="0.25">
      <c r="A473" s="9" t="s">
        <v>59</v>
      </c>
      <c r="B473" s="9" t="s">
        <v>29</v>
      </c>
      <c r="C473" s="10" t="s">
        <v>21</v>
      </c>
      <c r="D473" s="9" t="s">
        <v>41</v>
      </c>
      <c r="E473" s="9" t="s">
        <v>65</v>
      </c>
      <c r="F473" s="10">
        <v>1630</v>
      </c>
      <c r="G473" s="18">
        <v>44354</v>
      </c>
      <c r="H473" s="14">
        <f t="shared" si="17"/>
        <v>2021</v>
      </c>
      <c r="I473" s="12">
        <v>137389</v>
      </c>
      <c r="J473" s="10">
        <v>2615</v>
      </c>
      <c r="K473" s="18">
        <v>44477</v>
      </c>
      <c r="L473" s="14">
        <f t="shared" si="16"/>
        <v>2021</v>
      </c>
      <c r="M473" s="12">
        <v>0</v>
      </c>
    </row>
    <row r="474" spans="1:13" ht="15.75" customHeight="1" x14ac:dyDescent="0.25">
      <c r="A474" s="9" t="s">
        <v>59</v>
      </c>
      <c r="B474" s="9" t="s">
        <v>29</v>
      </c>
      <c r="C474" s="10" t="s">
        <v>21</v>
      </c>
      <c r="D474" s="9" t="s">
        <v>22</v>
      </c>
      <c r="E474" s="9" t="s">
        <v>65</v>
      </c>
      <c r="F474" s="10">
        <v>1631</v>
      </c>
      <c r="G474" s="18">
        <v>44354</v>
      </c>
      <c r="H474" s="14">
        <f t="shared" si="17"/>
        <v>2021</v>
      </c>
      <c r="I474" s="12">
        <v>663102</v>
      </c>
      <c r="J474" s="10">
        <v>2950</v>
      </c>
      <c r="K474" s="18">
        <v>44515</v>
      </c>
      <c r="L474" s="14">
        <f t="shared" si="16"/>
        <v>2021</v>
      </c>
      <c r="M474" s="12">
        <v>0</v>
      </c>
    </row>
    <row r="475" spans="1:13" ht="15.75" customHeight="1" x14ac:dyDescent="0.25">
      <c r="A475" s="9" t="s">
        <v>59</v>
      </c>
      <c r="B475" s="9" t="s">
        <v>29</v>
      </c>
      <c r="C475" s="10" t="s">
        <v>21</v>
      </c>
      <c r="D475" s="9" t="s">
        <v>38</v>
      </c>
      <c r="E475" s="9" t="s">
        <v>65</v>
      </c>
      <c r="F475" s="10">
        <v>1632</v>
      </c>
      <c r="G475" s="18">
        <v>44354</v>
      </c>
      <c r="H475" s="14">
        <f t="shared" si="17"/>
        <v>2021</v>
      </c>
      <c r="I475" s="12">
        <v>147958</v>
      </c>
      <c r="J475" s="10">
        <v>2731</v>
      </c>
      <c r="K475" s="18">
        <v>44482</v>
      </c>
      <c r="L475" s="14">
        <f t="shared" si="16"/>
        <v>2021</v>
      </c>
      <c r="M475" s="12">
        <v>147958</v>
      </c>
    </row>
    <row r="476" spans="1:13" ht="15.75" customHeight="1" x14ac:dyDescent="0.25">
      <c r="A476" s="9" t="s">
        <v>59</v>
      </c>
      <c r="B476" s="9" t="s">
        <v>29</v>
      </c>
      <c r="C476" s="10" t="s">
        <v>21</v>
      </c>
      <c r="D476" s="9" t="s">
        <v>49</v>
      </c>
      <c r="E476" s="9" t="s">
        <v>65</v>
      </c>
      <c r="F476" s="10">
        <v>1881</v>
      </c>
      <c r="G476" s="18">
        <v>44371</v>
      </c>
      <c r="H476" s="14">
        <f t="shared" si="17"/>
        <v>2021</v>
      </c>
      <c r="I476" s="12">
        <v>130010</v>
      </c>
      <c r="J476" s="10">
        <v>3338</v>
      </c>
      <c r="K476" s="18">
        <v>44551</v>
      </c>
      <c r="L476" s="14">
        <f t="shared" si="16"/>
        <v>2021</v>
      </c>
      <c r="M476" s="12">
        <v>0</v>
      </c>
    </row>
    <row r="477" spans="1:13" ht="15.75" customHeight="1" x14ac:dyDescent="0.25">
      <c r="A477" s="9" t="s">
        <v>59</v>
      </c>
      <c r="B477" s="9" t="s">
        <v>29</v>
      </c>
      <c r="C477" s="10" t="s">
        <v>21</v>
      </c>
      <c r="D477" s="9" t="s">
        <v>41</v>
      </c>
      <c r="E477" s="9" t="s">
        <v>65</v>
      </c>
      <c r="F477" s="10">
        <v>1879</v>
      </c>
      <c r="G477" s="18">
        <v>44371</v>
      </c>
      <c r="H477" s="14">
        <f t="shared" si="17"/>
        <v>2021</v>
      </c>
      <c r="I477" s="12">
        <v>130010</v>
      </c>
      <c r="J477" s="10">
        <v>3339</v>
      </c>
      <c r="K477" s="18">
        <v>44551</v>
      </c>
      <c r="L477" s="14">
        <f t="shared" si="16"/>
        <v>2021</v>
      </c>
      <c r="M477" s="12">
        <v>0</v>
      </c>
    </row>
    <row r="478" spans="1:13" ht="15.75" customHeight="1" x14ac:dyDescent="0.25">
      <c r="A478" s="9" t="s">
        <v>10</v>
      </c>
      <c r="B478" s="9" t="s">
        <v>29</v>
      </c>
      <c r="C478" s="10" t="s">
        <v>21</v>
      </c>
      <c r="D478" s="9" t="s">
        <v>22</v>
      </c>
      <c r="E478" s="9" t="s">
        <v>65</v>
      </c>
      <c r="F478" s="10">
        <v>1878</v>
      </c>
      <c r="G478" s="18">
        <v>44371</v>
      </c>
      <c r="H478" s="14">
        <f t="shared" si="17"/>
        <v>2021</v>
      </c>
      <c r="I478" s="12">
        <f>2.4*52005</f>
        <v>124812</v>
      </c>
      <c r="J478" s="10">
        <v>2759</v>
      </c>
      <c r="K478" s="18">
        <v>44488</v>
      </c>
      <c r="L478" s="14">
        <f t="shared" si="16"/>
        <v>2021</v>
      </c>
      <c r="M478" s="12">
        <v>0</v>
      </c>
    </row>
    <row r="479" spans="1:13" ht="15.75" customHeight="1" x14ac:dyDescent="0.25">
      <c r="A479" s="9" t="s">
        <v>10</v>
      </c>
      <c r="B479" s="9" t="s">
        <v>29</v>
      </c>
      <c r="C479" s="10" t="s">
        <v>21</v>
      </c>
      <c r="D479" s="9" t="s">
        <v>41</v>
      </c>
      <c r="E479" s="9" t="s">
        <v>65</v>
      </c>
      <c r="F479" s="10">
        <v>1877</v>
      </c>
      <c r="G479" s="18">
        <v>44371</v>
      </c>
      <c r="H479" s="14">
        <f t="shared" si="17"/>
        <v>2021</v>
      </c>
      <c r="I479" s="12">
        <f>4.8*52005</f>
        <v>249624</v>
      </c>
      <c r="J479" s="10">
        <v>2758</v>
      </c>
      <c r="K479" s="18">
        <v>44488</v>
      </c>
      <c r="L479" s="14">
        <f t="shared" si="16"/>
        <v>2021</v>
      </c>
      <c r="M479" s="12">
        <v>0</v>
      </c>
    </row>
    <row r="480" spans="1:13" ht="15.75" customHeight="1" x14ac:dyDescent="0.25">
      <c r="A480" s="9" t="s">
        <v>59</v>
      </c>
      <c r="B480" s="9" t="s">
        <v>29</v>
      </c>
      <c r="C480" s="10" t="s">
        <v>56</v>
      </c>
      <c r="D480" s="9" t="s">
        <v>13</v>
      </c>
      <c r="E480" s="9" t="s">
        <v>65</v>
      </c>
      <c r="F480" s="10">
        <v>1876</v>
      </c>
      <c r="G480" s="18">
        <v>44371</v>
      </c>
      <c r="H480" s="14">
        <f t="shared" si="17"/>
        <v>2021</v>
      </c>
      <c r="I480" s="12">
        <v>188947</v>
      </c>
      <c r="J480" s="10">
        <v>3214</v>
      </c>
      <c r="K480" s="18">
        <v>44540</v>
      </c>
      <c r="L480" s="14">
        <f t="shared" si="16"/>
        <v>2021</v>
      </c>
      <c r="M480" s="12">
        <v>0</v>
      </c>
    </row>
    <row r="481" spans="1:13" ht="15.75" customHeight="1" x14ac:dyDescent="0.25">
      <c r="A481" s="9" t="s">
        <v>15</v>
      </c>
      <c r="B481" s="9" t="s">
        <v>29</v>
      </c>
      <c r="C481" s="10" t="s">
        <v>21</v>
      </c>
      <c r="D481" s="9" t="s">
        <v>22</v>
      </c>
      <c r="E481" s="9" t="s">
        <v>14</v>
      </c>
      <c r="F481" s="10">
        <v>3195</v>
      </c>
      <c r="G481" s="18">
        <v>44195</v>
      </c>
      <c r="H481" s="14">
        <f t="shared" si="17"/>
        <v>2020</v>
      </c>
      <c r="I481" s="12">
        <f>42.35*51029</f>
        <v>2161078.15</v>
      </c>
      <c r="J481" s="10">
        <v>2837</v>
      </c>
      <c r="K481" s="18">
        <v>44528</v>
      </c>
      <c r="L481" s="14">
        <f t="shared" si="16"/>
        <v>2021</v>
      </c>
      <c r="M481" s="12">
        <f>42.35*53476</f>
        <v>2264708.6</v>
      </c>
    </row>
    <row r="482" spans="1:13" ht="15.75" customHeight="1" x14ac:dyDescent="0.25">
      <c r="A482" s="9" t="s">
        <v>15</v>
      </c>
      <c r="B482" s="9" t="s">
        <v>29</v>
      </c>
      <c r="C482" s="10" t="s">
        <v>21</v>
      </c>
      <c r="D482" s="9" t="s">
        <v>22</v>
      </c>
      <c r="E482" s="9" t="s">
        <v>14</v>
      </c>
      <c r="F482" s="10">
        <v>3201</v>
      </c>
      <c r="G482" s="18">
        <v>44195</v>
      </c>
      <c r="H482" s="14">
        <f t="shared" si="17"/>
        <v>2020</v>
      </c>
      <c r="I482" s="12">
        <f>21*51029</f>
        <v>1071609</v>
      </c>
      <c r="J482" s="10">
        <v>2838</v>
      </c>
      <c r="K482" s="18">
        <v>44497</v>
      </c>
      <c r="L482" s="14">
        <f t="shared" si="16"/>
        <v>2021</v>
      </c>
      <c r="M482" s="12">
        <f>21*52642</f>
        <v>1105482</v>
      </c>
    </row>
    <row r="483" spans="1:13" ht="15.75" customHeight="1" x14ac:dyDescent="0.25">
      <c r="A483" s="9" t="s">
        <v>15</v>
      </c>
      <c r="B483" s="9" t="s">
        <v>29</v>
      </c>
      <c r="C483" s="10" t="s">
        <v>21</v>
      </c>
      <c r="D483" s="9" t="s">
        <v>22</v>
      </c>
      <c r="E483" s="9" t="s">
        <v>14</v>
      </c>
      <c r="F483" s="10">
        <v>3224</v>
      </c>
      <c r="G483" s="18">
        <v>44195</v>
      </c>
      <c r="H483" s="14">
        <f t="shared" si="17"/>
        <v>2020</v>
      </c>
      <c r="I483" s="12">
        <f>57.75*51029</f>
        <v>2946924.75</v>
      </c>
      <c r="J483" s="10">
        <v>2732</v>
      </c>
      <c r="K483" s="18">
        <v>44482</v>
      </c>
      <c r="L483" s="14">
        <f t="shared" si="16"/>
        <v>2021</v>
      </c>
      <c r="M483" s="12">
        <v>3278625</v>
      </c>
    </row>
    <row r="484" spans="1:13" ht="15.75" customHeight="1" x14ac:dyDescent="0.25">
      <c r="A484" s="9" t="s">
        <v>15</v>
      </c>
      <c r="B484" s="9" t="s">
        <v>29</v>
      </c>
      <c r="C484" s="10" t="s">
        <v>21</v>
      </c>
      <c r="D484" s="9" t="s">
        <v>41</v>
      </c>
      <c r="E484" s="9" t="s">
        <v>14</v>
      </c>
      <c r="F484" s="10">
        <v>3202</v>
      </c>
      <c r="G484" s="18">
        <v>44195</v>
      </c>
      <c r="H484" s="14">
        <f t="shared" si="17"/>
        <v>2020</v>
      </c>
      <c r="I484" s="12">
        <f>26.6*51029</f>
        <v>1357371.4000000001</v>
      </c>
      <c r="J484" s="10">
        <v>2616</v>
      </c>
      <c r="K484" s="18">
        <v>44477</v>
      </c>
      <c r="L484" s="14">
        <f t="shared" si="16"/>
        <v>2021</v>
      </c>
      <c r="M484" s="12">
        <f>26.6*52642</f>
        <v>1400277.2000000002</v>
      </c>
    </row>
    <row r="485" spans="1:13" ht="15.75" customHeight="1" x14ac:dyDescent="0.25">
      <c r="A485" s="9" t="s">
        <v>15</v>
      </c>
      <c r="B485" s="9" t="s">
        <v>29</v>
      </c>
      <c r="C485" s="10" t="s">
        <v>21</v>
      </c>
      <c r="D485" s="9" t="s">
        <v>38</v>
      </c>
      <c r="E485" s="9" t="s">
        <v>14</v>
      </c>
      <c r="F485" s="10">
        <v>3225</v>
      </c>
      <c r="G485" s="18">
        <v>44195</v>
      </c>
      <c r="H485" s="14">
        <f t="shared" si="17"/>
        <v>2020</v>
      </c>
      <c r="I485" s="12">
        <f>48.3*51029</f>
        <v>2464700.6999999997</v>
      </c>
      <c r="J485" s="10">
        <v>2264</v>
      </c>
      <c r="K485" s="18">
        <v>44435</v>
      </c>
      <c r="L485" s="14">
        <f t="shared" si="16"/>
        <v>2021</v>
      </c>
      <c r="M485" s="12">
        <f>48.3*52213</f>
        <v>2521887.9</v>
      </c>
    </row>
    <row r="486" spans="1:13" ht="15.75" customHeight="1" x14ac:dyDescent="0.25">
      <c r="A486" s="9" t="s">
        <v>15</v>
      </c>
      <c r="B486" s="9" t="s">
        <v>29</v>
      </c>
      <c r="C486" s="10" t="s">
        <v>39</v>
      </c>
      <c r="D486" s="9" t="s">
        <v>40</v>
      </c>
      <c r="E486" s="9" t="s">
        <v>74</v>
      </c>
      <c r="F486" s="10">
        <v>308</v>
      </c>
      <c r="G486" s="18">
        <v>44432</v>
      </c>
      <c r="H486" s="14">
        <f t="shared" si="17"/>
        <v>2021</v>
      </c>
      <c r="I486" s="12">
        <v>715318</v>
      </c>
      <c r="J486" s="10">
        <v>2737</v>
      </c>
      <c r="K486" s="18">
        <v>44483</v>
      </c>
      <c r="L486" s="14">
        <f t="shared" si="16"/>
        <v>2021</v>
      </c>
      <c r="M486" s="12">
        <v>715318</v>
      </c>
    </row>
    <row r="487" spans="1:13" ht="15.75" customHeight="1" x14ac:dyDescent="0.25">
      <c r="A487" s="9" t="s">
        <v>10</v>
      </c>
      <c r="B487" s="9" t="s">
        <v>80</v>
      </c>
      <c r="C487" s="10" t="s">
        <v>79</v>
      </c>
      <c r="D487" s="9" t="s">
        <v>25</v>
      </c>
      <c r="E487" s="9" t="s">
        <v>65</v>
      </c>
      <c r="F487" s="10">
        <v>1918</v>
      </c>
      <c r="G487" s="18">
        <v>44371</v>
      </c>
      <c r="H487" s="14">
        <f t="shared" si="17"/>
        <v>2021</v>
      </c>
      <c r="I487" s="12">
        <v>290118</v>
      </c>
      <c r="J487" s="10">
        <v>3235</v>
      </c>
      <c r="K487" s="18">
        <v>44540</v>
      </c>
      <c r="L487" s="14">
        <f t="shared" si="16"/>
        <v>2021</v>
      </c>
      <c r="M487" s="12">
        <v>290118</v>
      </c>
    </row>
    <row r="488" spans="1:13" ht="15.75" customHeight="1" x14ac:dyDescent="0.25">
      <c r="A488" s="9" t="s">
        <v>59</v>
      </c>
      <c r="B488" s="9" t="s">
        <v>80</v>
      </c>
      <c r="C488" s="10" t="s">
        <v>79</v>
      </c>
      <c r="D488" s="9" t="s">
        <v>40</v>
      </c>
      <c r="E488" s="9" t="s">
        <v>65</v>
      </c>
      <c r="F488" s="10">
        <v>1916</v>
      </c>
      <c r="G488" s="18">
        <v>44371</v>
      </c>
      <c r="H488" s="14">
        <f t="shared" si="17"/>
        <v>2021</v>
      </c>
      <c r="I488" s="12">
        <v>554179</v>
      </c>
      <c r="J488" s="10">
        <v>3236</v>
      </c>
      <c r="K488" s="18">
        <v>44540</v>
      </c>
      <c r="L488" s="14">
        <f t="shared" si="16"/>
        <v>2021</v>
      </c>
      <c r="M488" s="12">
        <v>554179</v>
      </c>
    </row>
    <row r="489" spans="1:13" ht="15.75" customHeight="1" x14ac:dyDescent="0.25">
      <c r="A489" s="9" t="s">
        <v>59</v>
      </c>
      <c r="B489" s="9" t="s">
        <v>80</v>
      </c>
      <c r="C489" s="10" t="s">
        <v>79</v>
      </c>
      <c r="D489" s="9" t="s">
        <v>25</v>
      </c>
      <c r="E489" s="9" t="s">
        <v>65</v>
      </c>
      <c r="F489" s="10">
        <v>1915</v>
      </c>
      <c r="G489" s="18">
        <v>44371</v>
      </c>
      <c r="H489" s="14">
        <f t="shared" si="17"/>
        <v>2021</v>
      </c>
      <c r="I489" s="12">
        <v>426184</v>
      </c>
      <c r="J489" s="10">
        <v>3237</v>
      </c>
      <c r="K489" s="18">
        <v>44540</v>
      </c>
      <c r="L489" s="14">
        <f t="shared" si="16"/>
        <v>2021</v>
      </c>
      <c r="M489" s="12">
        <v>426184</v>
      </c>
    </row>
    <row r="490" spans="1:13" ht="15.75" customHeight="1" x14ac:dyDescent="0.25">
      <c r="A490" s="9" t="s">
        <v>15</v>
      </c>
      <c r="B490" s="9" t="s">
        <v>50</v>
      </c>
      <c r="C490" s="10" t="s">
        <v>21</v>
      </c>
      <c r="D490" s="9" t="s">
        <v>13</v>
      </c>
      <c r="E490" s="9" t="s">
        <v>47</v>
      </c>
      <c r="F490" s="10">
        <v>3031</v>
      </c>
      <c r="G490" s="18">
        <v>44183</v>
      </c>
      <c r="H490" s="14">
        <f t="shared" si="17"/>
        <v>2020</v>
      </c>
      <c r="I490" s="12">
        <f>304.5*51029</f>
        <v>15538330.5</v>
      </c>
      <c r="J490" s="10">
        <v>967</v>
      </c>
      <c r="K490" s="18">
        <v>44294</v>
      </c>
      <c r="L490" s="14">
        <f t="shared" si="16"/>
        <v>2021</v>
      </c>
      <c r="M490" s="12">
        <v>15709762</v>
      </c>
    </row>
    <row r="491" spans="1:13" ht="15.75" customHeight="1" x14ac:dyDescent="0.25">
      <c r="A491" s="9" t="s">
        <v>15</v>
      </c>
      <c r="B491" s="9" t="s">
        <v>50</v>
      </c>
      <c r="C491" s="10" t="s">
        <v>21</v>
      </c>
      <c r="D491" s="9" t="s">
        <v>13</v>
      </c>
      <c r="E491" s="9" t="s">
        <v>47</v>
      </c>
      <c r="F491" s="10">
        <v>3032</v>
      </c>
      <c r="G491" s="18">
        <v>44183</v>
      </c>
      <c r="H491" s="14">
        <f t="shared" si="17"/>
        <v>2020</v>
      </c>
      <c r="I491" s="12">
        <f>21*51029</f>
        <v>1071609</v>
      </c>
      <c r="J491" s="10">
        <v>961</v>
      </c>
      <c r="K491" s="18">
        <v>44294</v>
      </c>
      <c r="L491" s="14">
        <f t="shared" si="16"/>
        <v>2021</v>
      </c>
      <c r="M491" s="12">
        <v>1083432</v>
      </c>
    </row>
    <row r="492" spans="1:13" ht="15.75" customHeight="1" x14ac:dyDescent="0.25">
      <c r="A492" s="9" t="s">
        <v>15</v>
      </c>
      <c r="B492" s="9" t="s">
        <v>50</v>
      </c>
      <c r="C492" s="10" t="s">
        <v>21</v>
      </c>
      <c r="D492" s="9" t="s">
        <v>13</v>
      </c>
      <c r="E492" s="9" t="s">
        <v>47</v>
      </c>
      <c r="F492" s="10">
        <v>3029</v>
      </c>
      <c r="G492" s="18">
        <v>44183</v>
      </c>
      <c r="H492" s="14">
        <f t="shared" si="17"/>
        <v>2020</v>
      </c>
      <c r="I492" s="12">
        <f>10.5*51029</f>
        <v>535804.5</v>
      </c>
      <c r="J492" s="10">
        <v>972</v>
      </c>
      <c r="K492" s="18">
        <v>44294</v>
      </c>
      <c r="L492" s="14">
        <f t="shared" si="16"/>
        <v>2021</v>
      </c>
      <c r="M492" s="12">
        <v>541716</v>
      </c>
    </row>
    <row r="493" spans="1:13" ht="15.75" customHeight="1" x14ac:dyDescent="0.25">
      <c r="A493" s="9" t="s">
        <v>15</v>
      </c>
      <c r="B493" s="9" t="s">
        <v>50</v>
      </c>
      <c r="C493" s="10" t="s">
        <v>21</v>
      </c>
      <c r="D493" s="9" t="s">
        <v>13</v>
      </c>
      <c r="E493" s="9" t="s">
        <v>47</v>
      </c>
      <c r="F493" s="10">
        <v>125</v>
      </c>
      <c r="G493" s="18">
        <v>44210</v>
      </c>
      <c r="H493" s="14">
        <f t="shared" si="17"/>
        <v>2021</v>
      </c>
      <c r="I493" s="12">
        <f>42.35*50978</f>
        <v>2158918.3000000003</v>
      </c>
      <c r="J493" s="10">
        <v>894</v>
      </c>
      <c r="K493" s="18">
        <v>44286</v>
      </c>
      <c r="L493" s="14">
        <f t="shared" si="16"/>
        <v>2021</v>
      </c>
      <c r="M493" s="12">
        <v>2180559</v>
      </c>
    </row>
    <row r="494" spans="1:13" ht="15.75" customHeight="1" x14ac:dyDescent="0.25">
      <c r="A494" s="9" t="s">
        <v>15</v>
      </c>
      <c r="B494" s="9" t="s">
        <v>50</v>
      </c>
      <c r="C494" s="10" t="s">
        <v>21</v>
      </c>
      <c r="D494" s="9" t="s">
        <v>13</v>
      </c>
      <c r="E494" s="9" t="s">
        <v>14</v>
      </c>
      <c r="F494" s="10">
        <v>3190</v>
      </c>
      <c r="G494" s="18">
        <v>44195</v>
      </c>
      <c r="H494" s="14">
        <f t="shared" si="17"/>
        <v>2020</v>
      </c>
      <c r="I494" s="12">
        <f>31.85*51029</f>
        <v>1625273.6500000001</v>
      </c>
      <c r="J494" s="10">
        <v>1438</v>
      </c>
      <c r="K494" s="18">
        <v>44335</v>
      </c>
      <c r="L494" s="14">
        <f t="shared" si="16"/>
        <v>2021</v>
      </c>
      <c r="M494" s="12">
        <f>31.85*51798</f>
        <v>1649766.3</v>
      </c>
    </row>
    <row r="495" spans="1:13" ht="15.75" customHeight="1" x14ac:dyDescent="0.25">
      <c r="A495" s="9" t="s">
        <v>15</v>
      </c>
      <c r="B495" s="9" t="s">
        <v>50</v>
      </c>
      <c r="C495" s="10" t="s">
        <v>21</v>
      </c>
      <c r="D495" s="9" t="s">
        <v>13</v>
      </c>
      <c r="E495" s="9" t="s">
        <v>14</v>
      </c>
      <c r="F495" s="10">
        <v>3197</v>
      </c>
      <c r="G495" s="18">
        <v>44195</v>
      </c>
      <c r="H495" s="14">
        <f t="shared" si="17"/>
        <v>2020</v>
      </c>
      <c r="I495" s="12">
        <f>15.75*51029</f>
        <v>803706.75</v>
      </c>
      <c r="J495" s="10">
        <v>897</v>
      </c>
      <c r="K495" s="18">
        <v>44286</v>
      </c>
      <c r="L495" s="14">
        <f t="shared" si="16"/>
        <v>2021</v>
      </c>
      <c r="M495" s="12">
        <v>810952</v>
      </c>
    </row>
    <row r="496" spans="1:13" ht="15.75" customHeight="1" x14ac:dyDescent="0.25">
      <c r="A496" s="9" t="s">
        <v>15</v>
      </c>
      <c r="B496" s="9" t="s">
        <v>50</v>
      </c>
      <c r="C496" s="10" t="s">
        <v>21</v>
      </c>
      <c r="D496" s="9" t="s">
        <v>13</v>
      </c>
      <c r="E496" s="9" t="s">
        <v>14</v>
      </c>
      <c r="F496" s="10">
        <v>3028</v>
      </c>
      <c r="G496" s="18">
        <v>44183</v>
      </c>
      <c r="H496" s="14">
        <f t="shared" si="17"/>
        <v>2020</v>
      </c>
      <c r="I496" s="12">
        <f>42.35*51029</f>
        <v>2161078.15</v>
      </c>
      <c r="J496" s="10">
        <v>896</v>
      </c>
      <c r="K496" s="18">
        <v>44286</v>
      </c>
      <c r="L496" s="14">
        <f t="shared" si="16"/>
        <v>2021</v>
      </c>
      <c r="M496" s="12">
        <v>2180559</v>
      </c>
    </row>
    <row r="497" spans="1:13" ht="15.75" customHeight="1" x14ac:dyDescent="0.25">
      <c r="A497" s="9" t="s">
        <v>15</v>
      </c>
      <c r="B497" s="9" t="s">
        <v>50</v>
      </c>
      <c r="C497" s="10" t="s">
        <v>21</v>
      </c>
      <c r="D497" s="9" t="s">
        <v>13</v>
      </c>
      <c r="E497" s="9" t="s">
        <v>14</v>
      </c>
      <c r="F497" s="10">
        <v>247</v>
      </c>
      <c r="G497" s="18">
        <v>44215</v>
      </c>
      <c r="H497" s="14">
        <f t="shared" si="17"/>
        <v>2021</v>
      </c>
      <c r="I497" s="12">
        <f>168.7*50978</f>
        <v>8599988.5999999996</v>
      </c>
      <c r="J497" s="10">
        <v>1440</v>
      </c>
      <c r="K497" s="18">
        <v>44335</v>
      </c>
      <c r="L497" s="14">
        <f t="shared" si="16"/>
        <v>2021</v>
      </c>
      <c r="M497" s="12">
        <v>8738323</v>
      </c>
    </row>
    <row r="498" spans="1:13" ht="15.75" customHeight="1" x14ac:dyDescent="0.25">
      <c r="A498" s="9" t="s">
        <v>15</v>
      </c>
      <c r="B498" s="9" t="s">
        <v>50</v>
      </c>
      <c r="C498" s="10" t="s">
        <v>21</v>
      </c>
      <c r="D498" s="9" t="s">
        <v>13</v>
      </c>
      <c r="E498" s="9" t="s">
        <v>14</v>
      </c>
      <c r="F498" s="10">
        <v>248</v>
      </c>
      <c r="G498" s="18">
        <v>44215</v>
      </c>
      <c r="H498" s="14">
        <f t="shared" si="17"/>
        <v>2021</v>
      </c>
      <c r="I498" s="12">
        <f>37.1*50978</f>
        <v>1891283.8</v>
      </c>
      <c r="J498" s="10">
        <v>1441</v>
      </c>
      <c r="K498" s="18">
        <v>44335</v>
      </c>
      <c r="L498" s="14">
        <f t="shared" si="16"/>
        <v>2021</v>
      </c>
      <c r="M498" s="12">
        <v>1921706</v>
      </c>
    </row>
    <row r="499" spans="1:13" ht="15.75" customHeight="1" x14ac:dyDescent="0.25">
      <c r="A499" s="9" t="s">
        <v>15</v>
      </c>
      <c r="B499" s="9" t="s">
        <v>50</v>
      </c>
      <c r="C499" s="10" t="s">
        <v>21</v>
      </c>
      <c r="D499" s="9" t="s">
        <v>13</v>
      </c>
      <c r="E499" s="9" t="s">
        <v>14</v>
      </c>
      <c r="F499" s="10">
        <v>26</v>
      </c>
      <c r="G499" s="18">
        <v>44207</v>
      </c>
      <c r="H499" s="14">
        <f t="shared" si="17"/>
        <v>2021</v>
      </c>
      <c r="I499" s="12">
        <f>21*50978</f>
        <v>1070538</v>
      </c>
      <c r="J499" s="10">
        <v>895</v>
      </c>
      <c r="K499" s="18">
        <v>44286</v>
      </c>
      <c r="L499" s="14">
        <f t="shared" si="16"/>
        <v>2021</v>
      </c>
      <c r="M499" s="12">
        <v>1081269</v>
      </c>
    </row>
    <row r="500" spans="1:13" ht="15.75" customHeight="1" x14ac:dyDescent="0.25">
      <c r="A500" s="9" t="s">
        <v>15</v>
      </c>
      <c r="B500" s="9" t="s">
        <v>50</v>
      </c>
      <c r="C500" s="10" t="s">
        <v>21</v>
      </c>
      <c r="D500" s="9" t="s">
        <v>13</v>
      </c>
      <c r="E500" s="9" t="s">
        <v>14</v>
      </c>
      <c r="F500" s="10">
        <v>27</v>
      </c>
      <c r="G500" s="18">
        <v>44207</v>
      </c>
      <c r="H500" s="14">
        <f t="shared" si="17"/>
        <v>2021</v>
      </c>
      <c r="I500" s="12">
        <f>21*50978</f>
        <v>1070538</v>
      </c>
      <c r="J500" s="10">
        <v>1439</v>
      </c>
      <c r="K500" s="18">
        <v>44335</v>
      </c>
      <c r="L500" s="14">
        <f t="shared" si="16"/>
        <v>2021</v>
      </c>
      <c r="M500" s="12">
        <v>1087758</v>
      </c>
    </row>
    <row r="501" spans="1:13" ht="15.75" customHeight="1" x14ac:dyDescent="0.25">
      <c r="A501" s="9" t="s">
        <v>10</v>
      </c>
      <c r="B501" s="9" t="s">
        <v>50</v>
      </c>
      <c r="C501" s="10" t="s">
        <v>21</v>
      </c>
      <c r="D501" s="9" t="s">
        <v>13</v>
      </c>
      <c r="E501" s="9" t="s">
        <v>65</v>
      </c>
      <c r="F501" s="10">
        <v>1556</v>
      </c>
      <c r="G501" s="18">
        <v>44347</v>
      </c>
      <c r="H501" s="14">
        <f t="shared" si="17"/>
        <v>2021</v>
      </c>
      <c r="I501" s="12">
        <v>1040100</v>
      </c>
      <c r="J501" s="10">
        <v>1843</v>
      </c>
      <c r="K501" s="18">
        <v>44365</v>
      </c>
      <c r="L501" s="14">
        <f t="shared" si="16"/>
        <v>2021</v>
      </c>
      <c r="M501" s="12">
        <v>1040100</v>
      </c>
    </row>
    <row r="502" spans="1:13" ht="15.75" customHeight="1" x14ac:dyDescent="0.25">
      <c r="A502" s="9" t="s">
        <v>10</v>
      </c>
      <c r="B502" s="9" t="s">
        <v>50</v>
      </c>
      <c r="C502" s="10" t="s">
        <v>21</v>
      </c>
      <c r="D502" s="9" t="s">
        <v>13</v>
      </c>
      <c r="E502" s="9" t="s">
        <v>65</v>
      </c>
      <c r="F502" s="10">
        <v>1557</v>
      </c>
      <c r="G502" s="18">
        <v>44347</v>
      </c>
      <c r="H502" s="14">
        <f t="shared" si="17"/>
        <v>2021</v>
      </c>
      <c r="I502" s="12">
        <v>374436</v>
      </c>
      <c r="J502" s="10">
        <v>1842</v>
      </c>
      <c r="K502" s="18">
        <v>44365</v>
      </c>
      <c r="L502" s="14">
        <f t="shared" si="16"/>
        <v>2021</v>
      </c>
      <c r="M502" s="12">
        <v>374436</v>
      </c>
    </row>
    <row r="503" spans="1:13" ht="15.75" customHeight="1" x14ac:dyDescent="0.25">
      <c r="A503" s="9" t="s">
        <v>10</v>
      </c>
      <c r="B503" s="9" t="s">
        <v>50</v>
      </c>
      <c r="C503" s="10" t="s">
        <v>21</v>
      </c>
      <c r="D503" s="9" t="s">
        <v>13</v>
      </c>
      <c r="E503" s="9" t="s">
        <v>76</v>
      </c>
      <c r="F503" s="10">
        <v>1865</v>
      </c>
      <c r="G503" s="18">
        <v>44371</v>
      </c>
      <c r="H503" s="14">
        <f t="shared" si="17"/>
        <v>2021</v>
      </c>
      <c r="I503" s="12">
        <v>319609</v>
      </c>
      <c r="J503" s="10">
        <v>3228</v>
      </c>
      <c r="K503" s="18">
        <v>44540</v>
      </c>
      <c r="L503" s="14">
        <f t="shared" si="16"/>
        <v>2021</v>
      </c>
      <c r="M503" s="12">
        <v>319609</v>
      </c>
    </row>
    <row r="504" spans="1:13" ht="15.75" customHeight="1" x14ac:dyDescent="0.25">
      <c r="A504" s="9" t="s">
        <v>10</v>
      </c>
      <c r="B504" s="9" t="s">
        <v>50</v>
      </c>
      <c r="C504" s="10" t="s">
        <v>21</v>
      </c>
      <c r="D504" s="9" t="s">
        <v>13</v>
      </c>
      <c r="E504" s="9" t="s">
        <v>65</v>
      </c>
      <c r="F504" s="10">
        <v>1866</v>
      </c>
      <c r="G504" s="18">
        <v>44371</v>
      </c>
      <c r="H504" s="14">
        <f t="shared" si="17"/>
        <v>2021</v>
      </c>
      <c r="I504" s="12">
        <v>1267601</v>
      </c>
      <c r="J504" s="10">
        <v>3229</v>
      </c>
      <c r="K504" s="18">
        <v>44540</v>
      </c>
      <c r="L504" s="14">
        <f t="shared" si="16"/>
        <v>2021</v>
      </c>
      <c r="M504" s="12">
        <v>1267601</v>
      </c>
    </row>
    <row r="505" spans="1:13" ht="15.75" customHeight="1" x14ac:dyDescent="0.25">
      <c r="A505" s="9" t="s">
        <v>15</v>
      </c>
      <c r="B505" s="9" t="s">
        <v>50</v>
      </c>
      <c r="C505" s="10" t="s">
        <v>21</v>
      </c>
      <c r="D505" s="9" t="s">
        <v>13</v>
      </c>
      <c r="E505" s="9" t="s">
        <v>65</v>
      </c>
      <c r="F505" s="10">
        <v>2274</v>
      </c>
      <c r="G505" s="18">
        <v>44435</v>
      </c>
      <c r="H505" s="14">
        <f t="shared" si="17"/>
        <v>2021</v>
      </c>
      <c r="I505" s="12">
        <v>639218</v>
      </c>
      <c r="J505" s="10">
        <v>3230</v>
      </c>
      <c r="K505" s="18">
        <v>44540</v>
      </c>
      <c r="L505" s="14">
        <f t="shared" si="16"/>
        <v>2021</v>
      </c>
      <c r="M505" s="12">
        <v>639218</v>
      </c>
    </row>
    <row r="506" spans="1:13" ht="15.75" customHeight="1" x14ac:dyDescent="0.25">
      <c r="A506" s="9" t="s">
        <v>15</v>
      </c>
      <c r="B506" s="9" t="s">
        <v>46</v>
      </c>
      <c r="C506" s="10" t="s">
        <v>17</v>
      </c>
      <c r="D506" s="9" t="s">
        <v>13</v>
      </c>
      <c r="E506" s="9" t="s">
        <v>14</v>
      </c>
      <c r="F506" s="10">
        <v>1121</v>
      </c>
      <c r="G506" s="18">
        <v>43923</v>
      </c>
      <c r="H506" s="14">
        <f t="shared" si="17"/>
        <v>2020</v>
      </c>
      <c r="I506" s="12">
        <f>31.5*50221</f>
        <v>1581961.5</v>
      </c>
      <c r="J506" s="10">
        <v>601</v>
      </c>
      <c r="K506" s="18">
        <v>44258</v>
      </c>
      <c r="L506" s="14">
        <f t="shared" si="16"/>
        <v>2021</v>
      </c>
      <c r="M506" s="12">
        <f>32*51489</f>
        <v>1647648</v>
      </c>
    </row>
    <row r="507" spans="1:13" ht="15.75" customHeight="1" x14ac:dyDescent="0.25">
      <c r="A507" s="9" t="s">
        <v>15</v>
      </c>
      <c r="B507" s="9" t="s">
        <v>46</v>
      </c>
      <c r="C507" s="10" t="s">
        <v>17</v>
      </c>
      <c r="D507" s="9" t="s">
        <v>13</v>
      </c>
      <c r="E507" s="9" t="s">
        <v>14</v>
      </c>
      <c r="F507" s="10">
        <v>1122</v>
      </c>
      <c r="G507" s="18">
        <v>43923</v>
      </c>
      <c r="H507" s="14">
        <f t="shared" si="17"/>
        <v>2020</v>
      </c>
      <c r="I507" s="12">
        <f>15.75*50221</f>
        <v>790980.75</v>
      </c>
      <c r="J507" s="10">
        <v>600</v>
      </c>
      <c r="K507" s="18">
        <v>44258</v>
      </c>
      <c r="L507" s="14">
        <f t="shared" si="16"/>
        <v>2021</v>
      </c>
      <c r="M507" s="12">
        <f>16*51489</f>
        <v>823824</v>
      </c>
    </row>
    <row r="508" spans="1:13" ht="15.75" customHeight="1" x14ac:dyDescent="0.25">
      <c r="A508" s="9" t="s">
        <v>57</v>
      </c>
      <c r="B508" s="9" t="s">
        <v>46</v>
      </c>
      <c r="C508" s="10" t="s">
        <v>17</v>
      </c>
      <c r="D508" s="9" t="s">
        <v>13</v>
      </c>
      <c r="E508" s="9" t="s">
        <v>58</v>
      </c>
      <c r="F508" s="10">
        <v>2991</v>
      </c>
      <c r="G508" s="18">
        <v>44182</v>
      </c>
      <c r="H508" s="14">
        <f t="shared" si="17"/>
        <v>2020</v>
      </c>
      <c r="I508" s="12">
        <v>1892221</v>
      </c>
      <c r="J508" s="10">
        <v>654</v>
      </c>
      <c r="K508" s="18">
        <v>44264</v>
      </c>
      <c r="L508" s="14">
        <f t="shared" si="16"/>
        <v>2021</v>
      </c>
      <c r="M508" s="12">
        <v>1892221</v>
      </c>
    </row>
    <row r="509" spans="1:13" ht="15.75" customHeight="1" x14ac:dyDescent="0.25">
      <c r="A509" s="9" t="s">
        <v>57</v>
      </c>
      <c r="B509" s="9" t="s">
        <v>46</v>
      </c>
      <c r="C509" s="10" t="s">
        <v>17</v>
      </c>
      <c r="D509" s="9" t="s">
        <v>13</v>
      </c>
      <c r="E509" s="9" t="s">
        <v>58</v>
      </c>
      <c r="F509" s="10">
        <v>3210</v>
      </c>
      <c r="G509" s="18">
        <v>44195</v>
      </c>
      <c r="H509" s="14">
        <f t="shared" si="17"/>
        <v>2020</v>
      </c>
      <c r="I509" s="12">
        <v>1351586</v>
      </c>
      <c r="J509" s="10">
        <v>705</v>
      </c>
      <c r="K509" s="18">
        <v>44267</v>
      </c>
      <c r="L509" s="14">
        <f t="shared" si="16"/>
        <v>2021</v>
      </c>
      <c r="M509" s="12">
        <v>1351586</v>
      </c>
    </row>
    <row r="510" spans="1:13" ht="15.75" customHeight="1" x14ac:dyDescent="0.25">
      <c r="A510" s="9" t="s">
        <v>10</v>
      </c>
      <c r="B510" s="9" t="s">
        <v>46</v>
      </c>
      <c r="C510" s="10" t="s">
        <v>17</v>
      </c>
      <c r="D510" s="9" t="s">
        <v>13</v>
      </c>
      <c r="E510" s="9" t="s">
        <v>65</v>
      </c>
      <c r="F510" s="10">
        <v>1617</v>
      </c>
      <c r="G510" s="18">
        <v>44354</v>
      </c>
      <c r="H510" s="14">
        <f t="shared" si="17"/>
        <v>2021</v>
      </c>
      <c r="I510" s="12">
        <v>253642</v>
      </c>
      <c r="J510" s="10">
        <v>2794</v>
      </c>
      <c r="K510" s="18">
        <v>44491</v>
      </c>
      <c r="L510" s="14">
        <f t="shared" si="16"/>
        <v>2021</v>
      </c>
      <c r="M510" s="12">
        <v>253642</v>
      </c>
    </row>
    <row r="511" spans="1:13" ht="15.75" customHeight="1" x14ac:dyDescent="0.25">
      <c r="A511" s="9" t="s">
        <v>10</v>
      </c>
      <c r="B511" s="9" t="s">
        <v>46</v>
      </c>
      <c r="C511" s="10" t="s">
        <v>17</v>
      </c>
      <c r="D511" s="9" t="s">
        <v>13</v>
      </c>
      <c r="E511" s="9" t="s">
        <v>65</v>
      </c>
      <c r="F511" s="10">
        <v>2120</v>
      </c>
      <c r="G511" s="18">
        <v>44407</v>
      </c>
      <c r="H511" s="14">
        <f t="shared" si="17"/>
        <v>2021</v>
      </c>
      <c r="I511" s="12">
        <v>528420</v>
      </c>
      <c r="J511" s="10">
        <v>2793</v>
      </c>
      <c r="K511" s="18">
        <v>44491</v>
      </c>
      <c r="L511" s="14">
        <f t="shared" si="16"/>
        <v>2021</v>
      </c>
      <c r="M511" s="12">
        <v>528420</v>
      </c>
    </row>
    <row r="512" spans="1:13" ht="15.75" customHeight="1" x14ac:dyDescent="0.25">
      <c r="I512" s="6"/>
      <c r="M512" s="6"/>
    </row>
    <row r="513" spans="9:13" ht="15.75" customHeight="1" x14ac:dyDescent="0.25">
      <c r="I513" s="6"/>
      <c r="M513" s="6"/>
    </row>
    <row r="514" spans="9:13" ht="15.75" customHeight="1" x14ac:dyDescent="0.25">
      <c r="I514" s="6"/>
      <c r="M514" s="6"/>
    </row>
    <row r="515" spans="9:13" ht="15.75" customHeight="1" x14ac:dyDescent="0.25">
      <c r="I515" s="6"/>
      <c r="M515" s="6"/>
    </row>
    <row r="516" spans="9:13" ht="15.75" customHeight="1" x14ac:dyDescent="0.25">
      <c r="I516" s="6"/>
      <c r="M516" s="6"/>
    </row>
    <row r="517" spans="9:13" ht="15.75" customHeight="1" x14ac:dyDescent="0.25">
      <c r="I517" s="6"/>
      <c r="M517" s="6"/>
    </row>
    <row r="518" spans="9:13" ht="15.75" customHeight="1" x14ac:dyDescent="0.25">
      <c r="I518" s="6"/>
      <c r="M518" s="6"/>
    </row>
    <row r="519" spans="9:13" ht="15.75" customHeight="1" x14ac:dyDescent="0.25">
      <c r="I519" s="6"/>
      <c r="M519" s="6"/>
    </row>
    <row r="520" spans="9:13" ht="15.75" customHeight="1" x14ac:dyDescent="0.25">
      <c r="I520" s="6"/>
      <c r="M520" s="6"/>
    </row>
    <row r="521" spans="9:13" ht="15.75" customHeight="1" x14ac:dyDescent="0.25">
      <c r="I521" s="6"/>
      <c r="M521" s="6"/>
    </row>
    <row r="522" spans="9:13" ht="15.75" customHeight="1" x14ac:dyDescent="0.25">
      <c r="I522" s="6"/>
      <c r="M522" s="6"/>
    </row>
    <row r="523" spans="9:13" ht="15.75" customHeight="1" x14ac:dyDescent="0.25">
      <c r="I523" s="6"/>
      <c r="M523" s="6"/>
    </row>
    <row r="524" spans="9:13" ht="15.75" customHeight="1" x14ac:dyDescent="0.25">
      <c r="I524" s="6"/>
      <c r="M524" s="6"/>
    </row>
    <row r="525" spans="9:13" ht="15.75" customHeight="1" x14ac:dyDescent="0.25">
      <c r="I525" s="6"/>
      <c r="M525" s="6"/>
    </row>
    <row r="526" spans="9:13" ht="15.75" customHeight="1" x14ac:dyDescent="0.25">
      <c r="I526" s="6"/>
      <c r="M526" s="6"/>
    </row>
    <row r="527" spans="9:13" ht="15.75" customHeight="1" x14ac:dyDescent="0.25">
      <c r="I527" s="6"/>
      <c r="M527" s="6"/>
    </row>
    <row r="528" spans="9:13" ht="15.75" customHeight="1" x14ac:dyDescent="0.25">
      <c r="I528" s="6"/>
      <c r="M528" s="6"/>
    </row>
    <row r="529" spans="9:13" ht="15.75" customHeight="1" x14ac:dyDescent="0.25">
      <c r="I529" s="6"/>
      <c r="M529" s="6"/>
    </row>
    <row r="530" spans="9:13" ht="15.75" customHeight="1" x14ac:dyDescent="0.25">
      <c r="I530" s="6"/>
      <c r="M530" s="6"/>
    </row>
    <row r="531" spans="9:13" ht="15.75" customHeight="1" x14ac:dyDescent="0.25">
      <c r="I531" s="6"/>
      <c r="M531" s="6"/>
    </row>
    <row r="532" spans="9:13" ht="15.75" customHeight="1" x14ac:dyDescent="0.25">
      <c r="I532" s="6"/>
      <c r="M532" s="6"/>
    </row>
    <row r="533" spans="9:13" ht="15.75" customHeight="1" x14ac:dyDescent="0.25">
      <c r="I533" s="6"/>
      <c r="M533" s="6"/>
    </row>
    <row r="534" spans="9:13" ht="15.75" customHeight="1" x14ac:dyDescent="0.25">
      <c r="I534" s="6"/>
      <c r="M534" s="6"/>
    </row>
    <row r="535" spans="9:13" ht="15.75" customHeight="1" x14ac:dyDescent="0.25">
      <c r="I535" s="6"/>
      <c r="M535" s="6"/>
    </row>
    <row r="536" spans="9:13" ht="15.75" customHeight="1" x14ac:dyDescent="0.25">
      <c r="I536" s="6"/>
      <c r="M536" s="6"/>
    </row>
    <row r="537" spans="9:13" ht="15.75" customHeight="1" x14ac:dyDescent="0.25">
      <c r="I537" s="6"/>
      <c r="M537" s="6"/>
    </row>
    <row r="538" spans="9:13" ht="15.75" customHeight="1" x14ac:dyDescent="0.25">
      <c r="I538" s="6"/>
      <c r="M538" s="6"/>
    </row>
    <row r="539" spans="9:13" ht="15.75" customHeight="1" x14ac:dyDescent="0.25">
      <c r="I539" s="6"/>
      <c r="M539" s="6"/>
    </row>
    <row r="540" spans="9:13" ht="15.75" customHeight="1" x14ac:dyDescent="0.25">
      <c r="I540" s="6"/>
      <c r="M540" s="6"/>
    </row>
    <row r="541" spans="9:13" ht="15.75" customHeight="1" x14ac:dyDescent="0.25">
      <c r="I541" s="6"/>
      <c r="M541" s="6"/>
    </row>
    <row r="542" spans="9:13" ht="15.75" customHeight="1" x14ac:dyDescent="0.25">
      <c r="I542" s="6"/>
      <c r="M542" s="6"/>
    </row>
    <row r="543" spans="9:13" ht="15.75" customHeight="1" x14ac:dyDescent="0.25">
      <c r="I543" s="6"/>
      <c r="M543" s="6"/>
    </row>
    <row r="544" spans="9:13" ht="15.75" customHeight="1" x14ac:dyDescent="0.25">
      <c r="I544" s="6"/>
      <c r="M544" s="6"/>
    </row>
    <row r="545" spans="9:13" ht="15.75" customHeight="1" x14ac:dyDescent="0.25">
      <c r="I545" s="6"/>
      <c r="M545" s="6"/>
    </row>
    <row r="546" spans="9:13" ht="15.75" customHeight="1" x14ac:dyDescent="0.25">
      <c r="I546" s="6"/>
      <c r="M546" s="6"/>
    </row>
    <row r="547" spans="9:13" ht="15.75" customHeight="1" x14ac:dyDescent="0.25">
      <c r="I547" s="6"/>
      <c r="M547" s="6"/>
    </row>
    <row r="548" spans="9:13" ht="15.75" customHeight="1" x14ac:dyDescent="0.25">
      <c r="I548" s="6"/>
      <c r="M548" s="6"/>
    </row>
    <row r="549" spans="9:13" ht="15.75" customHeight="1" x14ac:dyDescent="0.25">
      <c r="I549" s="6"/>
      <c r="M549" s="6"/>
    </row>
    <row r="550" spans="9:13" ht="15.75" customHeight="1" x14ac:dyDescent="0.25">
      <c r="I550" s="6"/>
      <c r="M550" s="6"/>
    </row>
    <row r="551" spans="9:13" ht="15.75" customHeight="1" x14ac:dyDescent="0.25">
      <c r="I551" s="6"/>
      <c r="M551" s="6"/>
    </row>
    <row r="552" spans="9:13" ht="15.75" customHeight="1" x14ac:dyDescent="0.25">
      <c r="I552" s="6"/>
      <c r="M552" s="6"/>
    </row>
    <row r="553" spans="9:13" ht="15.75" customHeight="1" x14ac:dyDescent="0.25">
      <c r="I553" s="6"/>
      <c r="M553" s="6"/>
    </row>
    <row r="554" spans="9:13" ht="15.75" customHeight="1" x14ac:dyDescent="0.25">
      <c r="I554" s="6"/>
      <c r="M554" s="6"/>
    </row>
    <row r="555" spans="9:13" ht="15.75" customHeight="1" x14ac:dyDescent="0.25">
      <c r="I555" s="6"/>
      <c r="M555" s="6"/>
    </row>
    <row r="556" spans="9:13" ht="15.75" customHeight="1" x14ac:dyDescent="0.25">
      <c r="I556" s="6"/>
      <c r="M556" s="6"/>
    </row>
    <row r="557" spans="9:13" ht="15.75" customHeight="1" x14ac:dyDescent="0.25">
      <c r="I557" s="6"/>
      <c r="M557" s="6"/>
    </row>
    <row r="558" spans="9:13" ht="15.75" customHeight="1" x14ac:dyDescent="0.25">
      <c r="I558" s="6"/>
      <c r="M558" s="6"/>
    </row>
    <row r="559" spans="9:13" ht="15.75" customHeight="1" x14ac:dyDescent="0.25">
      <c r="I559" s="6"/>
      <c r="M559" s="6"/>
    </row>
    <row r="560" spans="9:13" ht="15.75" customHeight="1" x14ac:dyDescent="0.25">
      <c r="I560" s="6"/>
      <c r="M560" s="6"/>
    </row>
    <row r="561" spans="9:13" ht="15.75" customHeight="1" x14ac:dyDescent="0.25">
      <c r="I561" s="6"/>
      <c r="M561" s="6"/>
    </row>
    <row r="562" spans="9:13" ht="15.75" customHeight="1" x14ac:dyDescent="0.25">
      <c r="I562" s="6"/>
      <c r="M562" s="6"/>
    </row>
    <row r="563" spans="9:13" ht="15.75" customHeight="1" x14ac:dyDescent="0.25">
      <c r="I563" s="6"/>
      <c r="M563" s="6"/>
    </row>
    <row r="564" spans="9:13" ht="15.75" customHeight="1" x14ac:dyDescent="0.25">
      <c r="I564" s="6"/>
      <c r="M564" s="6"/>
    </row>
    <row r="565" spans="9:13" ht="15.75" customHeight="1" x14ac:dyDescent="0.25">
      <c r="I565" s="6"/>
      <c r="M565" s="6"/>
    </row>
    <row r="566" spans="9:13" ht="15.75" customHeight="1" x14ac:dyDescent="0.25">
      <c r="I566" s="6"/>
      <c r="M566" s="6"/>
    </row>
    <row r="567" spans="9:13" ht="15.75" customHeight="1" x14ac:dyDescent="0.25">
      <c r="I567" s="6"/>
      <c r="M567" s="6"/>
    </row>
    <row r="568" spans="9:13" ht="15.75" customHeight="1" x14ac:dyDescent="0.25">
      <c r="I568" s="6"/>
      <c r="M568" s="6"/>
    </row>
    <row r="569" spans="9:13" ht="15.75" customHeight="1" x14ac:dyDescent="0.25">
      <c r="I569" s="6"/>
      <c r="M569" s="6"/>
    </row>
    <row r="570" spans="9:13" ht="15.75" customHeight="1" x14ac:dyDescent="0.25">
      <c r="I570" s="6"/>
      <c r="M570" s="6"/>
    </row>
    <row r="571" spans="9:13" ht="15.75" customHeight="1" x14ac:dyDescent="0.25">
      <c r="I571" s="6"/>
      <c r="M571" s="6"/>
    </row>
    <row r="572" spans="9:13" ht="15.75" customHeight="1" x14ac:dyDescent="0.25">
      <c r="I572" s="6"/>
      <c r="M572" s="6"/>
    </row>
    <row r="573" spans="9:13" ht="15.75" customHeight="1" x14ac:dyDescent="0.25">
      <c r="I573" s="6"/>
      <c r="M573" s="6"/>
    </row>
    <row r="574" spans="9:13" ht="15.75" customHeight="1" x14ac:dyDescent="0.25">
      <c r="I574" s="6"/>
      <c r="M574" s="6"/>
    </row>
    <row r="575" spans="9:13" ht="15.75" customHeight="1" x14ac:dyDescent="0.25">
      <c r="I575" s="6"/>
      <c r="M575" s="6"/>
    </row>
    <row r="576" spans="9:13" ht="15.75" customHeight="1" x14ac:dyDescent="0.25">
      <c r="I576" s="6"/>
      <c r="M576" s="6"/>
    </row>
    <row r="577" spans="9:13" ht="15.75" customHeight="1" x14ac:dyDescent="0.25">
      <c r="I577" s="6"/>
      <c r="M577" s="6"/>
    </row>
    <row r="578" spans="9:13" ht="15.75" customHeight="1" x14ac:dyDescent="0.25">
      <c r="I578" s="6"/>
      <c r="M578" s="6"/>
    </row>
    <row r="579" spans="9:13" ht="15.75" customHeight="1" x14ac:dyDescent="0.25">
      <c r="I579" s="6"/>
      <c r="M579" s="6"/>
    </row>
    <row r="580" spans="9:13" ht="15.75" customHeight="1" x14ac:dyDescent="0.25">
      <c r="I580" s="6"/>
      <c r="M580" s="6"/>
    </row>
    <row r="581" spans="9:13" ht="15.75" customHeight="1" x14ac:dyDescent="0.25">
      <c r="I581" s="6"/>
      <c r="M581" s="6"/>
    </row>
    <row r="582" spans="9:13" ht="15.75" customHeight="1" x14ac:dyDescent="0.25">
      <c r="I582" s="6"/>
      <c r="M582" s="6"/>
    </row>
    <row r="583" spans="9:13" ht="15.75" customHeight="1" x14ac:dyDescent="0.25">
      <c r="I583" s="6"/>
      <c r="M583" s="6"/>
    </row>
    <row r="584" spans="9:13" ht="15.75" customHeight="1" x14ac:dyDescent="0.25">
      <c r="I584" s="6"/>
      <c r="M584" s="6"/>
    </row>
    <row r="585" spans="9:13" ht="15.75" customHeight="1" x14ac:dyDescent="0.25">
      <c r="I585" s="6"/>
      <c r="M585" s="6"/>
    </row>
    <row r="586" spans="9:13" ht="15.75" customHeight="1" x14ac:dyDescent="0.25">
      <c r="I586" s="6"/>
      <c r="M586" s="6"/>
    </row>
    <row r="587" spans="9:13" ht="15.75" customHeight="1" x14ac:dyDescent="0.25">
      <c r="I587" s="6"/>
      <c r="M587" s="6"/>
    </row>
    <row r="588" spans="9:13" ht="15.75" customHeight="1" x14ac:dyDescent="0.25">
      <c r="I588" s="6"/>
      <c r="M588" s="6"/>
    </row>
    <row r="589" spans="9:13" ht="15.75" customHeight="1" x14ac:dyDescent="0.25">
      <c r="I589" s="6"/>
      <c r="M589" s="6"/>
    </row>
    <row r="590" spans="9:13" ht="15.75" customHeight="1" x14ac:dyDescent="0.25">
      <c r="I590" s="6"/>
      <c r="M590" s="6"/>
    </row>
    <row r="591" spans="9:13" ht="15.75" customHeight="1" x14ac:dyDescent="0.25">
      <c r="I591" s="6"/>
      <c r="M591" s="6"/>
    </row>
    <row r="592" spans="9:13" ht="15.75" customHeight="1" x14ac:dyDescent="0.25">
      <c r="I592" s="6"/>
      <c r="M592" s="6"/>
    </row>
    <row r="593" spans="9:13" ht="15.75" customHeight="1" x14ac:dyDescent="0.25">
      <c r="I593" s="6"/>
      <c r="M593" s="6"/>
    </row>
    <row r="594" spans="9:13" ht="15.75" customHeight="1" x14ac:dyDescent="0.25">
      <c r="I594" s="6"/>
      <c r="M594" s="6"/>
    </row>
    <row r="595" spans="9:13" ht="15.75" customHeight="1" x14ac:dyDescent="0.25">
      <c r="I595" s="6"/>
      <c r="M595" s="6"/>
    </row>
    <row r="596" spans="9:13" ht="15.75" customHeight="1" x14ac:dyDescent="0.25">
      <c r="I596" s="6"/>
      <c r="M596" s="6"/>
    </row>
    <row r="597" spans="9:13" ht="15.75" customHeight="1" x14ac:dyDescent="0.25">
      <c r="I597" s="6"/>
      <c r="M597" s="6"/>
    </row>
    <row r="598" spans="9:13" ht="15.75" customHeight="1" x14ac:dyDescent="0.25">
      <c r="I598" s="6"/>
      <c r="M598" s="6"/>
    </row>
    <row r="599" spans="9:13" ht="15.75" customHeight="1" x14ac:dyDescent="0.25">
      <c r="I599" s="6"/>
      <c r="M599" s="6"/>
    </row>
    <row r="600" spans="9:13" ht="15.75" customHeight="1" x14ac:dyDescent="0.25">
      <c r="I600" s="6"/>
      <c r="M600" s="6"/>
    </row>
    <row r="601" spans="9:13" ht="15.75" customHeight="1" x14ac:dyDescent="0.25">
      <c r="I601" s="6"/>
      <c r="M601" s="6"/>
    </row>
    <row r="602" spans="9:13" ht="15.75" customHeight="1" x14ac:dyDescent="0.25">
      <c r="I602" s="6"/>
      <c r="M602" s="6"/>
    </row>
    <row r="603" spans="9:13" ht="15.75" customHeight="1" x14ac:dyDescent="0.25">
      <c r="I603" s="6"/>
      <c r="M603" s="6"/>
    </row>
    <row r="604" spans="9:13" ht="15.75" customHeight="1" x14ac:dyDescent="0.25">
      <c r="I604" s="6"/>
      <c r="M604" s="6"/>
    </row>
    <row r="605" spans="9:13" ht="15.75" customHeight="1" x14ac:dyDescent="0.25">
      <c r="I605" s="6"/>
      <c r="M605" s="6"/>
    </row>
    <row r="606" spans="9:13" ht="15.75" customHeight="1" x14ac:dyDescent="0.25">
      <c r="I606" s="6"/>
      <c r="M606" s="6"/>
    </row>
    <row r="607" spans="9:13" ht="15.75" customHeight="1" x14ac:dyDescent="0.25">
      <c r="I607" s="6"/>
      <c r="M607" s="6"/>
    </row>
    <row r="608" spans="9:13" ht="15.75" customHeight="1" x14ac:dyDescent="0.25">
      <c r="I608" s="6"/>
      <c r="M608" s="6"/>
    </row>
    <row r="609" spans="9:13" ht="15.75" customHeight="1" x14ac:dyDescent="0.25">
      <c r="I609" s="6"/>
      <c r="M609" s="6"/>
    </row>
    <row r="610" spans="9:13" ht="15.75" customHeight="1" x14ac:dyDescent="0.25">
      <c r="I610" s="6"/>
      <c r="M610" s="6"/>
    </row>
    <row r="611" spans="9:13" ht="15.75" customHeight="1" x14ac:dyDescent="0.25">
      <c r="I611" s="6"/>
      <c r="M611" s="6"/>
    </row>
    <row r="612" spans="9:13" ht="15.75" customHeight="1" x14ac:dyDescent="0.25">
      <c r="I612" s="6"/>
      <c r="M612" s="6"/>
    </row>
    <row r="613" spans="9:13" ht="15.75" customHeight="1" x14ac:dyDescent="0.25">
      <c r="I613" s="6"/>
      <c r="M613" s="6"/>
    </row>
    <row r="614" spans="9:13" ht="15.75" customHeight="1" x14ac:dyDescent="0.25">
      <c r="I614" s="6"/>
      <c r="M614" s="6"/>
    </row>
    <row r="615" spans="9:13" ht="15.75" customHeight="1" x14ac:dyDescent="0.25">
      <c r="I615" s="6"/>
      <c r="M615" s="6"/>
    </row>
    <row r="616" spans="9:13" ht="15.75" customHeight="1" x14ac:dyDescent="0.25">
      <c r="I616" s="6"/>
      <c r="M616" s="6"/>
    </row>
    <row r="617" spans="9:13" ht="15.75" customHeight="1" x14ac:dyDescent="0.25">
      <c r="I617" s="6"/>
      <c r="M617" s="6"/>
    </row>
    <row r="618" spans="9:13" ht="15.75" customHeight="1" x14ac:dyDescent="0.25">
      <c r="I618" s="6"/>
      <c r="M618" s="6"/>
    </row>
    <row r="619" spans="9:13" ht="15.75" customHeight="1" x14ac:dyDescent="0.25">
      <c r="I619" s="6"/>
      <c r="M619" s="6"/>
    </row>
    <row r="620" spans="9:13" ht="15.75" customHeight="1" x14ac:dyDescent="0.25">
      <c r="I620" s="6"/>
      <c r="M620" s="6"/>
    </row>
    <row r="621" spans="9:13" ht="15.75" customHeight="1" x14ac:dyDescent="0.25">
      <c r="I621" s="6"/>
      <c r="M621" s="6"/>
    </row>
    <row r="622" spans="9:13" ht="15.75" customHeight="1" x14ac:dyDescent="0.25">
      <c r="I622" s="6"/>
      <c r="M622" s="6"/>
    </row>
    <row r="623" spans="9:13" ht="15.75" customHeight="1" x14ac:dyDescent="0.25">
      <c r="I623" s="6"/>
      <c r="M623" s="6"/>
    </row>
    <row r="624" spans="9:13" ht="15.75" customHeight="1" x14ac:dyDescent="0.25">
      <c r="I624" s="6"/>
      <c r="M624" s="6"/>
    </row>
    <row r="625" spans="9:13" ht="15.75" customHeight="1" x14ac:dyDescent="0.25">
      <c r="I625" s="6"/>
      <c r="M625" s="6"/>
    </row>
    <row r="626" spans="9:13" ht="15.75" customHeight="1" x14ac:dyDescent="0.25">
      <c r="I626" s="6"/>
      <c r="M626" s="6"/>
    </row>
    <row r="627" spans="9:13" ht="15.75" customHeight="1" x14ac:dyDescent="0.25">
      <c r="I627" s="6"/>
      <c r="M627" s="6"/>
    </row>
    <row r="628" spans="9:13" ht="15.75" customHeight="1" x14ac:dyDescent="0.25">
      <c r="I628" s="6"/>
      <c r="M628" s="6"/>
    </row>
    <row r="629" spans="9:13" ht="15.75" customHeight="1" x14ac:dyDescent="0.25">
      <c r="I629" s="6"/>
      <c r="M629" s="6"/>
    </row>
    <row r="630" spans="9:13" ht="15.75" customHeight="1" x14ac:dyDescent="0.25">
      <c r="I630" s="6"/>
      <c r="M630" s="6"/>
    </row>
    <row r="631" spans="9:13" ht="15.75" customHeight="1" x14ac:dyDescent="0.25">
      <c r="I631" s="6"/>
      <c r="M631" s="6"/>
    </row>
    <row r="632" spans="9:13" ht="15.75" customHeight="1" x14ac:dyDescent="0.25">
      <c r="I632" s="6"/>
      <c r="M632" s="6"/>
    </row>
    <row r="633" spans="9:13" ht="15.75" customHeight="1" x14ac:dyDescent="0.25">
      <c r="I633" s="6"/>
      <c r="M633" s="6"/>
    </row>
    <row r="634" spans="9:13" ht="15.75" customHeight="1" x14ac:dyDescent="0.25">
      <c r="I634" s="6"/>
      <c r="M634" s="6"/>
    </row>
    <row r="635" spans="9:13" ht="15.75" customHeight="1" x14ac:dyDescent="0.25">
      <c r="I635" s="6"/>
      <c r="M635" s="6"/>
    </row>
    <row r="636" spans="9:13" ht="15.75" customHeight="1" x14ac:dyDescent="0.25">
      <c r="I636" s="6"/>
      <c r="M636" s="6"/>
    </row>
    <row r="637" spans="9:13" ht="15.75" customHeight="1" x14ac:dyDescent="0.25">
      <c r="I637" s="6"/>
      <c r="M637" s="6"/>
    </row>
    <row r="638" spans="9:13" ht="15.75" customHeight="1" x14ac:dyDescent="0.25">
      <c r="I638" s="6"/>
      <c r="M638" s="6"/>
    </row>
    <row r="639" spans="9:13" ht="15.75" customHeight="1" x14ac:dyDescent="0.25">
      <c r="I639" s="6"/>
      <c r="M639" s="6"/>
    </row>
    <row r="640" spans="9:13" ht="15.75" customHeight="1" x14ac:dyDescent="0.25">
      <c r="I640" s="6"/>
      <c r="M640" s="6"/>
    </row>
    <row r="641" spans="9:13" ht="15.75" customHeight="1" x14ac:dyDescent="0.25">
      <c r="I641" s="6"/>
      <c r="M641" s="6"/>
    </row>
    <row r="642" spans="9:13" ht="15.75" customHeight="1" x14ac:dyDescent="0.25">
      <c r="I642" s="6"/>
      <c r="M642" s="6"/>
    </row>
    <row r="643" spans="9:13" ht="15.75" customHeight="1" x14ac:dyDescent="0.25">
      <c r="I643" s="6"/>
      <c r="M643" s="6"/>
    </row>
    <row r="644" spans="9:13" ht="15.75" customHeight="1" x14ac:dyDescent="0.25">
      <c r="I644" s="6"/>
      <c r="M644" s="6"/>
    </row>
    <row r="645" spans="9:13" ht="15.75" customHeight="1" x14ac:dyDescent="0.25">
      <c r="I645" s="6"/>
      <c r="M645" s="6"/>
    </row>
    <row r="646" spans="9:13" ht="15.75" customHeight="1" x14ac:dyDescent="0.25">
      <c r="I646" s="6"/>
      <c r="M646" s="6"/>
    </row>
    <row r="647" spans="9:13" ht="15.75" customHeight="1" x14ac:dyDescent="0.25">
      <c r="I647" s="6"/>
      <c r="M647" s="6"/>
    </row>
    <row r="648" spans="9:13" ht="15.75" customHeight="1" x14ac:dyDescent="0.25">
      <c r="I648" s="6"/>
      <c r="M648" s="6"/>
    </row>
    <row r="649" spans="9:13" ht="15.75" customHeight="1" x14ac:dyDescent="0.25">
      <c r="I649" s="6"/>
      <c r="M649" s="6"/>
    </row>
    <row r="650" spans="9:13" ht="15.75" customHeight="1" x14ac:dyDescent="0.25">
      <c r="I650" s="6"/>
      <c r="M650" s="6"/>
    </row>
    <row r="651" spans="9:13" ht="15.75" customHeight="1" x14ac:dyDescent="0.25">
      <c r="I651" s="6"/>
      <c r="M651" s="6"/>
    </row>
    <row r="652" spans="9:13" ht="15.75" customHeight="1" x14ac:dyDescent="0.25">
      <c r="I652" s="6"/>
      <c r="M652" s="6"/>
    </row>
    <row r="653" spans="9:13" ht="15.75" customHeight="1" x14ac:dyDescent="0.25">
      <c r="I653" s="6"/>
      <c r="M653" s="6"/>
    </row>
    <row r="654" spans="9:13" ht="15.75" customHeight="1" x14ac:dyDescent="0.25">
      <c r="I654" s="6"/>
      <c r="M654" s="6"/>
    </row>
    <row r="655" spans="9:13" ht="15.75" customHeight="1" x14ac:dyDescent="0.25">
      <c r="I655" s="6"/>
      <c r="M655" s="6"/>
    </row>
    <row r="656" spans="9:13" ht="15.75" customHeight="1" x14ac:dyDescent="0.25">
      <c r="I656" s="6"/>
      <c r="M656" s="6"/>
    </row>
    <row r="657" spans="9:13" ht="15.75" customHeight="1" x14ac:dyDescent="0.25">
      <c r="I657" s="6"/>
      <c r="M657" s="6"/>
    </row>
    <row r="658" spans="9:13" ht="15.75" customHeight="1" x14ac:dyDescent="0.25">
      <c r="I658" s="6"/>
      <c r="M658" s="6"/>
    </row>
    <row r="659" spans="9:13" ht="15.75" customHeight="1" x14ac:dyDescent="0.25">
      <c r="I659" s="6"/>
      <c r="M659" s="6"/>
    </row>
    <row r="660" spans="9:13" ht="15.75" customHeight="1" x14ac:dyDescent="0.25">
      <c r="I660" s="6"/>
      <c r="M660" s="6"/>
    </row>
    <row r="661" spans="9:13" ht="15.75" customHeight="1" x14ac:dyDescent="0.25">
      <c r="I661" s="6"/>
      <c r="M661" s="6"/>
    </row>
    <row r="662" spans="9:13" ht="15.75" customHeight="1" x14ac:dyDescent="0.25">
      <c r="I662" s="6"/>
      <c r="M662" s="6"/>
    </row>
    <row r="663" spans="9:13" ht="15.75" customHeight="1" x14ac:dyDescent="0.25">
      <c r="I663" s="6"/>
      <c r="M663" s="6"/>
    </row>
    <row r="664" spans="9:13" ht="15.75" customHeight="1" x14ac:dyDescent="0.25">
      <c r="I664" s="6"/>
      <c r="M664" s="6"/>
    </row>
    <row r="665" spans="9:13" ht="15.75" customHeight="1" x14ac:dyDescent="0.25">
      <c r="I665" s="6"/>
      <c r="M665" s="6"/>
    </row>
    <row r="666" spans="9:13" ht="15.75" customHeight="1" x14ac:dyDescent="0.25">
      <c r="I666" s="6"/>
      <c r="M666" s="6"/>
    </row>
    <row r="667" spans="9:13" ht="15.75" customHeight="1" x14ac:dyDescent="0.25">
      <c r="I667" s="6"/>
      <c r="M667" s="6"/>
    </row>
    <row r="668" spans="9:13" ht="15.75" customHeight="1" x14ac:dyDescent="0.25">
      <c r="I668" s="6"/>
      <c r="M668" s="6"/>
    </row>
    <row r="669" spans="9:13" ht="15.75" customHeight="1" x14ac:dyDescent="0.25">
      <c r="I669" s="6"/>
      <c r="M669" s="6"/>
    </row>
    <row r="670" spans="9:13" ht="15.75" customHeight="1" x14ac:dyDescent="0.25">
      <c r="I670" s="6"/>
      <c r="M670" s="6"/>
    </row>
    <row r="671" spans="9:13" ht="15.75" customHeight="1" x14ac:dyDescent="0.25">
      <c r="I671" s="6"/>
      <c r="M671" s="6"/>
    </row>
    <row r="672" spans="9:13" ht="15.75" customHeight="1" x14ac:dyDescent="0.25">
      <c r="I672" s="6"/>
      <c r="M672" s="6"/>
    </row>
    <row r="673" spans="9:13" ht="15.75" customHeight="1" x14ac:dyDescent="0.25">
      <c r="I673" s="6"/>
      <c r="M673" s="6"/>
    </row>
    <row r="674" spans="9:13" ht="15.75" customHeight="1" x14ac:dyDescent="0.25">
      <c r="I674" s="6"/>
      <c r="M674" s="6"/>
    </row>
    <row r="675" spans="9:13" ht="15.75" customHeight="1" x14ac:dyDescent="0.25">
      <c r="I675" s="6"/>
      <c r="M675" s="6"/>
    </row>
    <row r="676" spans="9:13" ht="15.75" customHeight="1" x14ac:dyDescent="0.25">
      <c r="I676" s="6"/>
      <c r="M676" s="6"/>
    </row>
    <row r="677" spans="9:13" ht="15.75" customHeight="1" x14ac:dyDescent="0.25">
      <c r="I677" s="6"/>
      <c r="M677" s="6"/>
    </row>
    <row r="678" spans="9:13" ht="15.75" customHeight="1" x14ac:dyDescent="0.25">
      <c r="I678" s="6"/>
      <c r="M678" s="6"/>
    </row>
    <row r="679" spans="9:13" ht="15.75" customHeight="1" x14ac:dyDescent="0.25">
      <c r="I679" s="6"/>
      <c r="M679" s="6"/>
    </row>
    <row r="680" spans="9:13" ht="15.75" customHeight="1" x14ac:dyDescent="0.25">
      <c r="I680" s="6"/>
      <c r="M680" s="6"/>
    </row>
    <row r="681" spans="9:13" ht="15.75" customHeight="1" x14ac:dyDescent="0.25">
      <c r="I681" s="6"/>
      <c r="M681" s="6"/>
    </row>
    <row r="682" spans="9:13" ht="15.75" customHeight="1" x14ac:dyDescent="0.25">
      <c r="I682" s="6"/>
      <c r="M682" s="6"/>
    </row>
    <row r="683" spans="9:13" ht="15.75" customHeight="1" x14ac:dyDescent="0.25">
      <c r="I683" s="6"/>
      <c r="M683" s="6"/>
    </row>
    <row r="684" spans="9:13" ht="15.75" customHeight="1" x14ac:dyDescent="0.25">
      <c r="I684" s="6"/>
      <c r="M684" s="6"/>
    </row>
    <row r="685" spans="9:13" ht="15.75" customHeight="1" x14ac:dyDescent="0.25">
      <c r="I685" s="6"/>
      <c r="M685" s="6"/>
    </row>
    <row r="686" spans="9:13" ht="15.75" customHeight="1" x14ac:dyDescent="0.25">
      <c r="I686" s="6"/>
      <c r="M686" s="6"/>
    </row>
    <row r="687" spans="9:13" ht="15.75" customHeight="1" x14ac:dyDescent="0.25">
      <c r="I687" s="6"/>
      <c r="M687" s="6"/>
    </row>
    <row r="688" spans="9:13" ht="15.75" customHeight="1" x14ac:dyDescent="0.25">
      <c r="I688" s="6"/>
      <c r="M688" s="6"/>
    </row>
    <row r="689" spans="9:13" ht="15.75" customHeight="1" x14ac:dyDescent="0.25">
      <c r="I689" s="6"/>
      <c r="M689" s="6"/>
    </row>
    <row r="690" spans="9:13" ht="15.75" customHeight="1" x14ac:dyDescent="0.25">
      <c r="I690" s="6"/>
      <c r="M690" s="6"/>
    </row>
    <row r="691" spans="9:13" ht="15.75" customHeight="1" x14ac:dyDescent="0.25">
      <c r="I691" s="6"/>
      <c r="M691" s="6"/>
    </row>
    <row r="692" spans="9:13" ht="15.75" customHeight="1" x14ac:dyDescent="0.25">
      <c r="I692" s="6"/>
      <c r="M692" s="6"/>
    </row>
    <row r="693" spans="9:13" ht="15.75" customHeight="1" x14ac:dyDescent="0.25">
      <c r="I693" s="6"/>
      <c r="M693" s="6"/>
    </row>
    <row r="694" spans="9:13" ht="15.75" customHeight="1" x14ac:dyDescent="0.25">
      <c r="I694" s="6"/>
      <c r="M694" s="6"/>
    </row>
    <row r="695" spans="9:13" ht="15.75" customHeight="1" x14ac:dyDescent="0.25">
      <c r="I695" s="6"/>
      <c r="M695" s="6"/>
    </row>
    <row r="696" spans="9:13" ht="15.75" customHeight="1" x14ac:dyDescent="0.25">
      <c r="I696" s="6"/>
      <c r="M696" s="6"/>
    </row>
    <row r="697" spans="9:13" ht="15.75" customHeight="1" x14ac:dyDescent="0.25">
      <c r="I697" s="6"/>
      <c r="M697" s="6"/>
    </row>
    <row r="698" spans="9:13" ht="15.75" customHeight="1" x14ac:dyDescent="0.25">
      <c r="I698" s="6"/>
      <c r="M698" s="6"/>
    </row>
    <row r="699" spans="9:13" ht="15.75" customHeight="1" x14ac:dyDescent="0.25">
      <c r="I699" s="6"/>
      <c r="M699" s="6"/>
    </row>
    <row r="700" spans="9:13" ht="15.75" customHeight="1" x14ac:dyDescent="0.25">
      <c r="I700" s="6"/>
      <c r="M700" s="6"/>
    </row>
    <row r="701" spans="9:13" ht="15.75" customHeight="1" x14ac:dyDescent="0.25">
      <c r="I701" s="6"/>
      <c r="M701" s="6"/>
    </row>
    <row r="702" spans="9:13" ht="15.75" customHeight="1" x14ac:dyDescent="0.25">
      <c r="I702" s="6"/>
      <c r="M702" s="6"/>
    </row>
    <row r="703" spans="9:13" ht="15.75" customHeight="1" x14ac:dyDescent="0.25">
      <c r="I703" s="6"/>
      <c r="M703" s="6"/>
    </row>
    <row r="704" spans="9:13" ht="15.75" customHeight="1" x14ac:dyDescent="0.25">
      <c r="I704" s="6"/>
      <c r="M704" s="6"/>
    </row>
    <row r="705" spans="9:13" ht="15.75" customHeight="1" x14ac:dyDescent="0.25">
      <c r="I705" s="6"/>
      <c r="M705" s="6"/>
    </row>
    <row r="706" spans="9:13" ht="15.75" customHeight="1" x14ac:dyDescent="0.25">
      <c r="I706" s="6"/>
      <c r="M706" s="6"/>
    </row>
    <row r="707" spans="9:13" ht="15.75" customHeight="1" x14ac:dyDescent="0.25">
      <c r="I707" s="6"/>
      <c r="M707" s="6"/>
    </row>
    <row r="708" spans="9:13" ht="15.75" customHeight="1" x14ac:dyDescent="0.25">
      <c r="I708" s="6"/>
      <c r="M708" s="6"/>
    </row>
    <row r="709" spans="9:13" ht="15.75" customHeight="1" x14ac:dyDescent="0.25">
      <c r="I709" s="6"/>
      <c r="M709" s="6"/>
    </row>
    <row r="710" spans="9:13" ht="15.75" customHeight="1" x14ac:dyDescent="0.25">
      <c r="I710" s="6"/>
      <c r="M710" s="6"/>
    </row>
    <row r="711" spans="9:13" ht="15.75" customHeight="1" x14ac:dyDescent="0.25">
      <c r="I711" s="6"/>
      <c r="M711" s="6"/>
    </row>
    <row r="712" spans="9:13" ht="15.75" customHeight="1" x14ac:dyDescent="0.25">
      <c r="I712" s="6"/>
      <c r="M712" s="6"/>
    </row>
    <row r="713" spans="9:13" ht="15.75" customHeight="1" x14ac:dyDescent="0.25">
      <c r="I713" s="6"/>
      <c r="M713" s="6"/>
    </row>
    <row r="714" spans="9:13" ht="15.75" customHeight="1" x14ac:dyDescent="0.25">
      <c r="I714" s="6"/>
      <c r="M714" s="6"/>
    </row>
    <row r="715" spans="9:13" ht="15.75" customHeight="1" x14ac:dyDescent="0.25">
      <c r="I715" s="6"/>
      <c r="M715" s="6"/>
    </row>
    <row r="716" spans="9:13" ht="15.75" customHeight="1" x14ac:dyDescent="0.25">
      <c r="I716" s="6"/>
      <c r="M716" s="6"/>
    </row>
    <row r="717" spans="9:13" ht="15.75" customHeight="1" x14ac:dyDescent="0.25">
      <c r="I717" s="6"/>
      <c r="M717" s="6"/>
    </row>
    <row r="718" spans="9:13" ht="15.75" customHeight="1" x14ac:dyDescent="0.25">
      <c r="I718" s="6"/>
      <c r="M718" s="6"/>
    </row>
    <row r="719" spans="9:13" ht="15.75" customHeight="1" x14ac:dyDescent="0.25">
      <c r="I719" s="6"/>
      <c r="M719" s="6"/>
    </row>
    <row r="720" spans="9:13" ht="15.75" customHeight="1" x14ac:dyDescent="0.25">
      <c r="I720" s="6"/>
      <c r="M720" s="6"/>
    </row>
    <row r="721" spans="9:13" ht="15.75" customHeight="1" x14ac:dyDescent="0.25">
      <c r="I721" s="6"/>
      <c r="M721" s="6"/>
    </row>
    <row r="722" spans="9:13" ht="15.75" customHeight="1" x14ac:dyDescent="0.25">
      <c r="I722" s="6"/>
      <c r="M722" s="6"/>
    </row>
    <row r="723" spans="9:13" ht="15.75" customHeight="1" x14ac:dyDescent="0.25">
      <c r="I723" s="6"/>
      <c r="M723" s="6"/>
    </row>
    <row r="724" spans="9:13" ht="15.75" customHeight="1" x14ac:dyDescent="0.25">
      <c r="I724" s="6"/>
      <c r="M724" s="6"/>
    </row>
    <row r="725" spans="9:13" ht="15.75" customHeight="1" x14ac:dyDescent="0.25">
      <c r="I725" s="6"/>
      <c r="M725" s="6"/>
    </row>
    <row r="726" spans="9:13" ht="15.75" customHeight="1" x14ac:dyDescent="0.25">
      <c r="I726" s="6"/>
      <c r="M726" s="6"/>
    </row>
    <row r="727" spans="9:13" ht="15.75" customHeight="1" x14ac:dyDescent="0.25">
      <c r="I727" s="6"/>
      <c r="M727" s="6"/>
    </row>
    <row r="728" spans="9:13" ht="15.75" customHeight="1" x14ac:dyDescent="0.25">
      <c r="I728" s="6"/>
      <c r="M728" s="6"/>
    </row>
    <row r="729" spans="9:13" ht="15.75" customHeight="1" x14ac:dyDescent="0.25">
      <c r="I729" s="6"/>
      <c r="M729" s="6"/>
    </row>
    <row r="730" spans="9:13" ht="15.75" customHeight="1" x14ac:dyDescent="0.25">
      <c r="I730" s="6"/>
      <c r="M730" s="6"/>
    </row>
    <row r="731" spans="9:13" ht="15.75" customHeight="1" x14ac:dyDescent="0.25">
      <c r="I731" s="6"/>
      <c r="M731" s="6"/>
    </row>
    <row r="732" spans="9:13" ht="15.75" customHeight="1" x14ac:dyDescent="0.25">
      <c r="I732" s="6"/>
      <c r="M732" s="6"/>
    </row>
    <row r="733" spans="9:13" ht="15.75" customHeight="1" x14ac:dyDescent="0.25">
      <c r="I733" s="6"/>
      <c r="M733" s="6"/>
    </row>
    <row r="734" spans="9:13" ht="15.75" customHeight="1" x14ac:dyDescent="0.25">
      <c r="I734" s="6"/>
      <c r="M734" s="6"/>
    </row>
    <row r="735" spans="9:13" ht="15.75" customHeight="1" x14ac:dyDescent="0.25">
      <c r="I735" s="6"/>
      <c r="M735" s="6"/>
    </row>
    <row r="736" spans="9:13" ht="15.75" customHeight="1" x14ac:dyDescent="0.25">
      <c r="I736" s="6"/>
      <c r="M736" s="6"/>
    </row>
    <row r="737" spans="9:13" ht="15.75" customHeight="1" x14ac:dyDescent="0.25">
      <c r="I737" s="6"/>
      <c r="M737" s="6"/>
    </row>
    <row r="738" spans="9:13" ht="15.75" customHeight="1" x14ac:dyDescent="0.25">
      <c r="I738" s="6"/>
      <c r="M738" s="6"/>
    </row>
    <row r="739" spans="9:13" ht="15.75" customHeight="1" x14ac:dyDescent="0.25">
      <c r="I739" s="6"/>
      <c r="M739" s="6"/>
    </row>
    <row r="740" spans="9:13" ht="15.75" customHeight="1" x14ac:dyDescent="0.25">
      <c r="I740" s="6"/>
      <c r="M740" s="6"/>
    </row>
    <row r="741" spans="9:13" ht="15.75" customHeight="1" x14ac:dyDescent="0.25">
      <c r="I741" s="6"/>
      <c r="M741" s="6"/>
    </row>
    <row r="742" spans="9:13" ht="15.75" customHeight="1" x14ac:dyDescent="0.25">
      <c r="I742" s="6"/>
      <c r="M742" s="6"/>
    </row>
    <row r="743" spans="9:13" ht="15.75" customHeight="1" x14ac:dyDescent="0.25">
      <c r="I743" s="6"/>
      <c r="M743" s="6"/>
    </row>
    <row r="744" spans="9:13" ht="15.75" customHeight="1" x14ac:dyDescent="0.25">
      <c r="I744" s="6"/>
      <c r="M744" s="6"/>
    </row>
    <row r="745" spans="9:13" ht="15.75" customHeight="1" x14ac:dyDescent="0.25">
      <c r="I745" s="6"/>
      <c r="M745" s="6"/>
    </row>
    <row r="746" spans="9:13" ht="15.75" customHeight="1" x14ac:dyDescent="0.25">
      <c r="I746" s="6"/>
      <c r="M746" s="6"/>
    </row>
    <row r="747" spans="9:13" ht="15.75" customHeight="1" x14ac:dyDescent="0.25">
      <c r="I747" s="6"/>
      <c r="M747" s="6"/>
    </row>
    <row r="748" spans="9:13" ht="15.75" customHeight="1" x14ac:dyDescent="0.25">
      <c r="I748" s="6"/>
      <c r="M748" s="6"/>
    </row>
    <row r="749" spans="9:13" ht="15.75" customHeight="1" x14ac:dyDescent="0.25">
      <c r="I749" s="6"/>
      <c r="M749" s="6"/>
    </row>
    <row r="750" spans="9:13" ht="15.75" customHeight="1" x14ac:dyDescent="0.25">
      <c r="I750" s="6"/>
      <c r="M750" s="6"/>
    </row>
    <row r="751" spans="9:13" ht="15.75" customHeight="1" x14ac:dyDescent="0.25">
      <c r="I751" s="6"/>
      <c r="M751" s="6"/>
    </row>
    <row r="752" spans="9:13" ht="15.75" customHeight="1" x14ac:dyDescent="0.25">
      <c r="I752" s="6"/>
      <c r="M752" s="6"/>
    </row>
    <row r="753" spans="9:13" ht="15.75" customHeight="1" x14ac:dyDescent="0.25">
      <c r="I753" s="6"/>
      <c r="M753" s="6"/>
    </row>
    <row r="754" spans="9:13" ht="15.75" customHeight="1" x14ac:dyDescent="0.25">
      <c r="I754" s="6"/>
      <c r="M754" s="6"/>
    </row>
    <row r="755" spans="9:13" ht="15.75" customHeight="1" x14ac:dyDescent="0.25">
      <c r="I755" s="6"/>
      <c r="M755" s="6"/>
    </row>
    <row r="756" spans="9:13" ht="15.75" customHeight="1" x14ac:dyDescent="0.25">
      <c r="I756" s="6"/>
      <c r="M756" s="6"/>
    </row>
    <row r="757" spans="9:13" ht="15.75" customHeight="1" x14ac:dyDescent="0.25">
      <c r="I757" s="6"/>
      <c r="M757" s="6"/>
    </row>
    <row r="758" spans="9:13" ht="15.75" customHeight="1" x14ac:dyDescent="0.25">
      <c r="I758" s="6"/>
      <c r="M758" s="6"/>
    </row>
    <row r="759" spans="9:13" ht="15.75" customHeight="1" x14ac:dyDescent="0.25">
      <c r="I759" s="6"/>
      <c r="M759" s="6"/>
    </row>
    <row r="760" spans="9:13" ht="15.75" customHeight="1" x14ac:dyDescent="0.25">
      <c r="I760" s="6"/>
      <c r="M760" s="6"/>
    </row>
    <row r="761" spans="9:13" ht="15.75" customHeight="1" x14ac:dyDescent="0.25">
      <c r="I761" s="6"/>
      <c r="M761" s="6"/>
    </row>
    <row r="762" spans="9:13" ht="15.75" customHeight="1" x14ac:dyDescent="0.25">
      <c r="I762" s="6"/>
      <c r="M762" s="6"/>
    </row>
    <row r="763" spans="9:13" ht="15.75" customHeight="1" x14ac:dyDescent="0.25">
      <c r="I763" s="6"/>
      <c r="M763" s="6"/>
    </row>
    <row r="764" spans="9:13" ht="15.75" customHeight="1" x14ac:dyDescent="0.25">
      <c r="I764" s="6"/>
      <c r="M764" s="6"/>
    </row>
    <row r="765" spans="9:13" ht="15.75" customHeight="1" x14ac:dyDescent="0.25">
      <c r="I765" s="6"/>
      <c r="M765" s="6"/>
    </row>
    <row r="766" spans="9:13" ht="15.75" customHeight="1" x14ac:dyDescent="0.25">
      <c r="I766" s="6"/>
      <c r="M766" s="6"/>
    </row>
    <row r="767" spans="9:13" ht="15.75" customHeight="1" x14ac:dyDescent="0.25">
      <c r="I767" s="6"/>
      <c r="M767" s="6"/>
    </row>
    <row r="768" spans="9:13" ht="15.75" customHeight="1" x14ac:dyDescent="0.25">
      <c r="I768" s="6"/>
      <c r="M768" s="6"/>
    </row>
    <row r="769" spans="9:13" ht="15.75" customHeight="1" x14ac:dyDescent="0.25">
      <c r="I769" s="6"/>
      <c r="M769" s="6"/>
    </row>
    <row r="770" spans="9:13" ht="15.75" customHeight="1" x14ac:dyDescent="0.25">
      <c r="I770" s="6"/>
      <c r="M770" s="6"/>
    </row>
    <row r="771" spans="9:13" ht="15.75" customHeight="1" x14ac:dyDescent="0.25">
      <c r="I771" s="6"/>
      <c r="M771" s="6"/>
    </row>
    <row r="772" spans="9:13" ht="15.75" customHeight="1" x14ac:dyDescent="0.25">
      <c r="I772" s="6"/>
      <c r="M772" s="6"/>
    </row>
    <row r="773" spans="9:13" ht="15.75" customHeight="1" x14ac:dyDescent="0.25">
      <c r="I773" s="6"/>
      <c r="M773" s="6"/>
    </row>
    <row r="774" spans="9:13" ht="15.75" customHeight="1" x14ac:dyDescent="0.25">
      <c r="I774" s="6"/>
      <c r="M774" s="6"/>
    </row>
    <row r="775" spans="9:13" ht="15.75" customHeight="1" x14ac:dyDescent="0.25">
      <c r="I775" s="6"/>
      <c r="M775" s="6"/>
    </row>
    <row r="776" spans="9:13" ht="15.75" customHeight="1" x14ac:dyDescent="0.25">
      <c r="I776" s="6"/>
      <c r="M776" s="6"/>
    </row>
    <row r="777" spans="9:13" ht="15.75" customHeight="1" x14ac:dyDescent="0.25">
      <c r="I777" s="6"/>
      <c r="M777" s="6"/>
    </row>
    <row r="778" spans="9:13" ht="15.75" customHeight="1" x14ac:dyDescent="0.25">
      <c r="I778" s="6"/>
      <c r="M778" s="6"/>
    </row>
    <row r="779" spans="9:13" ht="15.75" customHeight="1" x14ac:dyDescent="0.25">
      <c r="I779" s="6"/>
      <c r="M779" s="6"/>
    </row>
    <row r="780" spans="9:13" ht="15.75" customHeight="1" x14ac:dyDescent="0.25">
      <c r="I780" s="6"/>
      <c r="M780" s="6"/>
    </row>
    <row r="781" spans="9:13" ht="15.75" customHeight="1" x14ac:dyDescent="0.25">
      <c r="I781" s="6"/>
      <c r="M781" s="6"/>
    </row>
    <row r="782" spans="9:13" ht="15.75" customHeight="1" x14ac:dyDescent="0.25">
      <c r="I782" s="6"/>
      <c r="M782" s="6"/>
    </row>
    <row r="783" spans="9:13" ht="15.75" customHeight="1" x14ac:dyDescent="0.25">
      <c r="I783" s="6"/>
      <c r="M783" s="6"/>
    </row>
    <row r="784" spans="9:13" ht="15.75" customHeight="1" x14ac:dyDescent="0.25">
      <c r="I784" s="6"/>
      <c r="M784" s="6"/>
    </row>
    <row r="785" spans="9:13" ht="15.75" customHeight="1" x14ac:dyDescent="0.25">
      <c r="I785" s="6"/>
      <c r="M785" s="6"/>
    </row>
    <row r="786" spans="9:13" ht="15.75" customHeight="1" x14ac:dyDescent="0.25">
      <c r="I786" s="6"/>
      <c r="M786" s="6"/>
    </row>
    <row r="787" spans="9:13" ht="15.75" customHeight="1" x14ac:dyDescent="0.25">
      <c r="I787" s="6"/>
      <c r="M787" s="6"/>
    </row>
    <row r="788" spans="9:13" ht="15.75" customHeight="1" x14ac:dyDescent="0.25">
      <c r="I788" s="6"/>
      <c r="M788" s="6"/>
    </row>
    <row r="789" spans="9:13" ht="15.75" customHeight="1" x14ac:dyDescent="0.25">
      <c r="I789" s="6"/>
      <c r="M789" s="6"/>
    </row>
    <row r="790" spans="9:13" ht="15.75" customHeight="1" x14ac:dyDescent="0.25">
      <c r="I790" s="6"/>
      <c r="M790" s="6"/>
    </row>
    <row r="791" spans="9:13" ht="15.75" customHeight="1" x14ac:dyDescent="0.25">
      <c r="I791" s="6"/>
      <c r="M791" s="6"/>
    </row>
    <row r="792" spans="9:13" ht="15.75" customHeight="1" x14ac:dyDescent="0.25">
      <c r="I792" s="6"/>
      <c r="M792" s="6"/>
    </row>
    <row r="793" spans="9:13" ht="15.75" customHeight="1" x14ac:dyDescent="0.25">
      <c r="I793" s="6"/>
      <c r="M793" s="6"/>
    </row>
    <row r="794" spans="9:13" ht="15.75" customHeight="1" x14ac:dyDescent="0.25">
      <c r="I794" s="6"/>
      <c r="M794" s="6"/>
    </row>
    <row r="795" spans="9:13" ht="15.75" customHeight="1" x14ac:dyDescent="0.25">
      <c r="I795" s="6"/>
      <c r="M795" s="6"/>
    </row>
    <row r="796" spans="9:13" ht="15.75" customHeight="1" x14ac:dyDescent="0.25">
      <c r="I796" s="6"/>
      <c r="M796" s="6"/>
    </row>
    <row r="797" spans="9:13" ht="15.75" customHeight="1" x14ac:dyDescent="0.25">
      <c r="I797" s="6"/>
      <c r="M797" s="6"/>
    </row>
    <row r="798" spans="9:13" ht="15.75" customHeight="1" x14ac:dyDescent="0.25">
      <c r="I798" s="6"/>
      <c r="M798" s="6"/>
    </row>
    <row r="799" spans="9:13" ht="15.75" customHeight="1" x14ac:dyDescent="0.25">
      <c r="I799" s="6"/>
      <c r="M799" s="6"/>
    </row>
    <row r="800" spans="9:13" ht="15.75" customHeight="1" x14ac:dyDescent="0.25">
      <c r="I800" s="6"/>
      <c r="M800" s="6"/>
    </row>
    <row r="801" spans="9:13" ht="15.75" customHeight="1" x14ac:dyDescent="0.25">
      <c r="I801" s="6"/>
      <c r="M801" s="6"/>
    </row>
    <row r="802" spans="9:13" ht="15.75" customHeight="1" x14ac:dyDescent="0.25">
      <c r="I802" s="6"/>
      <c r="M802" s="6"/>
    </row>
    <row r="803" spans="9:13" ht="15.75" customHeight="1" x14ac:dyDescent="0.25">
      <c r="I803" s="6"/>
      <c r="M803" s="6"/>
    </row>
    <row r="804" spans="9:13" ht="15.75" customHeight="1" x14ac:dyDescent="0.25">
      <c r="I804" s="6"/>
      <c r="M804" s="6"/>
    </row>
    <row r="805" spans="9:13" ht="15.75" customHeight="1" x14ac:dyDescent="0.25">
      <c r="I805" s="6"/>
      <c r="M805" s="6"/>
    </row>
    <row r="806" spans="9:13" ht="15.75" customHeight="1" x14ac:dyDescent="0.25">
      <c r="I806" s="6"/>
      <c r="M806" s="6"/>
    </row>
    <row r="807" spans="9:13" ht="15.75" customHeight="1" x14ac:dyDescent="0.25">
      <c r="I807" s="6"/>
      <c r="M807" s="6"/>
    </row>
    <row r="808" spans="9:13" ht="15.75" customHeight="1" x14ac:dyDescent="0.25">
      <c r="I808" s="6"/>
      <c r="M808" s="6"/>
    </row>
    <row r="809" spans="9:13" ht="15.75" customHeight="1" x14ac:dyDescent="0.25">
      <c r="I809" s="6"/>
      <c r="M809" s="6"/>
    </row>
    <row r="810" spans="9:13" ht="15.75" customHeight="1" x14ac:dyDescent="0.25">
      <c r="I810" s="6"/>
      <c r="M810" s="6"/>
    </row>
    <row r="811" spans="9:13" ht="15.75" customHeight="1" x14ac:dyDescent="0.25">
      <c r="I811" s="6"/>
      <c r="M811" s="6"/>
    </row>
    <row r="812" spans="9:13" ht="15.75" customHeight="1" x14ac:dyDescent="0.25">
      <c r="I812" s="6"/>
      <c r="M812" s="6"/>
    </row>
    <row r="813" spans="9:13" ht="15.75" customHeight="1" x14ac:dyDescent="0.25">
      <c r="I813" s="6"/>
      <c r="M813" s="6"/>
    </row>
    <row r="814" spans="9:13" ht="15.75" customHeight="1" x14ac:dyDescent="0.25">
      <c r="I814" s="6"/>
      <c r="M814" s="6"/>
    </row>
    <row r="815" spans="9:13" ht="15.75" customHeight="1" x14ac:dyDescent="0.25">
      <c r="I815" s="6"/>
      <c r="M815" s="6"/>
    </row>
    <row r="816" spans="9:13" ht="15.75" customHeight="1" x14ac:dyDescent="0.25">
      <c r="I816" s="6"/>
      <c r="M816" s="6"/>
    </row>
    <row r="817" spans="9:13" ht="15.75" customHeight="1" x14ac:dyDescent="0.25">
      <c r="I817" s="6"/>
      <c r="M817" s="6"/>
    </row>
    <row r="818" spans="9:13" ht="15.75" customHeight="1" x14ac:dyDescent="0.25">
      <c r="I818" s="6"/>
      <c r="M818" s="6"/>
    </row>
    <row r="819" spans="9:13" ht="15.75" customHeight="1" x14ac:dyDescent="0.25">
      <c r="I819" s="6"/>
      <c r="M819" s="6"/>
    </row>
    <row r="820" spans="9:13" ht="15.75" customHeight="1" x14ac:dyDescent="0.25">
      <c r="I820" s="6"/>
      <c r="M820" s="6"/>
    </row>
    <row r="821" spans="9:13" ht="15.75" customHeight="1" x14ac:dyDescent="0.25">
      <c r="I821" s="6"/>
      <c r="M821" s="6"/>
    </row>
    <row r="822" spans="9:13" ht="15.75" customHeight="1" x14ac:dyDescent="0.25">
      <c r="I822" s="6"/>
      <c r="M822" s="6"/>
    </row>
    <row r="823" spans="9:13" ht="15.75" customHeight="1" x14ac:dyDescent="0.25">
      <c r="I823" s="6"/>
      <c r="M823" s="6"/>
    </row>
    <row r="824" spans="9:13" ht="15.75" customHeight="1" x14ac:dyDescent="0.25">
      <c r="I824" s="6"/>
      <c r="M824" s="6"/>
    </row>
    <row r="825" spans="9:13" ht="15.75" customHeight="1" x14ac:dyDescent="0.25">
      <c r="I825" s="6"/>
      <c r="M825" s="6"/>
    </row>
    <row r="826" spans="9:13" ht="15.75" customHeight="1" x14ac:dyDescent="0.25">
      <c r="I826" s="6"/>
      <c r="M826" s="6"/>
    </row>
    <row r="827" spans="9:13" ht="15.75" customHeight="1" x14ac:dyDescent="0.25">
      <c r="I827" s="6"/>
      <c r="M827" s="6"/>
    </row>
    <row r="828" spans="9:13" ht="15.75" customHeight="1" x14ac:dyDescent="0.25">
      <c r="I828" s="6"/>
      <c r="M828" s="6"/>
    </row>
    <row r="829" spans="9:13" ht="15.75" customHeight="1" x14ac:dyDescent="0.25">
      <c r="I829" s="6"/>
      <c r="M829" s="6"/>
    </row>
    <row r="830" spans="9:13" ht="15.75" customHeight="1" x14ac:dyDescent="0.25">
      <c r="I830" s="6"/>
      <c r="M830" s="6"/>
    </row>
    <row r="831" spans="9:13" ht="15.75" customHeight="1" x14ac:dyDescent="0.25">
      <c r="I831" s="6"/>
      <c r="M831" s="6"/>
    </row>
    <row r="832" spans="9:13" ht="15.75" customHeight="1" x14ac:dyDescent="0.25">
      <c r="I832" s="6"/>
      <c r="M832" s="6"/>
    </row>
    <row r="833" spans="9:13" ht="15.75" customHeight="1" x14ac:dyDescent="0.25">
      <c r="I833" s="6"/>
      <c r="M833" s="6"/>
    </row>
    <row r="834" spans="9:13" ht="15.75" customHeight="1" x14ac:dyDescent="0.25">
      <c r="I834" s="6"/>
      <c r="M834" s="6"/>
    </row>
    <row r="835" spans="9:13" ht="15.75" customHeight="1" x14ac:dyDescent="0.25">
      <c r="I835" s="6"/>
      <c r="M835" s="6"/>
    </row>
    <row r="836" spans="9:13" ht="15.75" customHeight="1" x14ac:dyDescent="0.25">
      <c r="I836" s="6"/>
      <c r="M836" s="6"/>
    </row>
    <row r="837" spans="9:13" ht="15.75" customHeight="1" x14ac:dyDescent="0.25">
      <c r="I837" s="6"/>
      <c r="M837" s="6"/>
    </row>
    <row r="838" spans="9:13" ht="15.75" customHeight="1" x14ac:dyDescent="0.25">
      <c r="I838" s="6"/>
      <c r="M838" s="6"/>
    </row>
    <row r="839" spans="9:13" ht="15.75" customHeight="1" x14ac:dyDescent="0.25">
      <c r="I839" s="6"/>
      <c r="M839" s="6"/>
    </row>
    <row r="840" spans="9:13" ht="15.75" customHeight="1" x14ac:dyDescent="0.25">
      <c r="I840" s="6"/>
      <c r="M840" s="6"/>
    </row>
    <row r="841" spans="9:13" ht="15.75" customHeight="1" x14ac:dyDescent="0.25">
      <c r="I841" s="6"/>
      <c r="M841" s="6"/>
    </row>
    <row r="842" spans="9:13" ht="15.75" customHeight="1" x14ac:dyDescent="0.25">
      <c r="I842" s="6"/>
      <c r="M842" s="6"/>
    </row>
    <row r="843" spans="9:13" ht="15.75" customHeight="1" x14ac:dyDescent="0.25">
      <c r="I843" s="6"/>
      <c r="M843" s="6"/>
    </row>
    <row r="844" spans="9:13" ht="15.75" customHeight="1" x14ac:dyDescent="0.25">
      <c r="I844" s="6"/>
      <c r="M844" s="6"/>
    </row>
    <row r="845" spans="9:13" ht="15.75" customHeight="1" x14ac:dyDescent="0.25">
      <c r="I845" s="6"/>
      <c r="M845" s="6"/>
    </row>
    <row r="846" spans="9:13" ht="15.75" customHeight="1" x14ac:dyDescent="0.25">
      <c r="I846" s="6"/>
      <c r="M846" s="6"/>
    </row>
    <row r="847" spans="9:13" ht="15.75" customHeight="1" x14ac:dyDescent="0.25">
      <c r="I847" s="6"/>
      <c r="M847" s="6"/>
    </row>
    <row r="848" spans="9:13" ht="15.75" customHeight="1" x14ac:dyDescent="0.25">
      <c r="I848" s="6"/>
      <c r="M848" s="6"/>
    </row>
    <row r="849" spans="9:13" ht="15.75" customHeight="1" x14ac:dyDescent="0.25">
      <c r="I849" s="6"/>
      <c r="M849" s="6"/>
    </row>
    <row r="850" spans="9:13" ht="15.75" customHeight="1" x14ac:dyDescent="0.25">
      <c r="I850" s="6"/>
      <c r="M850" s="6"/>
    </row>
    <row r="851" spans="9:13" ht="15.75" customHeight="1" x14ac:dyDescent="0.25">
      <c r="I851" s="6"/>
      <c r="M851" s="6"/>
    </row>
    <row r="852" spans="9:13" ht="15.75" customHeight="1" x14ac:dyDescent="0.25">
      <c r="I852" s="6"/>
      <c r="M852" s="6"/>
    </row>
    <row r="853" spans="9:13" ht="15.75" customHeight="1" x14ac:dyDescent="0.25">
      <c r="I853" s="6"/>
      <c r="M853" s="6"/>
    </row>
    <row r="854" spans="9:13" ht="15.75" customHeight="1" x14ac:dyDescent="0.25">
      <c r="I854" s="6"/>
      <c r="M854" s="6"/>
    </row>
    <row r="855" spans="9:13" ht="15.75" customHeight="1" x14ac:dyDescent="0.25">
      <c r="I855" s="6"/>
      <c r="M855" s="6"/>
    </row>
    <row r="856" spans="9:13" ht="15.75" customHeight="1" x14ac:dyDescent="0.25">
      <c r="I856" s="6"/>
      <c r="M856" s="6"/>
    </row>
    <row r="857" spans="9:13" ht="15.75" customHeight="1" x14ac:dyDescent="0.25">
      <c r="I857" s="6"/>
      <c r="M857" s="6"/>
    </row>
    <row r="858" spans="9:13" ht="15.75" customHeight="1" x14ac:dyDescent="0.25">
      <c r="I858" s="6"/>
      <c r="M858" s="6"/>
    </row>
    <row r="859" spans="9:13" ht="15.75" customHeight="1" x14ac:dyDescent="0.25">
      <c r="I859" s="6"/>
      <c r="M859" s="6"/>
    </row>
    <row r="860" spans="9:13" ht="15.75" customHeight="1" x14ac:dyDescent="0.25">
      <c r="I860" s="6"/>
      <c r="M860" s="6"/>
    </row>
    <row r="861" spans="9:13" ht="15.75" customHeight="1" x14ac:dyDescent="0.25">
      <c r="I861" s="6"/>
      <c r="M861" s="6"/>
    </row>
    <row r="862" spans="9:13" ht="15.75" customHeight="1" x14ac:dyDescent="0.25">
      <c r="I862" s="6"/>
      <c r="M862" s="6"/>
    </row>
    <row r="863" spans="9:13" ht="15.75" customHeight="1" x14ac:dyDescent="0.25">
      <c r="I863" s="6"/>
      <c r="M863" s="6"/>
    </row>
    <row r="864" spans="9:13" ht="15.75" customHeight="1" x14ac:dyDescent="0.25">
      <c r="I864" s="6"/>
      <c r="M864" s="6"/>
    </row>
    <row r="865" spans="9:13" ht="15.75" customHeight="1" x14ac:dyDescent="0.25">
      <c r="I865" s="6"/>
      <c r="M865" s="6"/>
    </row>
    <row r="866" spans="9:13" ht="15.75" customHeight="1" x14ac:dyDescent="0.25">
      <c r="I866" s="6"/>
      <c r="M866" s="6"/>
    </row>
    <row r="867" spans="9:13" ht="15.75" customHeight="1" x14ac:dyDescent="0.25">
      <c r="I867" s="6"/>
      <c r="M867" s="6"/>
    </row>
    <row r="868" spans="9:13" ht="15.75" customHeight="1" x14ac:dyDescent="0.25">
      <c r="I868" s="6"/>
      <c r="M868" s="6"/>
    </row>
    <row r="869" spans="9:13" ht="15.75" customHeight="1" x14ac:dyDescent="0.25">
      <c r="I869" s="6"/>
      <c r="M869" s="6"/>
    </row>
    <row r="870" spans="9:13" ht="15.75" customHeight="1" x14ac:dyDescent="0.25">
      <c r="I870" s="6"/>
      <c r="M870" s="6"/>
    </row>
    <row r="871" spans="9:13" ht="15.75" customHeight="1" x14ac:dyDescent="0.25">
      <c r="I871" s="6"/>
      <c r="M871" s="6"/>
    </row>
    <row r="872" spans="9:13" ht="15.75" customHeight="1" x14ac:dyDescent="0.25">
      <c r="I872" s="6"/>
      <c r="M872" s="6"/>
    </row>
    <row r="873" spans="9:13" ht="15.75" customHeight="1" x14ac:dyDescent="0.25">
      <c r="I873" s="6"/>
      <c r="M873" s="6"/>
    </row>
    <row r="874" spans="9:13" ht="15.75" customHeight="1" x14ac:dyDescent="0.25">
      <c r="I874" s="6"/>
      <c r="M874" s="6"/>
    </row>
    <row r="875" spans="9:13" ht="15.75" customHeight="1" x14ac:dyDescent="0.25">
      <c r="I875" s="6"/>
      <c r="M875" s="6"/>
    </row>
    <row r="876" spans="9:13" ht="15.75" customHeight="1" x14ac:dyDescent="0.25">
      <c r="I876" s="6"/>
      <c r="M876" s="6"/>
    </row>
    <row r="877" spans="9:13" ht="15.75" customHeight="1" x14ac:dyDescent="0.25">
      <c r="I877" s="6"/>
      <c r="M877" s="6"/>
    </row>
    <row r="878" spans="9:13" ht="15.75" customHeight="1" x14ac:dyDescent="0.25">
      <c r="I878" s="6"/>
      <c r="M878" s="6"/>
    </row>
    <row r="879" spans="9:13" ht="15.75" customHeight="1" x14ac:dyDescent="0.25">
      <c r="I879" s="6"/>
      <c r="M879" s="6"/>
    </row>
    <row r="880" spans="9:13" ht="15.75" customHeight="1" x14ac:dyDescent="0.25">
      <c r="I880" s="6"/>
      <c r="M880" s="6"/>
    </row>
    <row r="881" spans="9:13" ht="15.75" customHeight="1" x14ac:dyDescent="0.25">
      <c r="I881" s="6"/>
      <c r="M881" s="6"/>
    </row>
    <row r="882" spans="9:13" ht="15.75" customHeight="1" x14ac:dyDescent="0.25">
      <c r="I882" s="6"/>
      <c r="M882" s="6"/>
    </row>
    <row r="883" spans="9:13" ht="15.75" customHeight="1" x14ac:dyDescent="0.25">
      <c r="I883" s="6"/>
      <c r="M883" s="6"/>
    </row>
    <row r="884" spans="9:13" ht="15.75" customHeight="1" x14ac:dyDescent="0.25">
      <c r="I884" s="6"/>
      <c r="M884" s="6"/>
    </row>
    <row r="885" spans="9:13" ht="15.75" customHeight="1" x14ac:dyDescent="0.25">
      <c r="I885" s="6"/>
      <c r="M885" s="6"/>
    </row>
    <row r="886" spans="9:13" ht="15.75" customHeight="1" x14ac:dyDescent="0.25">
      <c r="I886" s="6"/>
      <c r="M886" s="6"/>
    </row>
    <row r="887" spans="9:13" ht="15.75" customHeight="1" x14ac:dyDescent="0.25">
      <c r="I887" s="6"/>
      <c r="M887" s="6"/>
    </row>
    <row r="888" spans="9:13" ht="15.75" customHeight="1" x14ac:dyDescent="0.25">
      <c r="I888" s="6"/>
      <c r="M888" s="6"/>
    </row>
    <row r="889" spans="9:13" ht="15.75" customHeight="1" x14ac:dyDescent="0.25">
      <c r="I889" s="6"/>
      <c r="M889" s="6"/>
    </row>
    <row r="890" spans="9:13" ht="15.75" customHeight="1" x14ac:dyDescent="0.25">
      <c r="I890" s="6"/>
      <c r="M890" s="6"/>
    </row>
    <row r="891" spans="9:13" ht="15.75" customHeight="1" x14ac:dyDescent="0.25">
      <c r="I891" s="6"/>
      <c r="M891" s="6"/>
    </row>
    <row r="892" spans="9:13" ht="15.75" customHeight="1" x14ac:dyDescent="0.25">
      <c r="I892" s="6"/>
      <c r="M892" s="6"/>
    </row>
    <row r="893" spans="9:13" ht="15.75" customHeight="1" x14ac:dyDescent="0.25">
      <c r="I893" s="6"/>
      <c r="M893" s="6"/>
    </row>
    <row r="894" spans="9:13" ht="15.75" customHeight="1" x14ac:dyDescent="0.25">
      <c r="I894" s="6"/>
      <c r="M894" s="6"/>
    </row>
    <row r="895" spans="9:13" ht="15.75" customHeight="1" x14ac:dyDescent="0.25">
      <c r="I895" s="6"/>
      <c r="M895" s="6"/>
    </row>
    <row r="896" spans="9:13" ht="15.75" customHeight="1" x14ac:dyDescent="0.25">
      <c r="I896" s="6"/>
      <c r="M896" s="6"/>
    </row>
    <row r="897" spans="9:13" ht="15.75" customHeight="1" x14ac:dyDescent="0.25">
      <c r="I897" s="6"/>
      <c r="M897" s="6"/>
    </row>
    <row r="898" spans="9:13" ht="15.75" customHeight="1" x14ac:dyDescent="0.25">
      <c r="I898" s="6"/>
      <c r="M898" s="6"/>
    </row>
    <row r="899" spans="9:13" ht="15.75" customHeight="1" x14ac:dyDescent="0.25">
      <c r="I899" s="6"/>
      <c r="M899" s="6"/>
    </row>
    <row r="900" spans="9:13" ht="15.75" customHeight="1" x14ac:dyDescent="0.25">
      <c r="I900" s="6"/>
      <c r="M900" s="6"/>
    </row>
    <row r="901" spans="9:13" ht="15.75" customHeight="1" x14ac:dyDescent="0.25">
      <c r="I901" s="6"/>
      <c r="M901" s="6"/>
    </row>
    <row r="902" spans="9:13" ht="15.75" customHeight="1" x14ac:dyDescent="0.25">
      <c r="I902" s="6"/>
      <c r="M902" s="6"/>
    </row>
    <row r="903" spans="9:13" ht="15.75" customHeight="1" x14ac:dyDescent="0.25">
      <c r="I903" s="6"/>
      <c r="M903" s="6"/>
    </row>
    <row r="904" spans="9:13" ht="15.75" customHeight="1" x14ac:dyDescent="0.25">
      <c r="I904" s="6"/>
      <c r="M904" s="6"/>
    </row>
    <row r="905" spans="9:13" ht="15.75" customHeight="1" x14ac:dyDescent="0.25">
      <c r="I905" s="6"/>
      <c r="M905" s="6"/>
    </row>
    <row r="906" spans="9:13" ht="15.75" customHeight="1" x14ac:dyDescent="0.25">
      <c r="I906" s="6"/>
      <c r="M906" s="6"/>
    </row>
    <row r="907" spans="9:13" ht="15.75" customHeight="1" x14ac:dyDescent="0.25">
      <c r="I907" s="6"/>
      <c r="M907" s="6"/>
    </row>
    <row r="908" spans="9:13" ht="15.75" customHeight="1" x14ac:dyDescent="0.25">
      <c r="I908" s="6"/>
      <c r="M908" s="6"/>
    </row>
    <row r="909" spans="9:13" ht="15.75" customHeight="1" x14ac:dyDescent="0.25">
      <c r="I909" s="6"/>
      <c r="M909" s="6"/>
    </row>
    <row r="910" spans="9:13" ht="15.75" customHeight="1" x14ac:dyDescent="0.25">
      <c r="I910" s="6"/>
      <c r="M910" s="6"/>
    </row>
    <row r="911" spans="9:13" ht="15.75" customHeight="1" x14ac:dyDescent="0.25">
      <c r="I911" s="6"/>
      <c r="M911" s="6"/>
    </row>
    <row r="912" spans="9:13" ht="15.75" customHeight="1" x14ac:dyDescent="0.25">
      <c r="I912" s="6"/>
      <c r="M912" s="6"/>
    </row>
    <row r="913" spans="9:13" ht="15.75" customHeight="1" x14ac:dyDescent="0.25">
      <c r="I913" s="6"/>
      <c r="M913" s="6"/>
    </row>
    <row r="914" spans="9:13" ht="15.75" customHeight="1" x14ac:dyDescent="0.25">
      <c r="I914" s="6"/>
      <c r="M914" s="6"/>
    </row>
    <row r="915" spans="9:13" ht="15.75" customHeight="1" x14ac:dyDescent="0.25">
      <c r="I915" s="6"/>
      <c r="M915" s="6"/>
    </row>
    <row r="916" spans="9:13" ht="15.75" customHeight="1" x14ac:dyDescent="0.25">
      <c r="I916" s="6"/>
      <c r="M916" s="6"/>
    </row>
    <row r="917" spans="9:13" ht="15.75" customHeight="1" x14ac:dyDescent="0.25">
      <c r="I917" s="6"/>
      <c r="M917" s="6"/>
    </row>
    <row r="918" spans="9:13" ht="15.75" customHeight="1" x14ac:dyDescent="0.25">
      <c r="I918" s="6"/>
      <c r="M918" s="6"/>
    </row>
    <row r="919" spans="9:13" ht="15.75" customHeight="1" x14ac:dyDescent="0.25">
      <c r="I919" s="6"/>
      <c r="M919" s="6"/>
    </row>
    <row r="920" spans="9:13" ht="15.75" customHeight="1" x14ac:dyDescent="0.25">
      <c r="I920" s="6"/>
      <c r="M920" s="6"/>
    </row>
    <row r="921" spans="9:13" ht="15.75" customHeight="1" x14ac:dyDescent="0.25">
      <c r="I921" s="6"/>
      <c r="M921" s="6"/>
    </row>
    <row r="922" spans="9:13" ht="15.75" customHeight="1" x14ac:dyDescent="0.25">
      <c r="I922" s="6"/>
      <c r="M922" s="6"/>
    </row>
    <row r="923" spans="9:13" ht="15.75" customHeight="1" x14ac:dyDescent="0.25">
      <c r="I923" s="6"/>
      <c r="M923" s="6"/>
    </row>
    <row r="924" spans="9:13" ht="15.75" customHeight="1" x14ac:dyDescent="0.25">
      <c r="I924" s="6"/>
      <c r="M924" s="6"/>
    </row>
    <row r="925" spans="9:13" ht="15.75" customHeight="1" x14ac:dyDescent="0.25">
      <c r="I925" s="6"/>
      <c r="M925" s="6"/>
    </row>
    <row r="926" spans="9:13" ht="15.75" customHeight="1" x14ac:dyDescent="0.25">
      <c r="I926" s="6"/>
      <c r="M926" s="6"/>
    </row>
    <row r="927" spans="9:13" ht="15.75" customHeight="1" x14ac:dyDescent="0.25">
      <c r="I927" s="6"/>
      <c r="M927" s="6"/>
    </row>
    <row r="928" spans="9:13" ht="15.75" customHeight="1" x14ac:dyDescent="0.25">
      <c r="I928" s="6"/>
      <c r="M928" s="6"/>
    </row>
    <row r="929" spans="9:13" ht="15.75" customHeight="1" x14ac:dyDescent="0.25">
      <c r="I929" s="6"/>
      <c r="M929" s="6"/>
    </row>
    <row r="930" spans="9:13" ht="15.75" customHeight="1" x14ac:dyDescent="0.25">
      <c r="I930" s="6"/>
      <c r="M930" s="6"/>
    </row>
    <row r="931" spans="9:13" ht="15.75" customHeight="1" x14ac:dyDescent="0.25">
      <c r="I931" s="6"/>
      <c r="M931" s="6"/>
    </row>
    <row r="932" spans="9:13" ht="15.75" customHeight="1" x14ac:dyDescent="0.25">
      <c r="I932" s="6"/>
      <c r="M932" s="6"/>
    </row>
    <row r="933" spans="9:13" ht="15.75" customHeight="1" x14ac:dyDescent="0.25">
      <c r="I933" s="6"/>
      <c r="M933" s="6"/>
    </row>
    <row r="934" spans="9:13" ht="15.75" customHeight="1" x14ac:dyDescent="0.25">
      <c r="I934" s="6"/>
      <c r="M934" s="6"/>
    </row>
    <row r="935" spans="9:13" ht="15.75" customHeight="1" x14ac:dyDescent="0.25">
      <c r="I935" s="6"/>
      <c r="M935" s="6"/>
    </row>
    <row r="936" spans="9:13" ht="15.75" customHeight="1" x14ac:dyDescent="0.25">
      <c r="I936" s="6"/>
      <c r="M936" s="6"/>
    </row>
    <row r="937" spans="9:13" ht="15.75" customHeight="1" x14ac:dyDescent="0.25">
      <c r="I937" s="6"/>
      <c r="M937" s="6"/>
    </row>
    <row r="938" spans="9:13" ht="15.75" customHeight="1" x14ac:dyDescent="0.25">
      <c r="I938" s="6"/>
      <c r="M938" s="6"/>
    </row>
    <row r="939" spans="9:13" ht="15.75" customHeight="1" x14ac:dyDescent="0.25">
      <c r="I939" s="6"/>
      <c r="M939" s="6"/>
    </row>
    <row r="940" spans="9:13" ht="15.75" customHeight="1" x14ac:dyDescent="0.25">
      <c r="I940" s="6"/>
      <c r="M940" s="6"/>
    </row>
    <row r="941" spans="9:13" ht="15.75" customHeight="1" x14ac:dyDescent="0.25">
      <c r="I941" s="6"/>
      <c r="M941" s="6"/>
    </row>
    <row r="942" spans="9:13" ht="15.75" customHeight="1" x14ac:dyDescent="0.25">
      <c r="I942" s="6"/>
      <c r="M942" s="6"/>
    </row>
    <row r="943" spans="9:13" ht="15.75" customHeight="1" x14ac:dyDescent="0.25">
      <c r="I943" s="6"/>
      <c r="M943" s="6"/>
    </row>
    <row r="944" spans="9:13" ht="15.75" customHeight="1" x14ac:dyDescent="0.25">
      <c r="I944" s="6"/>
      <c r="M944" s="6"/>
    </row>
    <row r="945" spans="9:13" ht="15.75" customHeight="1" x14ac:dyDescent="0.25">
      <c r="I945" s="6"/>
      <c r="M945" s="6"/>
    </row>
    <row r="946" spans="9:13" ht="15.75" customHeight="1" x14ac:dyDescent="0.25">
      <c r="I946" s="6"/>
      <c r="M946" s="6"/>
    </row>
    <row r="947" spans="9:13" ht="15.75" customHeight="1" x14ac:dyDescent="0.25">
      <c r="I947" s="6"/>
      <c r="M947" s="6"/>
    </row>
    <row r="948" spans="9:13" ht="15.75" customHeight="1" x14ac:dyDescent="0.25">
      <c r="I948" s="6"/>
      <c r="M948" s="6"/>
    </row>
    <row r="949" spans="9:13" ht="15.75" customHeight="1" x14ac:dyDescent="0.25">
      <c r="I949" s="6"/>
      <c r="M949" s="6"/>
    </row>
    <row r="950" spans="9:13" ht="15.75" customHeight="1" x14ac:dyDescent="0.25">
      <c r="I950" s="6"/>
      <c r="M950" s="6"/>
    </row>
    <row r="951" spans="9:13" ht="15.75" customHeight="1" x14ac:dyDescent="0.25">
      <c r="I951" s="6"/>
      <c r="M951" s="6"/>
    </row>
    <row r="952" spans="9:13" ht="15.75" customHeight="1" x14ac:dyDescent="0.25">
      <c r="I952" s="6"/>
      <c r="M952" s="6"/>
    </row>
    <row r="953" spans="9:13" ht="15.75" customHeight="1" x14ac:dyDescent="0.25">
      <c r="I953" s="6"/>
      <c r="M953" s="6"/>
    </row>
    <row r="954" spans="9:13" ht="15.75" customHeight="1" x14ac:dyDescent="0.25">
      <c r="I954" s="6"/>
      <c r="M954" s="6"/>
    </row>
    <row r="955" spans="9:13" ht="15.75" customHeight="1" x14ac:dyDescent="0.25">
      <c r="I955" s="6"/>
      <c r="M955" s="6"/>
    </row>
    <row r="956" spans="9:13" ht="15.75" customHeight="1" x14ac:dyDescent="0.25">
      <c r="I956" s="6"/>
      <c r="M956" s="6"/>
    </row>
    <row r="957" spans="9:13" ht="15.75" customHeight="1" x14ac:dyDescent="0.25">
      <c r="I957" s="6"/>
      <c r="M957" s="6"/>
    </row>
    <row r="958" spans="9:13" ht="15.75" customHeight="1" x14ac:dyDescent="0.25">
      <c r="I958" s="6"/>
      <c r="M958" s="6"/>
    </row>
    <row r="959" spans="9:13" ht="15.75" customHeight="1" x14ac:dyDescent="0.25">
      <c r="I959" s="6"/>
      <c r="M959" s="6"/>
    </row>
    <row r="960" spans="9:13" ht="15.75" customHeight="1" x14ac:dyDescent="0.25">
      <c r="I960" s="6"/>
      <c r="M960" s="6"/>
    </row>
    <row r="961" spans="9:13" ht="15.75" customHeight="1" x14ac:dyDescent="0.25">
      <c r="I961" s="6"/>
      <c r="M961" s="6"/>
    </row>
    <row r="962" spans="9:13" ht="15.75" customHeight="1" x14ac:dyDescent="0.25">
      <c r="I962" s="6"/>
      <c r="M962" s="6"/>
    </row>
    <row r="963" spans="9:13" ht="15.75" customHeight="1" x14ac:dyDescent="0.25">
      <c r="I963" s="6"/>
      <c r="M963" s="6"/>
    </row>
    <row r="964" spans="9:13" ht="15.75" customHeight="1" x14ac:dyDescent="0.25">
      <c r="I964" s="6"/>
      <c r="M964" s="6"/>
    </row>
    <row r="965" spans="9:13" ht="15.75" customHeight="1" x14ac:dyDescent="0.25">
      <c r="I965" s="6"/>
      <c r="M965" s="6"/>
    </row>
    <row r="966" spans="9:13" ht="15.75" customHeight="1" x14ac:dyDescent="0.25">
      <c r="I966" s="6"/>
      <c r="M966" s="6"/>
    </row>
    <row r="967" spans="9:13" ht="15.75" customHeight="1" x14ac:dyDescent="0.25">
      <c r="I967" s="6"/>
      <c r="M967" s="6"/>
    </row>
    <row r="968" spans="9:13" ht="15.75" customHeight="1" x14ac:dyDescent="0.25">
      <c r="I968" s="6"/>
      <c r="M968" s="6"/>
    </row>
    <row r="969" spans="9:13" ht="15.75" customHeight="1" x14ac:dyDescent="0.25">
      <c r="I969" s="6"/>
      <c r="M969" s="6"/>
    </row>
    <row r="970" spans="9:13" ht="15.75" customHeight="1" x14ac:dyDescent="0.25">
      <c r="I970" s="6"/>
      <c r="M970" s="6"/>
    </row>
    <row r="971" spans="9:13" ht="15.75" customHeight="1" x14ac:dyDescent="0.25">
      <c r="I971" s="6"/>
      <c r="M971" s="6"/>
    </row>
    <row r="972" spans="9:13" ht="15.75" customHeight="1" x14ac:dyDescent="0.25">
      <c r="I972" s="6"/>
      <c r="M972" s="6"/>
    </row>
    <row r="973" spans="9:13" ht="15.75" customHeight="1" x14ac:dyDescent="0.25">
      <c r="I973" s="6"/>
      <c r="M973" s="6"/>
    </row>
    <row r="974" spans="9:13" ht="15.75" customHeight="1" x14ac:dyDescent="0.25">
      <c r="I974" s="6"/>
      <c r="M974" s="6"/>
    </row>
    <row r="975" spans="9:13" ht="15.75" customHeight="1" x14ac:dyDescent="0.25">
      <c r="I975" s="6"/>
      <c r="M975" s="6"/>
    </row>
    <row r="976" spans="9:13" ht="15.75" customHeight="1" x14ac:dyDescent="0.25">
      <c r="I976" s="6"/>
      <c r="M976" s="6"/>
    </row>
    <row r="977" spans="9:13" ht="15.75" customHeight="1" x14ac:dyDescent="0.25">
      <c r="I977" s="6"/>
      <c r="M977" s="6"/>
    </row>
    <row r="978" spans="9:13" ht="15.75" customHeight="1" x14ac:dyDescent="0.25">
      <c r="I978" s="6"/>
      <c r="M978" s="6"/>
    </row>
    <row r="979" spans="9:13" ht="15.75" customHeight="1" x14ac:dyDescent="0.25">
      <c r="I979" s="6"/>
      <c r="M979" s="6"/>
    </row>
    <row r="980" spans="9:13" ht="15.75" customHeight="1" x14ac:dyDescent="0.25">
      <c r="I980" s="6"/>
      <c r="M980" s="6"/>
    </row>
    <row r="981" spans="9:13" ht="15.75" customHeight="1" x14ac:dyDescent="0.25">
      <c r="I981" s="6"/>
      <c r="M981" s="6"/>
    </row>
    <row r="982" spans="9:13" ht="15.75" customHeight="1" x14ac:dyDescent="0.25">
      <c r="I982" s="6"/>
      <c r="M982" s="6"/>
    </row>
    <row r="983" spans="9:13" ht="15.75" customHeight="1" x14ac:dyDescent="0.25">
      <c r="I983" s="6"/>
      <c r="M983" s="6"/>
    </row>
    <row r="984" spans="9:13" ht="15.75" customHeight="1" x14ac:dyDescent="0.25">
      <c r="I984" s="6"/>
      <c r="M984" s="6"/>
    </row>
    <row r="985" spans="9:13" ht="15.75" customHeight="1" x14ac:dyDescent="0.25">
      <c r="I985" s="6"/>
      <c r="M985" s="6"/>
    </row>
    <row r="986" spans="9:13" ht="15.75" customHeight="1" x14ac:dyDescent="0.25">
      <c r="I986" s="6"/>
      <c r="M986" s="6"/>
    </row>
    <row r="987" spans="9:13" ht="15.75" customHeight="1" x14ac:dyDescent="0.25">
      <c r="I987" s="6"/>
      <c r="M987" s="6"/>
    </row>
    <row r="988" spans="9:13" ht="15.75" customHeight="1" x14ac:dyDescent="0.25">
      <c r="I988" s="6"/>
      <c r="M988" s="6"/>
    </row>
    <row r="989" spans="9:13" ht="15.75" customHeight="1" x14ac:dyDescent="0.25">
      <c r="I989" s="6"/>
      <c r="M989" s="6"/>
    </row>
    <row r="990" spans="9:13" ht="15.75" customHeight="1" x14ac:dyDescent="0.25">
      <c r="I990" s="6"/>
      <c r="M990" s="6"/>
    </row>
    <row r="991" spans="9:13" ht="15.75" customHeight="1" x14ac:dyDescent="0.25">
      <c r="I991" s="6"/>
      <c r="M991" s="6"/>
    </row>
    <row r="992" spans="9:13" ht="15.75" customHeight="1" x14ac:dyDescent="0.25">
      <c r="I992" s="6"/>
      <c r="M992" s="6"/>
    </row>
    <row r="993" spans="9:13" ht="15.75" customHeight="1" x14ac:dyDescent="0.25">
      <c r="I993" s="6"/>
      <c r="M993" s="6"/>
    </row>
    <row r="994" spans="9:13" ht="15.75" customHeight="1" x14ac:dyDescent="0.25">
      <c r="I994" s="6"/>
      <c r="M994" s="6"/>
    </row>
    <row r="995" spans="9:13" ht="15.75" customHeight="1" x14ac:dyDescent="0.25">
      <c r="I995" s="6"/>
      <c r="M995" s="6"/>
    </row>
    <row r="996" spans="9:13" ht="15.75" customHeight="1" x14ac:dyDescent="0.25">
      <c r="I996" s="6"/>
      <c r="M996" s="6"/>
    </row>
    <row r="997" spans="9:13" ht="15.75" customHeight="1" x14ac:dyDescent="0.25">
      <c r="I997" s="6"/>
      <c r="M997" s="6"/>
    </row>
    <row r="998" spans="9:13" ht="15.75" customHeight="1" x14ac:dyDescent="0.25">
      <c r="I998" s="6"/>
      <c r="M998" s="6"/>
    </row>
    <row r="999" spans="9:13" ht="15.75" customHeight="1" x14ac:dyDescent="0.25">
      <c r="I999" s="6"/>
      <c r="M999" s="6"/>
    </row>
    <row r="1000" spans="9:13" ht="15.75" customHeight="1" x14ac:dyDescent="0.25">
      <c r="I1000" s="6"/>
      <c r="M1000" s="6"/>
    </row>
  </sheetData>
  <autoFilter ref="A3:M511" xr:uid="{00000000-0009-0000-0000-000002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O1000"/>
  <sheetViews>
    <sheetView tabSelected="1" topLeftCell="A491" workbookViewId="0">
      <selection activeCell="E11" sqref="E11"/>
    </sheetView>
  </sheetViews>
  <sheetFormatPr baseColWidth="10" defaultColWidth="12.5703125" defaultRowHeight="15" customHeight="1" x14ac:dyDescent="0.25"/>
  <cols>
    <col min="1" max="1" width="23.7109375" customWidth="1"/>
    <col min="2" max="2" width="53.42578125" customWidth="1"/>
    <col min="3" max="3" width="13.85546875" customWidth="1"/>
    <col min="4" max="4" width="17.28515625" customWidth="1"/>
    <col min="5" max="5" width="23.7109375" customWidth="1"/>
    <col min="6" max="8" width="13.85546875" customWidth="1"/>
    <col min="9" max="9" width="16.28515625" customWidth="1"/>
    <col min="10" max="12" width="13.85546875" customWidth="1"/>
    <col min="13" max="13" width="19.85546875" customWidth="1"/>
    <col min="14" max="28" width="10.5703125" customWidth="1"/>
  </cols>
  <sheetData>
    <row r="1" spans="1:13" x14ac:dyDescent="0.25">
      <c r="I1" s="6"/>
      <c r="M1" s="6"/>
    </row>
    <row r="2" spans="1:13" x14ac:dyDescent="0.25">
      <c r="I2" s="6"/>
      <c r="M2" s="6"/>
    </row>
    <row r="3" spans="1:13" ht="35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81</v>
      </c>
      <c r="G3" s="1" t="s">
        <v>6</v>
      </c>
      <c r="H3" s="15" t="s">
        <v>100</v>
      </c>
      <c r="I3" s="2" t="s">
        <v>7</v>
      </c>
      <c r="J3" s="1" t="s">
        <v>8</v>
      </c>
      <c r="K3" s="1" t="s">
        <v>6</v>
      </c>
      <c r="L3" s="15" t="s">
        <v>101</v>
      </c>
      <c r="M3" s="2" t="s">
        <v>9</v>
      </c>
    </row>
    <row r="4" spans="1:13" x14ac:dyDescent="0.25">
      <c r="A4" s="9" t="s">
        <v>15</v>
      </c>
      <c r="B4" s="9" t="s">
        <v>63</v>
      </c>
      <c r="C4" s="10" t="s">
        <v>17</v>
      </c>
      <c r="D4" s="9" t="s">
        <v>13</v>
      </c>
      <c r="E4" s="9" t="s">
        <v>47</v>
      </c>
      <c r="F4" s="10">
        <v>162</v>
      </c>
      <c r="G4" s="11">
        <v>43851</v>
      </c>
      <c r="H4" s="14">
        <f t="shared" ref="H4:H67" si="0">YEAR(G4)</f>
        <v>2020</v>
      </c>
      <c r="I4" s="12">
        <f>10.85*49679</f>
        <v>539017.15</v>
      </c>
      <c r="J4" s="10">
        <v>845</v>
      </c>
      <c r="K4" s="11">
        <v>44636</v>
      </c>
      <c r="L4" s="14">
        <f t="shared" ref="L4:L67" si="1">YEAR(K4)</f>
        <v>2022</v>
      </c>
      <c r="M4" s="12">
        <f>10.85*59537</f>
        <v>645976.44999999995</v>
      </c>
    </row>
    <row r="5" spans="1:13" x14ac:dyDescent="0.25">
      <c r="A5" s="9" t="s">
        <v>10</v>
      </c>
      <c r="B5" s="9" t="s">
        <v>63</v>
      </c>
      <c r="C5" s="10" t="s">
        <v>17</v>
      </c>
      <c r="D5" s="9" t="s">
        <v>13</v>
      </c>
      <c r="E5" s="9" t="s">
        <v>19</v>
      </c>
      <c r="F5" s="10">
        <v>2100</v>
      </c>
      <c r="G5" s="11">
        <v>44057</v>
      </c>
      <c r="H5" s="14">
        <f t="shared" si="0"/>
        <v>2020</v>
      </c>
      <c r="I5" s="12">
        <v>266027</v>
      </c>
      <c r="J5" s="10">
        <v>2917</v>
      </c>
      <c r="K5" s="11">
        <v>44834</v>
      </c>
      <c r="L5" s="14">
        <f t="shared" si="1"/>
        <v>2022</v>
      </c>
      <c r="M5" s="12">
        <v>0</v>
      </c>
    </row>
    <row r="6" spans="1:13" x14ac:dyDescent="0.25">
      <c r="A6" s="9" t="s">
        <v>15</v>
      </c>
      <c r="B6" s="9" t="s">
        <v>20</v>
      </c>
      <c r="C6" s="10" t="s">
        <v>21</v>
      </c>
      <c r="D6" s="9" t="s">
        <v>13</v>
      </c>
      <c r="E6" s="9" t="s">
        <v>47</v>
      </c>
      <c r="F6" s="10">
        <v>70</v>
      </c>
      <c r="G6" s="11">
        <v>44207</v>
      </c>
      <c r="H6" s="14">
        <f t="shared" si="0"/>
        <v>2021</v>
      </c>
      <c r="I6" s="12">
        <f>3067.05*50978</f>
        <v>156352074.90000001</v>
      </c>
      <c r="J6" s="10">
        <v>2220</v>
      </c>
      <c r="K6" s="11">
        <v>44768</v>
      </c>
      <c r="L6" s="14">
        <f t="shared" si="1"/>
        <v>2022</v>
      </c>
      <c r="M6" s="12">
        <v>178649540</v>
      </c>
    </row>
    <row r="7" spans="1:13" x14ac:dyDescent="0.25">
      <c r="A7" s="9" t="s">
        <v>15</v>
      </c>
      <c r="B7" s="9" t="s">
        <v>20</v>
      </c>
      <c r="C7" s="10" t="s">
        <v>21</v>
      </c>
      <c r="D7" s="9" t="s">
        <v>13</v>
      </c>
      <c r="E7" s="9" t="s">
        <v>47</v>
      </c>
      <c r="F7" s="10">
        <v>69</v>
      </c>
      <c r="G7" s="11">
        <v>44207</v>
      </c>
      <c r="H7" s="14">
        <f t="shared" si="0"/>
        <v>2021</v>
      </c>
      <c r="I7" s="12">
        <v>162258541</v>
      </c>
      <c r="J7" s="10">
        <v>2214</v>
      </c>
      <c r="K7" s="11">
        <v>44768</v>
      </c>
      <c r="L7" s="14">
        <f t="shared" si="1"/>
        <v>2022</v>
      </c>
      <c r="M7" s="12">
        <v>162258541</v>
      </c>
    </row>
    <row r="8" spans="1:13" x14ac:dyDescent="0.25">
      <c r="A8" s="9" t="s">
        <v>15</v>
      </c>
      <c r="B8" s="9" t="s">
        <v>20</v>
      </c>
      <c r="C8" s="10" t="s">
        <v>21</v>
      </c>
      <c r="D8" s="9" t="s">
        <v>22</v>
      </c>
      <c r="E8" s="9" t="s">
        <v>47</v>
      </c>
      <c r="F8" s="10">
        <v>115</v>
      </c>
      <c r="G8" s="11">
        <v>44210</v>
      </c>
      <c r="H8" s="14">
        <f t="shared" si="0"/>
        <v>2021</v>
      </c>
      <c r="I8" s="12">
        <f>773.15*50978</f>
        <v>39413640.699999996</v>
      </c>
      <c r="J8" s="10">
        <v>2808</v>
      </c>
      <c r="K8" s="11">
        <v>44830</v>
      </c>
      <c r="L8" s="14">
        <f t="shared" si="1"/>
        <v>2022</v>
      </c>
      <c r="M8" s="12">
        <v>41466207</v>
      </c>
    </row>
    <row r="9" spans="1:13" x14ac:dyDescent="0.25">
      <c r="A9" s="9" t="s">
        <v>15</v>
      </c>
      <c r="B9" s="9" t="s">
        <v>20</v>
      </c>
      <c r="C9" s="10" t="s">
        <v>21</v>
      </c>
      <c r="D9" s="9" t="s">
        <v>13</v>
      </c>
      <c r="E9" s="9" t="s">
        <v>47</v>
      </c>
      <c r="F9" s="10">
        <v>166</v>
      </c>
      <c r="G9" s="11">
        <v>44211</v>
      </c>
      <c r="H9" s="14">
        <f t="shared" si="0"/>
        <v>2021</v>
      </c>
      <c r="I9" s="12">
        <f>2556.75*50978</f>
        <v>130338001.5</v>
      </c>
      <c r="J9" s="10">
        <v>2805</v>
      </c>
      <c r="K9" s="11">
        <v>44830</v>
      </c>
      <c r="L9" s="14">
        <f t="shared" si="1"/>
        <v>2022</v>
      </c>
      <c r="M9" s="12">
        <v>124607192</v>
      </c>
    </row>
    <row r="10" spans="1:13" x14ac:dyDescent="0.25">
      <c r="A10" s="9" t="s">
        <v>15</v>
      </c>
      <c r="B10" s="9" t="s">
        <v>20</v>
      </c>
      <c r="C10" s="10" t="s">
        <v>21</v>
      </c>
      <c r="D10" s="9" t="s">
        <v>13</v>
      </c>
      <c r="E10" s="9" t="s">
        <v>47</v>
      </c>
      <c r="F10" s="10">
        <v>167</v>
      </c>
      <c r="G10" s="11">
        <v>44211</v>
      </c>
      <c r="H10" s="14">
        <f t="shared" si="0"/>
        <v>2021</v>
      </c>
      <c r="I10" s="12">
        <f>2830.8*50978</f>
        <v>144308522.40000001</v>
      </c>
      <c r="J10" s="10">
        <v>2806</v>
      </c>
      <c r="K10" s="11">
        <v>44830</v>
      </c>
      <c r="L10" s="14">
        <f t="shared" si="1"/>
        <v>2022</v>
      </c>
      <c r="M10" s="12">
        <v>145340294</v>
      </c>
    </row>
    <row r="11" spans="1:13" x14ac:dyDescent="0.25">
      <c r="A11" s="9" t="s">
        <v>15</v>
      </c>
      <c r="B11" s="9" t="s">
        <v>20</v>
      </c>
      <c r="C11" s="10" t="s">
        <v>21</v>
      </c>
      <c r="D11" s="9" t="s">
        <v>22</v>
      </c>
      <c r="E11" s="9" t="s">
        <v>47</v>
      </c>
      <c r="F11" s="10">
        <v>169</v>
      </c>
      <c r="G11" s="11">
        <v>44211</v>
      </c>
      <c r="H11" s="14">
        <f t="shared" si="0"/>
        <v>2021</v>
      </c>
      <c r="I11" s="12">
        <f>1810.2*50978</f>
        <v>92280375.600000009</v>
      </c>
      <c r="J11" s="10">
        <v>2215</v>
      </c>
      <c r="K11" s="11">
        <v>44768</v>
      </c>
      <c r="L11" s="14">
        <f t="shared" si="1"/>
        <v>2022</v>
      </c>
      <c r="M11" s="12">
        <v>105440541</v>
      </c>
    </row>
    <row r="12" spans="1:13" x14ac:dyDescent="0.25">
      <c r="A12" s="9" t="s">
        <v>15</v>
      </c>
      <c r="B12" s="9" t="s">
        <v>20</v>
      </c>
      <c r="C12" s="10" t="s">
        <v>21</v>
      </c>
      <c r="D12" s="9" t="s">
        <v>22</v>
      </c>
      <c r="E12" s="9" t="s">
        <v>47</v>
      </c>
      <c r="F12" s="10">
        <v>170</v>
      </c>
      <c r="G12" s="11">
        <v>44211</v>
      </c>
      <c r="H12" s="14">
        <f t="shared" si="0"/>
        <v>2021</v>
      </c>
      <c r="I12" s="12">
        <f>5203.8*50978</f>
        <v>265279316.40000001</v>
      </c>
      <c r="J12" s="10">
        <v>2804</v>
      </c>
      <c r="K12" s="11">
        <v>44830</v>
      </c>
      <c r="L12" s="14">
        <f t="shared" si="1"/>
        <v>2022</v>
      </c>
      <c r="M12" s="12">
        <v>287697872</v>
      </c>
    </row>
    <row r="13" spans="1:13" x14ac:dyDescent="0.25">
      <c r="A13" s="9" t="s">
        <v>15</v>
      </c>
      <c r="B13" s="9" t="s">
        <v>20</v>
      </c>
      <c r="C13" s="10" t="s">
        <v>21</v>
      </c>
      <c r="D13" s="9" t="s">
        <v>13</v>
      </c>
      <c r="E13" s="9" t="s">
        <v>47</v>
      </c>
      <c r="F13" s="10">
        <v>171</v>
      </c>
      <c r="G13" s="11">
        <v>44211</v>
      </c>
      <c r="H13" s="14">
        <f t="shared" si="0"/>
        <v>2021</v>
      </c>
      <c r="I13" s="12">
        <f>547.05*50978</f>
        <v>27887514.899999999</v>
      </c>
      <c r="J13" s="10">
        <v>2366</v>
      </c>
      <c r="K13" s="11">
        <v>44771</v>
      </c>
      <c r="L13" s="14">
        <f t="shared" si="1"/>
        <v>2022</v>
      </c>
      <c r="M13" s="12">
        <v>31864569</v>
      </c>
    </row>
    <row r="14" spans="1:13" x14ac:dyDescent="0.25">
      <c r="A14" s="9" t="s">
        <v>15</v>
      </c>
      <c r="B14" s="9" t="s">
        <v>20</v>
      </c>
      <c r="C14" s="10" t="s">
        <v>21</v>
      </c>
      <c r="D14" s="9" t="s">
        <v>22</v>
      </c>
      <c r="E14" s="9" t="s">
        <v>47</v>
      </c>
      <c r="F14" s="10">
        <v>172</v>
      </c>
      <c r="G14" s="11">
        <v>44211</v>
      </c>
      <c r="H14" s="14">
        <f t="shared" si="0"/>
        <v>2021</v>
      </c>
      <c r="I14" s="12">
        <f>817.6*50978</f>
        <v>41679612.800000004</v>
      </c>
      <c r="J14" s="10">
        <v>2807</v>
      </c>
      <c r="K14" s="11">
        <v>44830</v>
      </c>
      <c r="L14" s="14">
        <f t="shared" si="1"/>
        <v>2022</v>
      </c>
      <c r="M14" s="12">
        <v>45283266</v>
      </c>
    </row>
    <row r="15" spans="1:13" x14ac:dyDescent="0.25">
      <c r="A15" s="9" t="s">
        <v>15</v>
      </c>
      <c r="B15" s="9" t="s">
        <v>20</v>
      </c>
      <c r="C15" s="10" t="s">
        <v>21</v>
      </c>
      <c r="D15" s="9" t="s">
        <v>22</v>
      </c>
      <c r="E15" s="9" t="s">
        <v>14</v>
      </c>
      <c r="F15" s="10">
        <v>214</v>
      </c>
      <c r="G15" s="11">
        <v>44215</v>
      </c>
      <c r="H15" s="14">
        <f t="shared" si="0"/>
        <v>2021</v>
      </c>
      <c r="I15" s="12">
        <f>3229.1*50978</f>
        <v>164613059.79999998</v>
      </c>
      <c r="J15" s="10">
        <v>2368</v>
      </c>
      <c r="K15" s="11">
        <v>44771</v>
      </c>
      <c r="L15" s="14">
        <f t="shared" si="1"/>
        <v>2022</v>
      </c>
      <c r="M15" s="12">
        <v>188088632</v>
      </c>
    </row>
    <row r="16" spans="1:13" x14ac:dyDescent="0.25">
      <c r="A16" s="9" t="s">
        <v>15</v>
      </c>
      <c r="B16" s="9" t="s">
        <v>20</v>
      </c>
      <c r="C16" s="10" t="s">
        <v>21</v>
      </c>
      <c r="D16" s="9" t="s">
        <v>13</v>
      </c>
      <c r="E16" s="9" t="s">
        <v>14</v>
      </c>
      <c r="F16" s="10">
        <v>215</v>
      </c>
      <c r="G16" s="11">
        <v>44215</v>
      </c>
      <c r="H16" s="14">
        <f t="shared" si="0"/>
        <v>2021</v>
      </c>
      <c r="I16" s="12">
        <f>547.4*50978</f>
        <v>27905357.199999999</v>
      </c>
      <c r="J16" s="10">
        <v>2369</v>
      </c>
      <c r="K16" s="11">
        <v>44771</v>
      </c>
      <c r="L16" s="14">
        <f t="shared" si="1"/>
        <v>2022</v>
      </c>
      <c r="M16" s="12">
        <v>31884956</v>
      </c>
    </row>
    <row r="17" spans="1:13" x14ac:dyDescent="0.25">
      <c r="A17" s="9" t="s">
        <v>15</v>
      </c>
      <c r="B17" s="9" t="s">
        <v>20</v>
      </c>
      <c r="C17" s="10" t="s">
        <v>21</v>
      </c>
      <c r="D17" s="9" t="s">
        <v>22</v>
      </c>
      <c r="E17" s="9" t="s">
        <v>14</v>
      </c>
      <c r="F17" s="10">
        <v>217</v>
      </c>
      <c r="G17" s="11">
        <v>44215</v>
      </c>
      <c r="H17" s="14">
        <f t="shared" si="0"/>
        <v>2021</v>
      </c>
      <c r="I17" s="12">
        <f>1327.2*50978</f>
        <v>67658001.600000009</v>
      </c>
      <c r="J17" s="10">
        <v>2833</v>
      </c>
      <c r="K17" s="11">
        <v>44831</v>
      </c>
      <c r="L17" s="14">
        <f t="shared" si="1"/>
        <v>2022</v>
      </c>
      <c r="M17" s="12">
        <v>71522952</v>
      </c>
    </row>
    <row r="18" spans="1:13" x14ac:dyDescent="0.25">
      <c r="A18" s="9" t="s">
        <v>15</v>
      </c>
      <c r="B18" s="9" t="s">
        <v>20</v>
      </c>
      <c r="C18" s="10" t="s">
        <v>21</v>
      </c>
      <c r="D18" s="9" t="s">
        <v>13</v>
      </c>
      <c r="E18" s="9" t="s">
        <v>14</v>
      </c>
      <c r="F18" s="10">
        <v>219</v>
      </c>
      <c r="G18" s="11">
        <v>44215</v>
      </c>
      <c r="H18" s="14">
        <f t="shared" si="0"/>
        <v>2021</v>
      </c>
      <c r="I18" s="12">
        <f>238*50978</f>
        <v>12132764</v>
      </c>
      <c r="J18" s="10">
        <v>2370</v>
      </c>
      <c r="K18" s="11">
        <v>44771</v>
      </c>
      <c r="L18" s="14">
        <f t="shared" si="1"/>
        <v>2022</v>
      </c>
      <c r="M18" s="12">
        <v>13863025</v>
      </c>
    </row>
    <row r="19" spans="1:13" x14ac:dyDescent="0.25">
      <c r="A19" s="9" t="s">
        <v>15</v>
      </c>
      <c r="B19" s="9" t="s">
        <v>20</v>
      </c>
      <c r="C19" s="10" t="s">
        <v>21</v>
      </c>
      <c r="D19" s="9" t="s">
        <v>13</v>
      </c>
      <c r="E19" s="9" t="s">
        <v>14</v>
      </c>
      <c r="F19" s="10">
        <v>1104</v>
      </c>
      <c r="G19" s="11">
        <v>44302</v>
      </c>
      <c r="H19" s="14">
        <f t="shared" si="0"/>
        <v>2021</v>
      </c>
      <c r="I19" s="12">
        <f>89.95*50978</f>
        <v>4585471.1000000006</v>
      </c>
      <c r="J19" s="10">
        <v>3438</v>
      </c>
      <c r="K19" s="11">
        <v>44886</v>
      </c>
      <c r="L19" s="14">
        <f t="shared" si="1"/>
        <v>2022</v>
      </c>
      <c r="M19" s="12">
        <v>5473728</v>
      </c>
    </row>
    <row r="20" spans="1:13" x14ac:dyDescent="0.25">
      <c r="A20" s="9" t="s">
        <v>15</v>
      </c>
      <c r="B20" s="9" t="s">
        <v>20</v>
      </c>
      <c r="C20" s="10" t="s">
        <v>21</v>
      </c>
      <c r="D20" s="9" t="s">
        <v>22</v>
      </c>
      <c r="E20" s="9" t="s">
        <v>14</v>
      </c>
      <c r="F20" s="10">
        <v>1105</v>
      </c>
      <c r="G20" s="11">
        <v>44302</v>
      </c>
      <c r="H20" s="14">
        <f t="shared" si="0"/>
        <v>2021</v>
      </c>
      <c r="I20" s="12">
        <f>549.85*50978</f>
        <v>28030253.300000001</v>
      </c>
      <c r="J20" s="10">
        <v>2936</v>
      </c>
      <c r="K20" s="11">
        <v>44834</v>
      </c>
      <c r="L20" s="14">
        <f t="shared" si="1"/>
        <v>2022</v>
      </c>
      <c r="M20" s="12">
        <v>32142570</v>
      </c>
    </row>
    <row r="21" spans="1:13" ht="15.75" customHeight="1" x14ac:dyDescent="0.25">
      <c r="A21" s="9" t="s">
        <v>15</v>
      </c>
      <c r="B21" s="9" t="s">
        <v>20</v>
      </c>
      <c r="C21" s="10" t="s">
        <v>21</v>
      </c>
      <c r="D21" s="9" t="s">
        <v>22</v>
      </c>
      <c r="E21" s="9" t="s">
        <v>14</v>
      </c>
      <c r="F21" s="10">
        <v>1106</v>
      </c>
      <c r="G21" s="11">
        <v>44302</v>
      </c>
      <c r="H21" s="14">
        <f t="shared" si="0"/>
        <v>2021</v>
      </c>
      <c r="I21" s="12">
        <f>558.95*50978</f>
        <v>28494153.100000001</v>
      </c>
      <c r="J21" s="10">
        <v>2906</v>
      </c>
      <c r="K21" s="11">
        <v>44834</v>
      </c>
      <c r="L21" s="14">
        <f t="shared" si="1"/>
        <v>2022</v>
      </c>
      <c r="M21" s="12">
        <v>32997754</v>
      </c>
    </row>
    <row r="22" spans="1:13" ht="15.75" customHeight="1" x14ac:dyDescent="0.25">
      <c r="A22" s="9" t="s">
        <v>15</v>
      </c>
      <c r="B22" s="9" t="s">
        <v>20</v>
      </c>
      <c r="C22" s="10" t="s">
        <v>21</v>
      </c>
      <c r="D22" s="9" t="s">
        <v>22</v>
      </c>
      <c r="E22" s="9" t="s">
        <v>14</v>
      </c>
      <c r="F22" s="10">
        <v>1107</v>
      </c>
      <c r="G22" s="11">
        <v>44302</v>
      </c>
      <c r="H22" s="14">
        <f t="shared" si="0"/>
        <v>2021</v>
      </c>
      <c r="I22" s="12">
        <f>612.85*50978</f>
        <v>31241867.300000001</v>
      </c>
      <c r="J22" s="10">
        <v>2935</v>
      </c>
      <c r="K22" s="11">
        <v>44834</v>
      </c>
      <c r="L22" s="14">
        <f t="shared" si="1"/>
        <v>2022</v>
      </c>
      <c r="M22" s="12">
        <v>35897055</v>
      </c>
    </row>
    <row r="23" spans="1:13" ht="15.75" customHeight="1" x14ac:dyDescent="0.25">
      <c r="A23" s="9" t="s">
        <v>15</v>
      </c>
      <c r="B23" s="9" t="s">
        <v>20</v>
      </c>
      <c r="C23" s="10" t="s">
        <v>21</v>
      </c>
      <c r="D23" s="9" t="s">
        <v>22</v>
      </c>
      <c r="E23" s="9" t="s">
        <v>14</v>
      </c>
      <c r="F23" s="10">
        <v>1108</v>
      </c>
      <c r="G23" s="11">
        <v>44302</v>
      </c>
      <c r="H23" s="14">
        <f t="shared" si="0"/>
        <v>2021</v>
      </c>
      <c r="I23" s="12">
        <f>739.9*50978</f>
        <v>37718622.199999996</v>
      </c>
      <c r="J23" s="10">
        <v>2907</v>
      </c>
      <c r="K23" s="11">
        <v>44834</v>
      </c>
      <c r="L23" s="14">
        <f t="shared" si="1"/>
        <v>2022</v>
      </c>
      <c r="M23" s="12">
        <v>41904228</v>
      </c>
    </row>
    <row r="24" spans="1:13" ht="15.75" customHeight="1" x14ac:dyDescent="0.25">
      <c r="A24" s="9" t="s">
        <v>15</v>
      </c>
      <c r="B24" s="9" t="s">
        <v>20</v>
      </c>
      <c r="C24" s="10" t="s">
        <v>21</v>
      </c>
      <c r="D24" s="9" t="s">
        <v>13</v>
      </c>
      <c r="E24" s="9" t="s">
        <v>14</v>
      </c>
      <c r="F24" s="10">
        <v>1109</v>
      </c>
      <c r="G24" s="11">
        <v>44302</v>
      </c>
      <c r="H24" s="14">
        <f t="shared" si="0"/>
        <v>2021</v>
      </c>
      <c r="I24" s="12">
        <f>111.3*50978</f>
        <v>5673851.3999999994</v>
      </c>
      <c r="J24" s="10">
        <v>2803</v>
      </c>
      <c r="K24" s="11">
        <v>44830</v>
      </c>
      <c r="L24" s="14">
        <f t="shared" si="1"/>
        <v>2022</v>
      </c>
      <c r="M24" s="12">
        <v>6591207</v>
      </c>
    </row>
    <row r="25" spans="1:13" ht="15.75" customHeight="1" x14ac:dyDescent="0.25">
      <c r="A25" s="9" t="s">
        <v>15</v>
      </c>
      <c r="B25" s="9" t="s">
        <v>20</v>
      </c>
      <c r="C25" s="10" t="s">
        <v>21</v>
      </c>
      <c r="D25" s="9" t="s">
        <v>75</v>
      </c>
      <c r="E25" s="9" t="s">
        <v>14</v>
      </c>
      <c r="F25" s="10">
        <v>1110</v>
      </c>
      <c r="G25" s="11">
        <v>44302</v>
      </c>
      <c r="H25" s="14">
        <f t="shared" si="0"/>
        <v>2021</v>
      </c>
      <c r="I25" s="12">
        <f>395.5*50978</f>
        <v>20161799</v>
      </c>
      <c r="J25" s="10">
        <v>2371</v>
      </c>
      <c r="K25" s="11">
        <v>44771</v>
      </c>
      <c r="L25" s="14">
        <f t="shared" si="1"/>
        <v>2022</v>
      </c>
      <c r="M25" s="12">
        <v>23037085</v>
      </c>
    </row>
    <row r="26" spans="1:13" ht="15.75" customHeight="1" x14ac:dyDescent="0.25">
      <c r="A26" s="9" t="s">
        <v>15</v>
      </c>
      <c r="B26" s="9" t="s">
        <v>20</v>
      </c>
      <c r="C26" s="10" t="s">
        <v>21</v>
      </c>
      <c r="D26" s="9" t="s">
        <v>75</v>
      </c>
      <c r="E26" s="9" t="s">
        <v>47</v>
      </c>
      <c r="F26" s="10">
        <v>1363</v>
      </c>
      <c r="G26" s="11">
        <v>44326</v>
      </c>
      <c r="H26" s="14">
        <f t="shared" si="0"/>
        <v>2021</v>
      </c>
      <c r="I26" s="12">
        <f>203.35*51798</f>
        <v>10533123.299999999</v>
      </c>
      <c r="J26" s="10">
        <v>2145</v>
      </c>
      <c r="K26" s="11">
        <v>44760</v>
      </c>
      <c r="L26" s="14">
        <f t="shared" si="1"/>
        <v>2022</v>
      </c>
      <c r="M26" s="12">
        <v>11844732</v>
      </c>
    </row>
    <row r="27" spans="1:13" ht="15.75" customHeight="1" x14ac:dyDescent="0.25">
      <c r="A27" s="9" t="s">
        <v>15</v>
      </c>
      <c r="B27" s="9" t="s">
        <v>20</v>
      </c>
      <c r="C27" s="10" t="s">
        <v>21</v>
      </c>
      <c r="D27" s="9" t="s">
        <v>13</v>
      </c>
      <c r="E27" s="9" t="s">
        <v>47</v>
      </c>
      <c r="F27" s="10">
        <v>1362</v>
      </c>
      <c r="G27" s="11">
        <v>44326</v>
      </c>
      <c r="H27" s="14">
        <f t="shared" si="0"/>
        <v>2021</v>
      </c>
      <c r="I27" s="12">
        <f>363.65*51798</f>
        <v>18836342.699999999</v>
      </c>
      <c r="J27" s="10">
        <v>2144</v>
      </c>
      <c r="K27" s="11">
        <v>44760</v>
      </c>
      <c r="L27" s="14">
        <f t="shared" si="1"/>
        <v>2022</v>
      </c>
      <c r="M27" s="12">
        <v>21181886</v>
      </c>
    </row>
    <row r="28" spans="1:13" ht="15.75" customHeight="1" x14ac:dyDescent="0.25">
      <c r="A28" s="9" t="s">
        <v>15</v>
      </c>
      <c r="B28" s="9" t="s">
        <v>20</v>
      </c>
      <c r="C28" s="10" t="s">
        <v>21</v>
      </c>
      <c r="D28" s="9" t="s">
        <v>22</v>
      </c>
      <c r="E28" s="9" t="s">
        <v>47</v>
      </c>
      <c r="F28" s="10">
        <v>1361</v>
      </c>
      <c r="G28" s="11">
        <v>44326</v>
      </c>
      <c r="H28" s="14">
        <f t="shared" si="0"/>
        <v>2021</v>
      </c>
      <c r="I28" s="12">
        <f>751.8*51798</f>
        <v>38941736.399999999</v>
      </c>
      <c r="J28" s="10">
        <v>2143</v>
      </c>
      <c r="K28" s="11">
        <v>44760</v>
      </c>
      <c r="L28" s="14">
        <f t="shared" si="1"/>
        <v>2022</v>
      </c>
      <c r="M28" s="12">
        <v>43790850</v>
      </c>
    </row>
    <row r="29" spans="1:13" ht="15.75" customHeight="1" x14ac:dyDescent="0.25">
      <c r="A29" s="9" t="s">
        <v>15</v>
      </c>
      <c r="B29" s="9" t="s">
        <v>20</v>
      </c>
      <c r="C29" s="10" t="s">
        <v>21</v>
      </c>
      <c r="D29" s="9" t="s">
        <v>22</v>
      </c>
      <c r="E29" s="9" t="s">
        <v>47</v>
      </c>
      <c r="F29" s="10">
        <v>1360</v>
      </c>
      <c r="G29" s="11">
        <v>44326</v>
      </c>
      <c r="H29" s="14">
        <f t="shared" si="0"/>
        <v>2021</v>
      </c>
      <c r="I29" s="12">
        <f>790.65*51798</f>
        <v>40954088.699999996</v>
      </c>
      <c r="J29" s="10">
        <v>2367</v>
      </c>
      <c r="K29" s="11">
        <v>44771</v>
      </c>
      <c r="L29" s="14">
        <f t="shared" si="1"/>
        <v>2022</v>
      </c>
      <c r="M29" s="12">
        <v>46053786</v>
      </c>
    </row>
    <row r="30" spans="1:13" ht="15.75" customHeight="1" x14ac:dyDescent="0.25">
      <c r="A30" s="9" t="s">
        <v>15</v>
      </c>
      <c r="B30" s="9" t="s">
        <v>20</v>
      </c>
      <c r="C30" s="10" t="s">
        <v>21</v>
      </c>
      <c r="D30" s="9" t="s">
        <v>13</v>
      </c>
      <c r="E30" s="9" t="s">
        <v>47</v>
      </c>
      <c r="F30" s="10">
        <v>1359</v>
      </c>
      <c r="G30" s="11">
        <v>44326</v>
      </c>
      <c r="H30" s="14">
        <f t="shared" si="0"/>
        <v>2021</v>
      </c>
      <c r="I30" s="12">
        <f>27.3*51798</f>
        <v>1414085.4000000001</v>
      </c>
      <c r="J30" s="10">
        <v>2372</v>
      </c>
      <c r="K30" s="11">
        <v>44771</v>
      </c>
      <c r="L30" s="14">
        <f t="shared" si="1"/>
        <v>2022</v>
      </c>
      <c r="M30" s="12">
        <v>1590170</v>
      </c>
    </row>
    <row r="31" spans="1:13" ht="15.75" customHeight="1" x14ac:dyDescent="0.25">
      <c r="A31" s="9" t="s">
        <v>15</v>
      </c>
      <c r="B31" s="9" t="s">
        <v>20</v>
      </c>
      <c r="C31" s="10" t="s">
        <v>21</v>
      </c>
      <c r="D31" s="9" t="s">
        <v>75</v>
      </c>
      <c r="E31" s="9" t="s">
        <v>47</v>
      </c>
      <c r="F31" s="10">
        <v>1358</v>
      </c>
      <c r="G31" s="11">
        <v>44326</v>
      </c>
      <c r="H31" s="14">
        <f t="shared" si="0"/>
        <v>2021</v>
      </c>
      <c r="I31" s="12">
        <f>27.65*51798</f>
        <v>1432214.7</v>
      </c>
      <c r="J31" s="10">
        <v>2373</v>
      </c>
      <c r="K31" s="11">
        <v>44771</v>
      </c>
      <c r="L31" s="14">
        <f t="shared" si="1"/>
        <v>2022</v>
      </c>
      <c r="M31" s="12">
        <v>1610558</v>
      </c>
    </row>
    <row r="32" spans="1:13" ht="15.75" customHeight="1" x14ac:dyDescent="0.25">
      <c r="A32" s="9" t="s">
        <v>15</v>
      </c>
      <c r="B32" s="9" t="s">
        <v>20</v>
      </c>
      <c r="C32" s="10" t="s">
        <v>21</v>
      </c>
      <c r="D32" s="9" t="s">
        <v>22</v>
      </c>
      <c r="E32" s="9" t="s">
        <v>47</v>
      </c>
      <c r="F32" s="10">
        <v>210</v>
      </c>
      <c r="G32" s="11">
        <v>44580</v>
      </c>
      <c r="H32" s="14">
        <f t="shared" si="0"/>
        <v>2022</v>
      </c>
      <c r="I32" s="12">
        <f>1342.6*54442</f>
        <v>73093829.199999988</v>
      </c>
      <c r="J32" s="10">
        <v>3217</v>
      </c>
      <c r="K32" s="11">
        <v>44861</v>
      </c>
      <c r="L32" s="14">
        <f t="shared" si="1"/>
        <v>2022</v>
      </c>
      <c r="M32" s="12">
        <v>80972206</v>
      </c>
    </row>
    <row r="33" spans="1:13" ht="15.75" customHeight="1" x14ac:dyDescent="0.25">
      <c r="A33" s="9" t="s">
        <v>15</v>
      </c>
      <c r="B33" s="9" t="s">
        <v>20</v>
      </c>
      <c r="C33" s="10" t="s">
        <v>21</v>
      </c>
      <c r="D33" s="9" t="s">
        <v>75</v>
      </c>
      <c r="E33" s="9" t="s">
        <v>47</v>
      </c>
      <c r="F33" s="10">
        <v>211</v>
      </c>
      <c r="G33" s="11">
        <v>44580</v>
      </c>
      <c r="H33" s="14">
        <f t="shared" si="0"/>
        <v>2022</v>
      </c>
      <c r="I33" s="12">
        <f>49*54442</f>
        <v>2667658</v>
      </c>
      <c r="J33" s="10">
        <v>3205</v>
      </c>
      <c r="K33" s="11">
        <v>44861</v>
      </c>
      <c r="L33" s="14">
        <f t="shared" si="1"/>
        <v>2022</v>
      </c>
      <c r="M33" s="12">
        <v>2955190</v>
      </c>
    </row>
    <row r="34" spans="1:13" ht="15.75" customHeight="1" x14ac:dyDescent="0.25">
      <c r="A34" s="9" t="s">
        <v>15</v>
      </c>
      <c r="B34" s="9" t="s">
        <v>20</v>
      </c>
      <c r="C34" s="10" t="s">
        <v>21</v>
      </c>
      <c r="D34" s="9" t="s">
        <v>22</v>
      </c>
      <c r="E34" s="9" t="s">
        <v>47</v>
      </c>
      <c r="F34" s="10">
        <v>212</v>
      </c>
      <c r="G34" s="11">
        <v>44580</v>
      </c>
      <c r="H34" s="14">
        <f t="shared" si="0"/>
        <v>2022</v>
      </c>
      <c r="I34" s="12">
        <f>122.85*54442</f>
        <v>6688199.6999999993</v>
      </c>
      <c r="J34" s="10">
        <v>3206</v>
      </c>
      <c r="K34" s="11">
        <v>44861</v>
      </c>
      <c r="L34" s="14">
        <f t="shared" si="1"/>
        <v>2022</v>
      </c>
      <c r="M34" s="12">
        <v>7409084</v>
      </c>
    </row>
    <row r="35" spans="1:13" ht="15.75" customHeight="1" x14ac:dyDescent="0.25">
      <c r="A35" s="9" t="s">
        <v>15</v>
      </c>
      <c r="B35" s="9" t="s">
        <v>20</v>
      </c>
      <c r="C35" s="10" t="s">
        <v>21</v>
      </c>
      <c r="D35" s="9" t="s">
        <v>22</v>
      </c>
      <c r="E35" s="9" t="s">
        <v>14</v>
      </c>
      <c r="F35" s="10">
        <v>213</v>
      </c>
      <c r="G35" s="11">
        <v>44580</v>
      </c>
      <c r="H35" s="14">
        <f t="shared" si="0"/>
        <v>2022</v>
      </c>
      <c r="I35" s="12">
        <f>105*54442</f>
        <v>5716410</v>
      </c>
      <c r="J35" s="10">
        <v>3212</v>
      </c>
      <c r="K35" s="11">
        <v>44861</v>
      </c>
      <c r="L35" s="14">
        <f t="shared" si="1"/>
        <v>2022</v>
      </c>
      <c r="M35" s="12">
        <v>6332550</v>
      </c>
    </row>
    <row r="36" spans="1:13" ht="15.75" customHeight="1" x14ac:dyDescent="0.25">
      <c r="A36" s="9" t="s">
        <v>15</v>
      </c>
      <c r="B36" s="9" t="s">
        <v>20</v>
      </c>
      <c r="C36" s="10" t="s">
        <v>21</v>
      </c>
      <c r="D36" s="9" t="s">
        <v>75</v>
      </c>
      <c r="E36" s="9" t="s">
        <v>14</v>
      </c>
      <c r="F36" s="10">
        <v>214</v>
      </c>
      <c r="G36" s="11">
        <v>44580</v>
      </c>
      <c r="H36" s="14">
        <f t="shared" si="0"/>
        <v>2022</v>
      </c>
      <c r="I36" s="12">
        <f>21*54445</f>
        <v>1143345</v>
      </c>
      <c r="J36" s="10">
        <v>3996</v>
      </c>
      <c r="K36" s="11">
        <v>44922</v>
      </c>
      <c r="L36" s="14">
        <f t="shared" si="1"/>
        <v>2022</v>
      </c>
      <c r="M36" s="12">
        <v>1284297</v>
      </c>
    </row>
    <row r="37" spans="1:13" ht="16.5" customHeight="1" x14ac:dyDescent="0.25">
      <c r="A37" s="9" t="s">
        <v>57</v>
      </c>
      <c r="B37" s="9" t="s">
        <v>20</v>
      </c>
      <c r="C37" s="10" t="s">
        <v>82</v>
      </c>
      <c r="D37" s="9" t="s">
        <v>83</v>
      </c>
      <c r="E37" s="9" t="s">
        <v>84</v>
      </c>
      <c r="F37" s="10">
        <v>2141</v>
      </c>
      <c r="G37" s="11">
        <v>44407</v>
      </c>
      <c r="H37" s="14">
        <f t="shared" si="0"/>
        <v>2021</v>
      </c>
      <c r="I37" s="12">
        <v>358048480</v>
      </c>
      <c r="J37" s="10">
        <v>3144</v>
      </c>
      <c r="K37" s="11">
        <v>44852</v>
      </c>
      <c r="L37" s="14">
        <f t="shared" si="1"/>
        <v>2022</v>
      </c>
      <c r="M37" s="12">
        <v>0</v>
      </c>
    </row>
    <row r="38" spans="1:13" ht="15.75" customHeight="1" x14ac:dyDescent="0.25">
      <c r="A38" s="9" t="s">
        <v>10</v>
      </c>
      <c r="B38" s="9" t="s">
        <v>20</v>
      </c>
      <c r="C38" s="10" t="s">
        <v>21</v>
      </c>
      <c r="D38" s="9" t="s">
        <v>22</v>
      </c>
      <c r="E38" s="9" t="s">
        <v>69</v>
      </c>
      <c r="F38" s="10">
        <v>2585</v>
      </c>
      <c r="G38" s="11">
        <v>44473</v>
      </c>
      <c r="H38" s="14">
        <f t="shared" si="0"/>
        <v>2021</v>
      </c>
      <c r="I38" s="12">
        <f>3*52842</f>
        <v>158526</v>
      </c>
      <c r="J38" s="10">
        <v>3260</v>
      </c>
      <c r="K38" s="11">
        <v>44862</v>
      </c>
      <c r="L38" s="14">
        <f t="shared" si="1"/>
        <v>2022</v>
      </c>
      <c r="M38" s="12">
        <v>180930</v>
      </c>
    </row>
    <row r="39" spans="1:13" ht="15.75" customHeight="1" x14ac:dyDescent="0.25">
      <c r="A39" s="9" t="s">
        <v>10</v>
      </c>
      <c r="B39" s="9" t="s">
        <v>20</v>
      </c>
      <c r="C39" s="10" t="s">
        <v>21</v>
      </c>
      <c r="D39" s="9" t="s">
        <v>13</v>
      </c>
      <c r="E39" s="9" t="s">
        <v>69</v>
      </c>
      <c r="F39" s="10">
        <v>2586</v>
      </c>
      <c r="G39" s="11">
        <v>44473</v>
      </c>
      <c r="H39" s="14">
        <f t="shared" si="0"/>
        <v>2021</v>
      </c>
      <c r="I39" s="12">
        <f>3*52842</f>
        <v>158526</v>
      </c>
      <c r="J39" s="10">
        <v>3256</v>
      </c>
      <c r="K39" s="11">
        <v>44862</v>
      </c>
      <c r="L39" s="14">
        <f t="shared" si="1"/>
        <v>2022</v>
      </c>
      <c r="M39" s="12">
        <v>180930</v>
      </c>
    </row>
    <row r="40" spans="1:13" ht="15.75" customHeight="1" x14ac:dyDescent="0.25">
      <c r="A40" s="9" t="s">
        <v>59</v>
      </c>
      <c r="B40" s="9" t="s">
        <v>20</v>
      </c>
      <c r="C40" s="10" t="s">
        <v>21</v>
      </c>
      <c r="D40" s="9" t="s">
        <v>22</v>
      </c>
      <c r="E40" s="9" t="s">
        <v>69</v>
      </c>
      <c r="F40" s="10">
        <v>2583</v>
      </c>
      <c r="G40" s="11">
        <v>44473</v>
      </c>
      <c r="H40" s="14">
        <f t="shared" si="0"/>
        <v>2021</v>
      </c>
      <c r="I40" s="12">
        <f>3*52842</f>
        <v>158526</v>
      </c>
      <c r="J40" s="10">
        <v>3259</v>
      </c>
      <c r="K40" s="11">
        <v>44862</v>
      </c>
      <c r="L40" s="14">
        <f t="shared" si="1"/>
        <v>2022</v>
      </c>
      <c r="M40" s="12">
        <v>180930</v>
      </c>
    </row>
    <row r="41" spans="1:13" ht="15.75" customHeight="1" x14ac:dyDescent="0.25">
      <c r="A41" s="9" t="s">
        <v>59</v>
      </c>
      <c r="B41" s="9" t="s">
        <v>20</v>
      </c>
      <c r="C41" s="10" t="s">
        <v>21</v>
      </c>
      <c r="D41" s="9" t="s">
        <v>13</v>
      </c>
      <c r="E41" s="9" t="s">
        <v>69</v>
      </c>
      <c r="F41" s="10">
        <v>2584</v>
      </c>
      <c r="G41" s="11">
        <v>44473</v>
      </c>
      <c r="H41" s="14">
        <f t="shared" si="0"/>
        <v>2021</v>
      </c>
      <c r="I41" s="12">
        <f>3*52842</f>
        <v>158526</v>
      </c>
      <c r="J41" s="10">
        <v>3258</v>
      </c>
      <c r="K41" s="11">
        <v>44862</v>
      </c>
      <c r="L41" s="14">
        <f t="shared" si="1"/>
        <v>2022</v>
      </c>
      <c r="M41" s="12">
        <v>180930</v>
      </c>
    </row>
    <row r="42" spans="1:13" ht="15.75" customHeight="1" x14ac:dyDescent="0.25">
      <c r="A42" s="9" t="s">
        <v>15</v>
      </c>
      <c r="B42" s="9" t="s">
        <v>20</v>
      </c>
      <c r="C42" s="10" t="s">
        <v>21</v>
      </c>
      <c r="D42" s="9" t="s">
        <v>22</v>
      </c>
      <c r="E42" s="9" t="s">
        <v>14</v>
      </c>
      <c r="F42" s="10">
        <v>3430</v>
      </c>
      <c r="G42" s="11">
        <v>44554</v>
      </c>
      <c r="H42" s="14">
        <f t="shared" si="0"/>
        <v>2021</v>
      </c>
      <c r="I42" s="12">
        <f>1440.6*52842</f>
        <v>76124185.199999988</v>
      </c>
      <c r="J42" s="10">
        <v>3216</v>
      </c>
      <c r="K42" s="11">
        <v>44861</v>
      </c>
      <c r="L42" s="14">
        <f t="shared" si="1"/>
        <v>2022</v>
      </c>
      <c r="M42" s="12">
        <v>86882586</v>
      </c>
    </row>
    <row r="43" spans="1:13" ht="15.75" customHeight="1" x14ac:dyDescent="0.25">
      <c r="A43" s="9" t="s">
        <v>15</v>
      </c>
      <c r="B43" s="9" t="s">
        <v>20</v>
      </c>
      <c r="C43" s="10" t="s">
        <v>21</v>
      </c>
      <c r="D43" s="9" t="s">
        <v>75</v>
      </c>
      <c r="E43" s="9" t="s">
        <v>14</v>
      </c>
      <c r="F43" s="10">
        <v>3431</v>
      </c>
      <c r="G43" s="11">
        <v>44554</v>
      </c>
      <c r="H43" s="14">
        <f t="shared" si="0"/>
        <v>2021</v>
      </c>
      <c r="I43" s="12">
        <f>417.9*52842</f>
        <v>22082671.799999997</v>
      </c>
      <c r="J43" s="10">
        <v>3209</v>
      </c>
      <c r="K43" s="11">
        <v>44861</v>
      </c>
      <c r="L43" s="14">
        <f t="shared" si="1"/>
        <v>2022</v>
      </c>
      <c r="M43" s="12">
        <v>25203549</v>
      </c>
    </row>
    <row r="44" spans="1:13" ht="15.75" customHeight="1" x14ac:dyDescent="0.25">
      <c r="A44" s="9" t="s">
        <v>15</v>
      </c>
      <c r="B44" s="9" t="s">
        <v>20</v>
      </c>
      <c r="C44" s="10" t="s">
        <v>21</v>
      </c>
      <c r="D44" s="9" t="s">
        <v>22</v>
      </c>
      <c r="E44" s="9" t="s">
        <v>14</v>
      </c>
      <c r="F44" s="10">
        <v>3432</v>
      </c>
      <c r="G44" s="11">
        <v>44554</v>
      </c>
      <c r="H44" s="14">
        <f t="shared" si="0"/>
        <v>2021</v>
      </c>
      <c r="I44" s="12">
        <f>296.8*52842</f>
        <v>15683505.600000001</v>
      </c>
      <c r="J44" s="10">
        <v>3222</v>
      </c>
      <c r="K44" s="11">
        <v>44861</v>
      </c>
      <c r="L44" s="14">
        <f t="shared" si="1"/>
        <v>2022</v>
      </c>
      <c r="M44" s="12">
        <v>17900008</v>
      </c>
    </row>
    <row r="45" spans="1:13" ht="15.75" customHeight="1" x14ac:dyDescent="0.25">
      <c r="A45" s="9" t="s">
        <v>15</v>
      </c>
      <c r="B45" s="9" t="s">
        <v>20</v>
      </c>
      <c r="C45" s="10" t="s">
        <v>21</v>
      </c>
      <c r="D45" s="9" t="s">
        <v>22</v>
      </c>
      <c r="E45" s="9" t="s">
        <v>47</v>
      </c>
      <c r="F45" s="10">
        <v>152</v>
      </c>
      <c r="G45" s="11">
        <v>44580</v>
      </c>
      <c r="H45" s="14">
        <f t="shared" si="0"/>
        <v>2022</v>
      </c>
      <c r="I45" s="12">
        <f>1619.8*54445</f>
        <v>88190011</v>
      </c>
      <c r="J45" s="10">
        <v>2216</v>
      </c>
      <c r="K45" s="11">
        <v>44768</v>
      </c>
      <c r="L45" s="14">
        <f t="shared" si="1"/>
        <v>2022</v>
      </c>
      <c r="M45" s="12">
        <v>94350116</v>
      </c>
    </row>
    <row r="46" spans="1:13" ht="15.75" customHeight="1" x14ac:dyDescent="0.25">
      <c r="A46" s="9" t="s">
        <v>15</v>
      </c>
      <c r="B46" s="9" t="s">
        <v>20</v>
      </c>
      <c r="C46" s="10" t="s">
        <v>21</v>
      </c>
      <c r="D46" s="9" t="s">
        <v>22</v>
      </c>
      <c r="E46" s="9" t="s">
        <v>47</v>
      </c>
      <c r="F46" s="10">
        <v>153</v>
      </c>
      <c r="G46" s="11">
        <v>44580</v>
      </c>
      <c r="H46" s="14">
        <f t="shared" si="0"/>
        <v>2022</v>
      </c>
      <c r="I46" s="12">
        <f>70.7*54445</f>
        <v>3849261.5</v>
      </c>
      <c r="J46" s="10">
        <v>2219</v>
      </c>
      <c r="K46" s="11">
        <v>44768</v>
      </c>
      <c r="L46" s="14">
        <f t="shared" si="1"/>
        <v>2022</v>
      </c>
      <c r="M46" s="12">
        <v>4118134</v>
      </c>
    </row>
    <row r="47" spans="1:13" ht="15.75" customHeight="1" x14ac:dyDescent="0.25">
      <c r="A47" s="9" t="s">
        <v>15</v>
      </c>
      <c r="B47" s="9" t="s">
        <v>20</v>
      </c>
      <c r="C47" s="10" t="s">
        <v>21</v>
      </c>
      <c r="D47" s="9" t="s">
        <v>13</v>
      </c>
      <c r="E47" s="9" t="s">
        <v>14</v>
      </c>
      <c r="F47" s="10">
        <v>154</v>
      </c>
      <c r="G47" s="11">
        <v>44580</v>
      </c>
      <c r="H47" s="14">
        <f t="shared" si="0"/>
        <v>2022</v>
      </c>
      <c r="I47" s="12">
        <f>31.5*54445</f>
        <v>1715017.5</v>
      </c>
      <c r="J47" s="10">
        <v>2218</v>
      </c>
      <c r="K47" s="11">
        <v>44768</v>
      </c>
      <c r="L47" s="14">
        <f t="shared" si="1"/>
        <v>2022</v>
      </c>
      <c r="M47" s="12">
        <v>1834812</v>
      </c>
    </row>
    <row r="48" spans="1:13" ht="15.75" customHeight="1" x14ac:dyDescent="0.25">
      <c r="A48" s="9" t="s">
        <v>15</v>
      </c>
      <c r="B48" s="9" t="s">
        <v>20</v>
      </c>
      <c r="C48" s="10" t="s">
        <v>21</v>
      </c>
      <c r="D48" s="9" t="s">
        <v>22</v>
      </c>
      <c r="E48" s="9" t="s">
        <v>14</v>
      </c>
      <c r="F48" s="10">
        <v>155</v>
      </c>
      <c r="G48" s="11">
        <v>44580</v>
      </c>
      <c r="H48" s="14">
        <f t="shared" si="0"/>
        <v>2022</v>
      </c>
      <c r="I48" s="12">
        <f>470.4*54445</f>
        <v>25610928</v>
      </c>
      <c r="J48" s="10">
        <v>2221</v>
      </c>
      <c r="K48" s="11">
        <v>44768</v>
      </c>
      <c r="L48" s="14">
        <f t="shared" si="1"/>
        <v>2022</v>
      </c>
      <c r="M48" s="12">
        <v>27399861</v>
      </c>
    </row>
    <row r="49" spans="1:13" ht="15.75" customHeight="1" x14ac:dyDescent="0.25">
      <c r="A49" s="9" t="s">
        <v>15</v>
      </c>
      <c r="B49" s="9" t="s">
        <v>20</v>
      </c>
      <c r="C49" s="10" t="s">
        <v>21</v>
      </c>
      <c r="D49" s="9" t="s">
        <v>75</v>
      </c>
      <c r="E49" s="9" t="s">
        <v>14</v>
      </c>
      <c r="F49" s="10">
        <v>156</v>
      </c>
      <c r="G49" s="11">
        <v>44580</v>
      </c>
      <c r="H49" s="14">
        <f t="shared" si="0"/>
        <v>2022</v>
      </c>
      <c r="I49" s="12">
        <f>126*54445</f>
        <v>6860070</v>
      </c>
      <c r="J49" s="10">
        <v>2217</v>
      </c>
      <c r="K49" s="11">
        <v>44768</v>
      </c>
      <c r="L49" s="14">
        <f t="shared" si="1"/>
        <v>2022</v>
      </c>
      <c r="M49" s="12">
        <v>7339248</v>
      </c>
    </row>
    <row r="50" spans="1:13" ht="15.75" customHeight="1" x14ac:dyDescent="0.25">
      <c r="A50" s="9" t="s">
        <v>15</v>
      </c>
      <c r="B50" s="9" t="s">
        <v>20</v>
      </c>
      <c r="C50" s="10" t="s">
        <v>21</v>
      </c>
      <c r="D50" s="9" t="s">
        <v>13</v>
      </c>
      <c r="E50" s="9" t="s">
        <v>14</v>
      </c>
      <c r="F50" s="10">
        <v>204</v>
      </c>
      <c r="G50" s="11">
        <v>44580</v>
      </c>
      <c r="H50" s="14">
        <f t="shared" si="0"/>
        <v>2022</v>
      </c>
      <c r="I50" s="12">
        <f>21*5445</f>
        <v>114345</v>
      </c>
      <c r="J50" s="10">
        <v>3391</v>
      </c>
      <c r="K50" s="11">
        <v>44912</v>
      </c>
      <c r="L50" s="14">
        <f t="shared" si="1"/>
        <v>2022</v>
      </c>
      <c r="M50" s="12">
        <v>1277913</v>
      </c>
    </row>
    <row r="51" spans="1:13" ht="15.75" customHeight="1" x14ac:dyDescent="0.25">
      <c r="A51" s="9" t="s">
        <v>15</v>
      </c>
      <c r="B51" s="9" t="s">
        <v>20</v>
      </c>
      <c r="C51" s="10" t="s">
        <v>21</v>
      </c>
      <c r="D51" s="9" t="s">
        <v>13</v>
      </c>
      <c r="E51" s="9" t="s">
        <v>47</v>
      </c>
      <c r="F51" s="10">
        <v>205</v>
      </c>
      <c r="G51" s="11">
        <v>44580</v>
      </c>
      <c r="H51" s="14">
        <f t="shared" si="0"/>
        <v>2022</v>
      </c>
      <c r="I51" s="12">
        <f>95.55*54445</f>
        <v>5202219.75</v>
      </c>
      <c r="J51" s="10">
        <v>215</v>
      </c>
      <c r="K51" s="11">
        <v>44588</v>
      </c>
      <c r="L51" s="14">
        <f t="shared" si="1"/>
        <v>2022</v>
      </c>
      <c r="M51" s="12">
        <v>4929165</v>
      </c>
    </row>
    <row r="52" spans="1:13" ht="15.75" customHeight="1" x14ac:dyDescent="0.25">
      <c r="A52" s="9" t="s">
        <v>15</v>
      </c>
      <c r="B52" s="9" t="s">
        <v>20</v>
      </c>
      <c r="C52" s="10" t="s">
        <v>21</v>
      </c>
      <c r="D52" s="9" t="s">
        <v>22</v>
      </c>
      <c r="E52" s="9" t="s">
        <v>14</v>
      </c>
      <c r="F52" s="10">
        <v>206</v>
      </c>
      <c r="G52" s="11">
        <v>44580</v>
      </c>
      <c r="H52" s="14">
        <f t="shared" si="0"/>
        <v>2022</v>
      </c>
      <c r="I52" s="12">
        <f>567*54445</f>
        <v>30870315</v>
      </c>
      <c r="J52" s="10">
        <v>3214</v>
      </c>
      <c r="K52" s="11">
        <v>44861</v>
      </c>
      <c r="L52" s="14">
        <f t="shared" si="1"/>
        <v>2022</v>
      </c>
      <c r="M52" s="12">
        <v>34195770</v>
      </c>
    </row>
    <row r="53" spans="1:13" ht="15.75" customHeight="1" x14ac:dyDescent="0.25">
      <c r="A53" s="9" t="s">
        <v>15</v>
      </c>
      <c r="B53" s="9" t="s">
        <v>20</v>
      </c>
      <c r="C53" s="10" t="s">
        <v>21</v>
      </c>
      <c r="D53" s="9" t="s">
        <v>75</v>
      </c>
      <c r="E53" s="9" t="s">
        <v>47</v>
      </c>
      <c r="F53" s="10">
        <v>208</v>
      </c>
      <c r="G53" s="11">
        <v>44580</v>
      </c>
      <c r="H53" s="14">
        <f t="shared" si="0"/>
        <v>2022</v>
      </c>
      <c r="I53" s="12">
        <f>235.9*54445</f>
        <v>12843575.5</v>
      </c>
      <c r="J53" s="10">
        <v>3219</v>
      </c>
      <c r="K53" s="11">
        <v>44861</v>
      </c>
      <c r="L53" s="14">
        <f t="shared" si="1"/>
        <v>2022</v>
      </c>
      <c r="M53" s="12">
        <v>14227129</v>
      </c>
    </row>
    <row r="54" spans="1:13" ht="15.75" customHeight="1" x14ac:dyDescent="0.25">
      <c r="A54" s="9" t="s">
        <v>59</v>
      </c>
      <c r="B54" s="9" t="s">
        <v>20</v>
      </c>
      <c r="C54" s="10" t="s">
        <v>21</v>
      </c>
      <c r="D54" s="9" t="s">
        <v>22</v>
      </c>
      <c r="E54" s="9" t="s">
        <v>19</v>
      </c>
      <c r="F54" s="10">
        <v>1941</v>
      </c>
      <c r="G54" s="11">
        <v>44748</v>
      </c>
      <c r="H54" s="14">
        <f t="shared" si="0"/>
        <v>2022</v>
      </c>
      <c r="I54" s="12">
        <v>408171</v>
      </c>
      <c r="J54" s="10">
        <v>3707</v>
      </c>
      <c r="K54" s="11">
        <v>44904</v>
      </c>
      <c r="L54" s="14">
        <f t="shared" si="1"/>
        <v>2022</v>
      </c>
      <c r="M54" s="12">
        <v>408171</v>
      </c>
    </row>
    <row r="55" spans="1:13" ht="15.75" customHeight="1" x14ac:dyDescent="0.25">
      <c r="A55" s="9" t="s">
        <v>10</v>
      </c>
      <c r="B55" s="9" t="s">
        <v>20</v>
      </c>
      <c r="C55" s="10" t="s">
        <v>21</v>
      </c>
      <c r="D55" s="9" t="s">
        <v>22</v>
      </c>
      <c r="E55" s="9" t="s">
        <v>14</v>
      </c>
      <c r="F55" s="10">
        <v>1946</v>
      </c>
      <c r="G55" s="11">
        <v>44748</v>
      </c>
      <c r="H55" s="14">
        <f t="shared" si="0"/>
        <v>2022</v>
      </c>
      <c r="I55" s="12">
        <f>59.78*58248</f>
        <v>3482065.44</v>
      </c>
      <c r="J55" s="10">
        <v>3623</v>
      </c>
      <c r="K55" s="11">
        <v>44901</v>
      </c>
      <c r="L55" s="14">
        <f t="shared" si="1"/>
        <v>2022</v>
      </c>
      <c r="M55" s="12">
        <v>3655965</v>
      </c>
    </row>
    <row r="56" spans="1:13" ht="15.75" customHeight="1" x14ac:dyDescent="0.25">
      <c r="A56" s="9" t="s">
        <v>10</v>
      </c>
      <c r="B56" s="9" t="s">
        <v>20</v>
      </c>
      <c r="C56" s="10" t="s">
        <v>21</v>
      </c>
      <c r="D56" s="9" t="s">
        <v>22</v>
      </c>
      <c r="E56" s="9" t="s">
        <v>14</v>
      </c>
      <c r="F56" s="10">
        <v>1939</v>
      </c>
      <c r="G56" s="11">
        <v>44748</v>
      </c>
      <c r="H56" s="14">
        <f t="shared" si="0"/>
        <v>2022</v>
      </c>
      <c r="I56" s="12">
        <f>119.2*58248</f>
        <v>6943161.6000000006</v>
      </c>
      <c r="J56" s="10">
        <v>3627</v>
      </c>
      <c r="K56" s="11">
        <v>44901</v>
      </c>
      <c r="L56" s="14">
        <f t="shared" si="1"/>
        <v>2022</v>
      </c>
      <c r="M56" s="12">
        <v>7289914</v>
      </c>
    </row>
    <row r="57" spans="1:13" ht="15.75" customHeight="1" x14ac:dyDescent="0.25">
      <c r="A57" s="9" t="s">
        <v>10</v>
      </c>
      <c r="B57" s="9" t="s">
        <v>20</v>
      </c>
      <c r="C57" s="10" t="s">
        <v>21</v>
      </c>
      <c r="D57" s="9" t="s">
        <v>13</v>
      </c>
      <c r="E57" s="9" t="s">
        <v>14</v>
      </c>
      <c r="F57" s="10">
        <v>1947</v>
      </c>
      <c r="G57" s="11">
        <v>44748</v>
      </c>
      <c r="H57" s="14">
        <f t="shared" si="0"/>
        <v>2022</v>
      </c>
      <c r="I57" s="12">
        <f>72.91*58248</f>
        <v>4246861.68</v>
      </c>
      <c r="J57" s="10">
        <v>3622</v>
      </c>
      <c r="K57" s="11">
        <v>44901</v>
      </c>
      <c r="L57" s="14">
        <f t="shared" si="1"/>
        <v>2022</v>
      </c>
      <c r="M57" s="12">
        <v>4458957</v>
      </c>
    </row>
    <row r="58" spans="1:13" ht="15.75" customHeight="1" x14ac:dyDescent="0.25">
      <c r="A58" s="9" t="s">
        <v>15</v>
      </c>
      <c r="B58" s="9" t="s">
        <v>20</v>
      </c>
      <c r="C58" s="10" t="s">
        <v>21</v>
      </c>
      <c r="D58" s="9" t="s">
        <v>22</v>
      </c>
      <c r="E58" s="9" t="s">
        <v>23</v>
      </c>
      <c r="F58" s="10">
        <v>2334</v>
      </c>
      <c r="G58" s="11">
        <v>44770</v>
      </c>
      <c r="H58" s="14">
        <f t="shared" si="0"/>
        <v>2022</v>
      </c>
      <c r="I58" s="12">
        <v>86629348</v>
      </c>
      <c r="J58" s="10">
        <v>3439</v>
      </c>
      <c r="K58" s="11">
        <v>44886</v>
      </c>
      <c r="L58" s="14">
        <f t="shared" si="1"/>
        <v>2022</v>
      </c>
      <c r="M58" s="12">
        <v>86629348</v>
      </c>
    </row>
    <row r="59" spans="1:13" ht="15.75" customHeight="1" x14ac:dyDescent="0.25">
      <c r="A59" s="9" t="s">
        <v>15</v>
      </c>
      <c r="B59" s="9" t="s">
        <v>20</v>
      </c>
      <c r="C59" s="10" t="s">
        <v>21</v>
      </c>
      <c r="D59" s="9" t="s">
        <v>13</v>
      </c>
      <c r="E59" s="9" t="s">
        <v>23</v>
      </c>
      <c r="F59" s="10">
        <v>2316</v>
      </c>
      <c r="G59" s="11">
        <v>44770</v>
      </c>
      <c r="H59" s="14">
        <f t="shared" si="0"/>
        <v>2022</v>
      </c>
      <c r="I59" s="12">
        <v>111356551</v>
      </c>
      <c r="J59" s="10">
        <v>3140</v>
      </c>
      <c r="K59" s="11">
        <v>44852</v>
      </c>
      <c r="L59" s="14">
        <f t="shared" si="1"/>
        <v>2022</v>
      </c>
      <c r="M59" s="12">
        <v>111356551</v>
      </c>
    </row>
    <row r="60" spans="1:13" ht="15.75" customHeight="1" x14ac:dyDescent="0.25">
      <c r="A60" s="9" t="s">
        <v>15</v>
      </c>
      <c r="B60" s="9" t="s">
        <v>20</v>
      </c>
      <c r="C60" s="10" t="s">
        <v>21</v>
      </c>
      <c r="D60" s="9" t="s">
        <v>75</v>
      </c>
      <c r="E60" s="9" t="s">
        <v>23</v>
      </c>
      <c r="F60" s="10">
        <v>2315</v>
      </c>
      <c r="G60" s="11">
        <v>44770</v>
      </c>
      <c r="H60" s="14">
        <f t="shared" si="0"/>
        <v>2022</v>
      </c>
      <c r="I60" s="12">
        <v>4770358</v>
      </c>
      <c r="J60" s="10">
        <v>3139</v>
      </c>
      <c r="K60" s="11">
        <v>44852</v>
      </c>
      <c r="L60" s="14">
        <f t="shared" si="1"/>
        <v>2022</v>
      </c>
      <c r="M60" s="12">
        <v>4770358</v>
      </c>
    </row>
    <row r="61" spans="1:13" ht="15.75" customHeight="1" x14ac:dyDescent="0.25">
      <c r="A61" s="9" t="s">
        <v>59</v>
      </c>
      <c r="B61" s="9" t="s">
        <v>20</v>
      </c>
      <c r="C61" s="10" t="s">
        <v>21</v>
      </c>
      <c r="D61" s="9" t="s">
        <v>22</v>
      </c>
      <c r="E61" s="9" t="s">
        <v>14</v>
      </c>
      <c r="F61" s="10">
        <v>1938</v>
      </c>
      <c r="G61" s="11">
        <v>44748</v>
      </c>
      <c r="H61" s="14">
        <f t="shared" si="0"/>
        <v>2022</v>
      </c>
      <c r="I61" s="12">
        <f>1.13*58298</f>
        <v>65876.739999999991</v>
      </c>
      <c r="J61" s="10">
        <v>3624</v>
      </c>
      <c r="K61" s="11">
        <v>44901</v>
      </c>
      <c r="L61" s="14">
        <f t="shared" si="1"/>
        <v>2022</v>
      </c>
      <c r="M61" s="12">
        <v>69107</v>
      </c>
    </row>
    <row r="62" spans="1:13" ht="15.75" customHeight="1" x14ac:dyDescent="0.25">
      <c r="A62" s="9" t="s">
        <v>59</v>
      </c>
      <c r="B62" s="9" t="s">
        <v>20</v>
      </c>
      <c r="C62" s="10" t="s">
        <v>21</v>
      </c>
      <c r="D62" s="9" t="s">
        <v>13</v>
      </c>
      <c r="E62" s="9" t="s">
        <v>14</v>
      </c>
      <c r="F62" s="10">
        <v>1940</v>
      </c>
      <c r="G62" s="11">
        <v>44748</v>
      </c>
      <c r="H62" s="14">
        <f t="shared" si="0"/>
        <v>2022</v>
      </c>
      <c r="I62" s="12">
        <f>2.77*58298</f>
        <v>161485.46</v>
      </c>
      <c r="J62" s="10">
        <v>3626</v>
      </c>
      <c r="K62" s="11">
        <v>44901</v>
      </c>
      <c r="L62" s="14">
        <f t="shared" si="1"/>
        <v>2022</v>
      </c>
      <c r="M62" s="12">
        <v>169405</v>
      </c>
    </row>
    <row r="63" spans="1:13" ht="15.75" customHeight="1" x14ac:dyDescent="0.25">
      <c r="A63" s="9" t="s">
        <v>15</v>
      </c>
      <c r="B63" s="9" t="s">
        <v>20</v>
      </c>
      <c r="C63" s="10" t="s">
        <v>21</v>
      </c>
      <c r="D63" s="9" t="s">
        <v>83</v>
      </c>
      <c r="E63" s="9" t="s">
        <v>72</v>
      </c>
      <c r="F63" s="10">
        <v>2147</v>
      </c>
      <c r="G63" s="11">
        <v>44760</v>
      </c>
      <c r="H63" s="14">
        <f t="shared" si="0"/>
        <v>2022</v>
      </c>
      <c r="I63" s="12">
        <v>18214</v>
      </c>
      <c r="J63" s="10">
        <v>3751</v>
      </c>
      <c r="K63" s="11">
        <v>44908</v>
      </c>
      <c r="L63" s="14">
        <f t="shared" si="1"/>
        <v>2022</v>
      </c>
      <c r="M63" s="12">
        <v>1113913598</v>
      </c>
    </row>
    <row r="64" spans="1:13" ht="15.75" customHeight="1" x14ac:dyDescent="0.25">
      <c r="A64" s="9" t="s">
        <v>15</v>
      </c>
      <c r="B64" s="9" t="s">
        <v>20</v>
      </c>
      <c r="C64" s="10" t="s">
        <v>21</v>
      </c>
      <c r="D64" s="9" t="s">
        <v>83</v>
      </c>
      <c r="E64" s="9" t="s">
        <v>72</v>
      </c>
      <c r="F64" s="10">
        <v>2146</v>
      </c>
      <c r="G64" s="11">
        <v>44760</v>
      </c>
      <c r="H64" s="14">
        <f t="shared" si="0"/>
        <v>2022</v>
      </c>
      <c r="I64" s="12">
        <f>1270.7*58248</f>
        <v>74015733.600000009</v>
      </c>
      <c r="J64" s="10">
        <v>3752</v>
      </c>
      <c r="K64" s="11">
        <v>44908</v>
      </c>
      <c r="L64" s="14">
        <f t="shared" si="1"/>
        <v>2022</v>
      </c>
      <c r="M64" s="12">
        <v>77712200</v>
      </c>
    </row>
    <row r="65" spans="1:13" ht="15.75" customHeight="1" x14ac:dyDescent="0.25">
      <c r="A65" s="9" t="s">
        <v>59</v>
      </c>
      <c r="B65" s="9" t="s">
        <v>20</v>
      </c>
      <c r="C65" s="10" t="s">
        <v>21</v>
      </c>
      <c r="D65" s="9" t="s">
        <v>83</v>
      </c>
      <c r="E65" s="9" t="s">
        <v>72</v>
      </c>
      <c r="F65" s="10">
        <v>1942</v>
      </c>
      <c r="G65" s="11">
        <v>44748</v>
      </c>
      <c r="H65" s="14">
        <f t="shared" si="0"/>
        <v>2022</v>
      </c>
      <c r="I65" s="12">
        <f>1550.22*54248</f>
        <v>84096334.560000002</v>
      </c>
      <c r="J65" s="10">
        <v>3625</v>
      </c>
      <c r="K65" s="11">
        <v>44901</v>
      </c>
      <c r="L65" s="14">
        <f t="shared" si="1"/>
        <v>2022</v>
      </c>
      <c r="M65" s="12">
        <v>94806805</v>
      </c>
    </row>
    <row r="66" spans="1:13" ht="15.75" customHeight="1" x14ac:dyDescent="0.25">
      <c r="A66" s="9" t="s">
        <v>59</v>
      </c>
      <c r="B66" s="9" t="s">
        <v>20</v>
      </c>
      <c r="C66" s="10" t="s">
        <v>21</v>
      </c>
      <c r="D66" s="9" t="s">
        <v>83</v>
      </c>
      <c r="E66" s="9" t="s">
        <v>72</v>
      </c>
      <c r="F66" s="10">
        <v>1944</v>
      </c>
      <c r="G66" s="11">
        <v>44748</v>
      </c>
      <c r="H66" s="14">
        <f t="shared" si="0"/>
        <v>2022</v>
      </c>
      <c r="I66" s="12">
        <f>1739.72*58248</f>
        <v>101335210.56</v>
      </c>
      <c r="J66" s="10">
        <v>3748</v>
      </c>
      <c r="K66" s="11">
        <v>44908</v>
      </c>
      <c r="L66" s="14">
        <f t="shared" si="1"/>
        <v>2022</v>
      </c>
      <c r="M66" s="12">
        <v>106413180</v>
      </c>
    </row>
    <row r="67" spans="1:13" ht="15.75" customHeight="1" x14ac:dyDescent="0.25">
      <c r="A67" s="9" t="s">
        <v>59</v>
      </c>
      <c r="B67" s="9" t="s">
        <v>20</v>
      </c>
      <c r="C67" s="10" t="s">
        <v>21</v>
      </c>
      <c r="D67" s="9" t="s">
        <v>83</v>
      </c>
      <c r="E67" s="9" t="s">
        <v>72</v>
      </c>
      <c r="F67" s="10">
        <v>1945</v>
      </c>
      <c r="G67" s="11">
        <v>44748</v>
      </c>
      <c r="H67" s="14">
        <f t="shared" si="0"/>
        <v>2022</v>
      </c>
      <c r="I67" s="12">
        <f>648.42*58248</f>
        <v>37769168.159999996</v>
      </c>
      <c r="J67" s="10">
        <v>3749</v>
      </c>
      <c r="K67" s="11">
        <v>44908</v>
      </c>
      <c r="L67" s="14">
        <f t="shared" si="1"/>
        <v>2022</v>
      </c>
      <c r="M67" s="12">
        <v>39655422</v>
      </c>
    </row>
    <row r="68" spans="1:13" ht="15.75" customHeight="1" x14ac:dyDescent="0.25">
      <c r="A68" s="9" t="s">
        <v>10</v>
      </c>
      <c r="B68" s="9" t="s">
        <v>20</v>
      </c>
      <c r="C68" s="10" t="s">
        <v>21</v>
      </c>
      <c r="D68" s="9" t="s">
        <v>83</v>
      </c>
      <c r="E68" s="9" t="s">
        <v>72</v>
      </c>
      <c r="F68" s="10">
        <v>2938</v>
      </c>
      <c r="G68" s="11">
        <v>44834</v>
      </c>
      <c r="H68" s="14">
        <f t="shared" ref="H68:H131" si="2">YEAR(G68)</f>
        <v>2022</v>
      </c>
      <c r="I68" s="12">
        <f>524.93*59595</f>
        <v>31283203.349999998</v>
      </c>
      <c r="J68" s="10">
        <v>3750</v>
      </c>
      <c r="K68" s="11">
        <v>44908</v>
      </c>
      <c r="L68" s="14">
        <f t="shared" ref="L68:L131" si="3">YEAR(K68)</f>
        <v>2022</v>
      </c>
      <c r="M68" s="12">
        <v>32103144</v>
      </c>
    </row>
    <row r="69" spans="1:13" ht="15.75" customHeight="1" x14ac:dyDescent="0.25">
      <c r="A69" s="9" t="s">
        <v>15</v>
      </c>
      <c r="B69" s="9" t="s">
        <v>20</v>
      </c>
      <c r="C69" s="10" t="s">
        <v>21</v>
      </c>
      <c r="D69" s="9" t="s">
        <v>13</v>
      </c>
      <c r="E69" s="9" t="s">
        <v>69</v>
      </c>
      <c r="F69" s="10">
        <v>2213</v>
      </c>
      <c r="G69" s="11">
        <v>44768</v>
      </c>
      <c r="H69" s="14">
        <f t="shared" si="2"/>
        <v>2022</v>
      </c>
      <c r="I69" s="12">
        <f>1.6*58248</f>
        <v>93196.800000000003</v>
      </c>
      <c r="J69" s="10">
        <v>3233</v>
      </c>
      <c r="K69" s="11">
        <v>44861</v>
      </c>
      <c r="L69" s="14">
        <f t="shared" si="3"/>
        <v>2022</v>
      </c>
      <c r="M69" s="12">
        <v>96496</v>
      </c>
    </row>
    <row r="70" spans="1:13" ht="15.75" customHeight="1" x14ac:dyDescent="0.25">
      <c r="A70" s="9" t="s">
        <v>15</v>
      </c>
      <c r="B70" s="9" t="s">
        <v>20</v>
      </c>
      <c r="C70" s="10" t="s">
        <v>21</v>
      </c>
      <c r="D70" s="9" t="s">
        <v>22</v>
      </c>
      <c r="E70" s="9" t="s">
        <v>69</v>
      </c>
      <c r="F70" s="10">
        <v>2212</v>
      </c>
      <c r="G70" s="11">
        <v>44768</v>
      </c>
      <c r="H70" s="14">
        <f t="shared" si="2"/>
        <v>2022</v>
      </c>
      <c r="I70" s="12">
        <f>2.6*54248</f>
        <v>141044.80000000002</v>
      </c>
      <c r="J70" s="10">
        <v>3232</v>
      </c>
      <c r="K70" s="11">
        <v>44861</v>
      </c>
      <c r="L70" s="14">
        <f t="shared" si="3"/>
        <v>2022</v>
      </c>
      <c r="M70" s="12">
        <v>156806</v>
      </c>
    </row>
    <row r="71" spans="1:13" ht="15.75" customHeight="1" x14ac:dyDescent="0.25">
      <c r="A71" s="9" t="s">
        <v>15</v>
      </c>
      <c r="B71" s="9" t="s">
        <v>42</v>
      </c>
      <c r="C71" s="10" t="s">
        <v>21</v>
      </c>
      <c r="D71" s="9" t="s">
        <v>22</v>
      </c>
      <c r="E71" s="9" t="s">
        <v>14</v>
      </c>
      <c r="F71" s="10">
        <v>2978</v>
      </c>
      <c r="G71" s="11">
        <v>44182</v>
      </c>
      <c r="H71" s="14">
        <f t="shared" si="2"/>
        <v>2020</v>
      </c>
      <c r="I71" s="12">
        <f>2449.65*51029</f>
        <v>125003189.85000001</v>
      </c>
      <c r="J71" s="10">
        <v>1561</v>
      </c>
      <c r="K71" s="11">
        <v>44707</v>
      </c>
      <c r="L71" s="14">
        <f t="shared" si="3"/>
        <v>2022</v>
      </c>
      <c r="M71" s="12">
        <v>122657002</v>
      </c>
    </row>
    <row r="72" spans="1:13" ht="15.75" customHeight="1" x14ac:dyDescent="0.25">
      <c r="A72" s="9" t="s">
        <v>15</v>
      </c>
      <c r="B72" s="9" t="s">
        <v>42</v>
      </c>
      <c r="C72" s="10" t="s">
        <v>21</v>
      </c>
      <c r="D72" s="9" t="s">
        <v>22</v>
      </c>
      <c r="E72" s="9" t="s">
        <v>47</v>
      </c>
      <c r="F72" s="10">
        <v>3072</v>
      </c>
      <c r="G72" s="11">
        <v>44187</v>
      </c>
      <c r="H72" s="14">
        <f t="shared" si="2"/>
        <v>2020</v>
      </c>
      <c r="I72" s="12">
        <f>3898.65*51029</f>
        <v>198944210.84999999</v>
      </c>
      <c r="J72" s="10">
        <v>3006</v>
      </c>
      <c r="K72" s="11">
        <v>44834</v>
      </c>
      <c r="L72" s="14">
        <f t="shared" si="3"/>
        <v>2022</v>
      </c>
      <c r="M72" s="12">
        <v>216008052</v>
      </c>
    </row>
    <row r="73" spans="1:13" ht="15.75" customHeight="1" x14ac:dyDescent="0.25">
      <c r="A73" s="9" t="s">
        <v>15</v>
      </c>
      <c r="B73" s="9" t="s">
        <v>42</v>
      </c>
      <c r="C73" s="10" t="s">
        <v>21</v>
      </c>
      <c r="D73" s="9" t="s">
        <v>22</v>
      </c>
      <c r="E73" s="9" t="s">
        <v>47</v>
      </c>
      <c r="F73" s="10">
        <v>123</v>
      </c>
      <c r="G73" s="11">
        <v>44210</v>
      </c>
      <c r="H73" s="14">
        <f t="shared" si="2"/>
        <v>2021</v>
      </c>
      <c r="I73" s="12">
        <v>20570157</v>
      </c>
      <c r="J73" s="10">
        <v>3836</v>
      </c>
      <c r="K73" s="11">
        <v>44911</v>
      </c>
      <c r="L73" s="14">
        <f t="shared" si="3"/>
        <v>2022</v>
      </c>
      <c r="M73" s="12">
        <v>12971401</v>
      </c>
    </row>
    <row r="74" spans="1:13" ht="15.75" customHeight="1" x14ac:dyDescent="0.25">
      <c r="A74" s="9" t="s">
        <v>15</v>
      </c>
      <c r="B74" s="9" t="s">
        <v>42</v>
      </c>
      <c r="C74" s="10" t="s">
        <v>21</v>
      </c>
      <c r="D74" s="9" t="s">
        <v>22</v>
      </c>
      <c r="E74" s="9" t="s">
        <v>19</v>
      </c>
      <c r="F74" s="10">
        <v>2282</v>
      </c>
      <c r="G74" s="11">
        <v>44770</v>
      </c>
      <c r="H74" s="14">
        <f t="shared" si="2"/>
        <v>2022</v>
      </c>
      <c r="I74" s="12">
        <v>59540474</v>
      </c>
      <c r="J74" s="10">
        <v>3492</v>
      </c>
      <c r="K74" s="11">
        <v>44890</v>
      </c>
      <c r="L74" s="14">
        <f t="shared" si="3"/>
        <v>2022</v>
      </c>
      <c r="M74" s="12">
        <v>59540474</v>
      </c>
    </row>
    <row r="75" spans="1:13" ht="15.75" customHeight="1" x14ac:dyDescent="0.25">
      <c r="A75" s="9" t="s">
        <v>15</v>
      </c>
      <c r="B75" s="9" t="s">
        <v>42</v>
      </c>
      <c r="C75" s="10" t="s">
        <v>21</v>
      </c>
      <c r="D75" s="9" t="s">
        <v>22</v>
      </c>
      <c r="E75" s="9" t="s">
        <v>19</v>
      </c>
      <c r="F75" s="10">
        <v>2283</v>
      </c>
      <c r="G75" s="11">
        <v>44770</v>
      </c>
      <c r="H75" s="14">
        <f t="shared" si="2"/>
        <v>2022</v>
      </c>
      <c r="I75" s="12">
        <v>50732480</v>
      </c>
      <c r="J75" s="10">
        <v>3491</v>
      </c>
      <c r="K75" s="11">
        <v>44890</v>
      </c>
      <c r="L75" s="14">
        <f t="shared" si="3"/>
        <v>2022</v>
      </c>
      <c r="M75" s="12">
        <v>50732480</v>
      </c>
    </row>
    <row r="76" spans="1:13" ht="15.75" customHeight="1" x14ac:dyDescent="0.25">
      <c r="A76" s="9" t="s">
        <v>15</v>
      </c>
      <c r="B76" s="9" t="s">
        <v>42</v>
      </c>
      <c r="C76" s="10" t="s">
        <v>21</v>
      </c>
      <c r="D76" s="9" t="s">
        <v>22</v>
      </c>
      <c r="E76" s="9" t="s">
        <v>47</v>
      </c>
      <c r="F76" s="10">
        <v>174</v>
      </c>
      <c r="G76" s="11">
        <v>44211</v>
      </c>
      <c r="H76" s="14">
        <f t="shared" si="2"/>
        <v>2021</v>
      </c>
      <c r="I76" s="12">
        <f>1084.65*50978</f>
        <v>55293287.700000003</v>
      </c>
      <c r="J76" s="10">
        <v>2897</v>
      </c>
      <c r="K76" s="11">
        <v>44834</v>
      </c>
      <c r="L76" s="14">
        <f t="shared" si="3"/>
        <v>2022</v>
      </c>
      <c r="M76" s="12">
        <v>53563990</v>
      </c>
    </row>
    <row r="77" spans="1:13" ht="15.75" customHeight="1" x14ac:dyDescent="0.25">
      <c r="A77" s="9" t="s">
        <v>15</v>
      </c>
      <c r="B77" s="9" t="s">
        <v>42</v>
      </c>
      <c r="C77" s="10" t="s">
        <v>21</v>
      </c>
      <c r="D77" s="9" t="s">
        <v>22</v>
      </c>
      <c r="E77" s="9" t="s">
        <v>47</v>
      </c>
      <c r="F77" s="10">
        <v>175</v>
      </c>
      <c r="G77" s="11">
        <v>44211</v>
      </c>
      <c r="H77" s="14">
        <f t="shared" si="2"/>
        <v>2021</v>
      </c>
      <c r="I77" s="12">
        <f>4311.65*50978</f>
        <v>219799293.69999999</v>
      </c>
      <c r="J77" s="10">
        <v>2896</v>
      </c>
      <c r="K77" s="11">
        <v>44834</v>
      </c>
      <c r="L77" s="14">
        <f t="shared" si="3"/>
        <v>2022</v>
      </c>
      <c r="M77" s="12">
        <v>224434784</v>
      </c>
    </row>
    <row r="78" spans="1:13" ht="15.75" customHeight="1" x14ac:dyDescent="0.25">
      <c r="A78" s="9" t="s">
        <v>15</v>
      </c>
      <c r="B78" s="9" t="s">
        <v>42</v>
      </c>
      <c r="C78" s="10" t="s">
        <v>21</v>
      </c>
      <c r="D78" s="9" t="s">
        <v>22</v>
      </c>
      <c r="E78" s="9" t="s">
        <v>47</v>
      </c>
      <c r="F78" s="10">
        <v>176</v>
      </c>
      <c r="G78" s="11">
        <v>44211</v>
      </c>
      <c r="H78" s="14">
        <f t="shared" si="2"/>
        <v>2021</v>
      </c>
      <c r="I78" s="12">
        <v>99404587</v>
      </c>
      <c r="J78" s="10">
        <v>3835</v>
      </c>
      <c r="K78" s="11">
        <v>44911</v>
      </c>
      <c r="L78" s="14">
        <f t="shared" si="3"/>
        <v>2022</v>
      </c>
      <c r="M78" s="12">
        <v>79262531</v>
      </c>
    </row>
    <row r="79" spans="1:13" ht="15.75" customHeight="1" x14ac:dyDescent="0.25">
      <c r="A79" s="9" t="s">
        <v>15</v>
      </c>
      <c r="B79" s="9" t="s">
        <v>42</v>
      </c>
      <c r="C79" s="10" t="s">
        <v>21</v>
      </c>
      <c r="D79" s="9" t="s">
        <v>22</v>
      </c>
      <c r="E79" s="9" t="s">
        <v>47</v>
      </c>
      <c r="F79" s="10">
        <v>177</v>
      </c>
      <c r="G79" s="11">
        <v>44211</v>
      </c>
      <c r="H79" s="14">
        <f t="shared" si="2"/>
        <v>2021</v>
      </c>
      <c r="I79" s="12">
        <f>1396.5*50978</f>
        <v>71190777</v>
      </c>
      <c r="J79" s="10">
        <v>3997</v>
      </c>
      <c r="K79" s="11">
        <v>44922</v>
      </c>
      <c r="L79" s="14">
        <f t="shared" si="3"/>
        <v>2022</v>
      </c>
      <c r="M79" s="12">
        <v>69416253</v>
      </c>
    </row>
    <row r="80" spans="1:13" ht="15.75" customHeight="1" x14ac:dyDescent="0.25">
      <c r="A80" s="9" t="s">
        <v>15</v>
      </c>
      <c r="B80" s="9" t="s">
        <v>42</v>
      </c>
      <c r="C80" s="10" t="s">
        <v>21</v>
      </c>
      <c r="D80" s="9" t="s">
        <v>22</v>
      </c>
      <c r="E80" s="9" t="s">
        <v>14</v>
      </c>
      <c r="F80" s="10">
        <v>255</v>
      </c>
      <c r="G80" s="11">
        <v>44215</v>
      </c>
      <c r="H80" s="14">
        <f t="shared" si="2"/>
        <v>2021</v>
      </c>
      <c r="I80" s="12">
        <f>755.3*50978</f>
        <v>38503683.399999999</v>
      </c>
      <c r="J80" s="10">
        <v>2893</v>
      </c>
      <c r="K80" s="11">
        <v>44834</v>
      </c>
      <c r="L80" s="14">
        <f t="shared" si="3"/>
        <v>2022</v>
      </c>
      <c r="M80" s="12">
        <v>39922697</v>
      </c>
    </row>
    <row r="81" spans="1:13" ht="15.75" customHeight="1" x14ac:dyDescent="0.25">
      <c r="A81" s="9" t="s">
        <v>15</v>
      </c>
      <c r="B81" s="9" t="s">
        <v>42</v>
      </c>
      <c r="C81" s="10" t="s">
        <v>21</v>
      </c>
      <c r="D81" s="9" t="s">
        <v>22</v>
      </c>
      <c r="E81" s="9" t="s">
        <v>14</v>
      </c>
      <c r="F81" s="10">
        <v>256</v>
      </c>
      <c r="G81" s="11">
        <v>44215</v>
      </c>
      <c r="H81" s="14">
        <f t="shared" si="2"/>
        <v>2021</v>
      </c>
      <c r="I81" s="12">
        <f>2181.65*50978</f>
        <v>111216153.7</v>
      </c>
      <c r="J81" s="10">
        <v>3488</v>
      </c>
      <c r="K81" s="11">
        <v>44890</v>
      </c>
      <c r="L81" s="14">
        <f t="shared" si="3"/>
        <v>2022</v>
      </c>
      <c r="M81" s="12">
        <v>120847963</v>
      </c>
    </row>
    <row r="82" spans="1:13" ht="15.75" customHeight="1" x14ac:dyDescent="0.25">
      <c r="A82" s="9" t="s">
        <v>15</v>
      </c>
      <c r="B82" s="9" t="s">
        <v>42</v>
      </c>
      <c r="C82" s="10" t="s">
        <v>21</v>
      </c>
      <c r="D82" s="9" t="s">
        <v>22</v>
      </c>
      <c r="E82" s="9" t="s">
        <v>14</v>
      </c>
      <c r="F82" s="10">
        <v>24</v>
      </c>
      <c r="G82" s="11">
        <v>44207</v>
      </c>
      <c r="H82" s="14">
        <f t="shared" si="2"/>
        <v>2021</v>
      </c>
      <c r="I82" s="12">
        <f>2375.45*50978</f>
        <v>121095690.09999999</v>
      </c>
      <c r="J82" s="10">
        <v>3998</v>
      </c>
      <c r="K82" s="11">
        <v>44922</v>
      </c>
      <c r="L82" s="14">
        <f t="shared" si="3"/>
        <v>2022</v>
      </c>
      <c r="M82" s="12">
        <v>131083916</v>
      </c>
    </row>
    <row r="83" spans="1:13" ht="15.75" customHeight="1" x14ac:dyDescent="0.25">
      <c r="A83" s="9" t="s">
        <v>15</v>
      </c>
      <c r="B83" s="9" t="s">
        <v>42</v>
      </c>
      <c r="C83" s="10" t="s">
        <v>21</v>
      </c>
      <c r="D83" s="9" t="s">
        <v>22</v>
      </c>
      <c r="E83" s="9" t="s">
        <v>14</v>
      </c>
      <c r="F83" s="10">
        <v>56</v>
      </c>
      <c r="G83" s="11">
        <v>44207</v>
      </c>
      <c r="H83" s="14">
        <f t="shared" si="2"/>
        <v>2021</v>
      </c>
      <c r="I83" s="12">
        <f>10.5*50978</f>
        <v>535269</v>
      </c>
      <c r="J83" s="10">
        <v>2837</v>
      </c>
      <c r="K83" s="11">
        <v>44831</v>
      </c>
      <c r="L83" s="14">
        <f t="shared" si="3"/>
        <v>2022</v>
      </c>
      <c r="M83" s="12">
        <v>625748</v>
      </c>
    </row>
    <row r="84" spans="1:13" ht="15.75" customHeight="1" x14ac:dyDescent="0.25">
      <c r="A84" s="9" t="s">
        <v>15</v>
      </c>
      <c r="B84" s="9" t="s">
        <v>42</v>
      </c>
      <c r="C84" s="10" t="s">
        <v>21</v>
      </c>
      <c r="D84" s="9" t="s">
        <v>22</v>
      </c>
      <c r="E84" s="9" t="s">
        <v>14</v>
      </c>
      <c r="F84" s="10">
        <v>1084</v>
      </c>
      <c r="G84" s="11">
        <v>44302</v>
      </c>
      <c r="H84" s="14">
        <f t="shared" si="2"/>
        <v>2021</v>
      </c>
      <c r="I84" s="12">
        <f>267.75*50978</f>
        <v>13649359.5</v>
      </c>
      <c r="J84" s="10">
        <v>3655</v>
      </c>
      <c r="K84" s="11">
        <v>44901</v>
      </c>
      <c r="L84" s="14">
        <f t="shared" si="3"/>
        <v>2022</v>
      </c>
      <c r="M84" s="12">
        <v>15732638</v>
      </c>
    </row>
    <row r="85" spans="1:13" ht="15.75" customHeight="1" x14ac:dyDescent="0.25">
      <c r="A85" s="9" t="s">
        <v>15</v>
      </c>
      <c r="B85" s="9" t="s">
        <v>42</v>
      </c>
      <c r="C85" s="10" t="s">
        <v>21</v>
      </c>
      <c r="D85" s="9" t="s">
        <v>22</v>
      </c>
      <c r="E85" s="9" t="s">
        <v>14</v>
      </c>
      <c r="F85" s="10">
        <v>1085</v>
      </c>
      <c r="G85" s="11">
        <v>44302</v>
      </c>
      <c r="H85" s="14">
        <f t="shared" si="2"/>
        <v>2021</v>
      </c>
      <c r="I85" s="12">
        <f>178.5*50978</f>
        <v>9099573</v>
      </c>
      <c r="J85" s="10">
        <v>2836</v>
      </c>
      <c r="K85" s="11">
        <v>44831</v>
      </c>
      <c r="L85" s="14">
        <f t="shared" si="3"/>
        <v>2022</v>
      </c>
      <c r="M85" s="12">
        <v>9699090</v>
      </c>
    </row>
    <row r="86" spans="1:13" ht="15.75" customHeight="1" x14ac:dyDescent="0.25">
      <c r="A86" s="9" t="s">
        <v>15</v>
      </c>
      <c r="B86" s="9" t="s">
        <v>42</v>
      </c>
      <c r="C86" s="10" t="s">
        <v>21</v>
      </c>
      <c r="D86" s="9" t="s">
        <v>22</v>
      </c>
      <c r="E86" s="9" t="s">
        <v>14</v>
      </c>
      <c r="F86" s="10">
        <v>1086</v>
      </c>
      <c r="G86" s="11">
        <v>44302</v>
      </c>
      <c r="H86" s="14">
        <f t="shared" si="2"/>
        <v>2021</v>
      </c>
      <c r="I86" s="12">
        <f>190.05*50978</f>
        <v>9688368.9000000004</v>
      </c>
      <c r="J86" s="10">
        <v>2818</v>
      </c>
      <c r="K86" s="11">
        <v>44830</v>
      </c>
      <c r="L86" s="14">
        <f t="shared" si="3"/>
        <v>2022</v>
      </c>
      <c r="M86" s="12">
        <v>10700283</v>
      </c>
    </row>
    <row r="87" spans="1:13" ht="15.75" customHeight="1" x14ac:dyDescent="0.25">
      <c r="A87" s="9" t="s">
        <v>15</v>
      </c>
      <c r="B87" s="9" t="s">
        <v>42</v>
      </c>
      <c r="C87" s="10" t="s">
        <v>21</v>
      </c>
      <c r="D87" s="9" t="s">
        <v>22</v>
      </c>
      <c r="E87" s="9" t="s">
        <v>47</v>
      </c>
      <c r="F87" s="10">
        <v>1365</v>
      </c>
      <c r="G87" s="11">
        <v>44326</v>
      </c>
      <c r="H87" s="14">
        <f t="shared" si="2"/>
        <v>2021</v>
      </c>
      <c r="I87" s="12">
        <f>546.7*51798</f>
        <v>28317966.600000001</v>
      </c>
      <c r="J87" s="10">
        <v>2894</v>
      </c>
      <c r="K87" s="11">
        <v>44834</v>
      </c>
      <c r="L87" s="14">
        <f t="shared" si="3"/>
        <v>2022</v>
      </c>
      <c r="M87" s="12">
        <v>17646081</v>
      </c>
    </row>
    <row r="88" spans="1:13" ht="15.75" customHeight="1" x14ac:dyDescent="0.25">
      <c r="A88" s="9" t="s">
        <v>15</v>
      </c>
      <c r="B88" s="9" t="s">
        <v>42</v>
      </c>
      <c r="C88" s="10" t="s">
        <v>21</v>
      </c>
      <c r="D88" s="9" t="s">
        <v>22</v>
      </c>
      <c r="E88" s="9" t="s">
        <v>47</v>
      </c>
      <c r="F88" s="10">
        <v>1366</v>
      </c>
      <c r="G88" s="11">
        <v>44326</v>
      </c>
      <c r="H88" s="14">
        <f t="shared" si="2"/>
        <v>2021</v>
      </c>
      <c r="I88" s="12">
        <f>5.95*51798</f>
        <v>308198.10000000003</v>
      </c>
      <c r="J88" s="10">
        <v>3877</v>
      </c>
      <c r="K88" s="11">
        <v>44915</v>
      </c>
      <c r="L88" s="14">
        <f t="shared" si="3"/>
        <v>2022</v>
      </c>
      <c r="M88" s="12">
        <v>363884</v>
      </c>
    </row>
    <row r="89" spans="1:13" ht="15.75" customHeight="1" x14ac:dyDescent="0.25">
      <c r="A89" s="9" t="s">
        <v>10</v>
      </c>
      <c r="B89" s="9" t="s">
        <v>42</v>
      </c>
      <c r="C89" s="10" t="s">
        <v>21</v>
      </c>
      <c r="D89" s="9" t="s">
        <v>22</v>
      </c>
      <c r="E89" s="9" t="s">
        <v>69</v>
      </c>
      <c r="F89" s="10">
        <v>2573</v>
      </c>
      <c r="G89" s="11">
        <v>44473</v>
      </c>
      <c r="H89" s="14">
        <f t="shared" si="2"/>
        <v>2021</v>
      </c>
      <c r="I89" s="12">
        <f>3*52842</f>
        <v>158526</v>
      </c>
      <c r="J89" s="10">
        <v>3254</v>
      </c>
      <c r="K89" s="11">
        <v>44862</v>
      </c>
      <c r="L89" s="14">
        <f t="shared" si="3"/>
        <v>2022</v>
      </c>
      <c r="M89" s="12">
        <v>180930</v>
      </c>
    </row>
    <row r="90" spans="1:13" ht="15.75" customHeight="1" x14ac:dyDescent="0.25">
      <c r="A90" s="9" t="s">
        <v>15</v>
      </c>
      <c r="B90" s="9" t="s">
        <v>42</v>
      </c>
      <c r="C90" s="10" t="s">
        <v>21</v>
      </c>
      <c r="D90" s="9" t="s">
        <v>22</v>
      </c>
      <c r="E90" s="9" t="s">
        <v>47</v>
      </c>
      <c r="F90" s="10">
        <v>3073</v>
      </c>
      <c r="G90" s="11">
        <v>44187</v>
      </c>
      <c r="H90" s="14">
        <f t="shared" si="2"/>
        <v>2020</v>
      </c>
      <c r="I90" s="12">
        <f>2888.2*51029</f>
        <v>147381957.79999998</v>
      </c>
      <c r="J90" s="10">
        <v>2899</v>
      </c>
      <c r="K90" s="11">
        <v>44834</v>
      </c>
      <c r="L90" s="14">
        <f t="shared" si="3"/>
        <v>2022</v>
      </c>
      <c r="M90" s="12">
        <v>152890986</v>
      </c>
    </row>
    <row r="91" spans="1:13" ht="15.75" customHeight="1" x14ac:dyDescent="0.25">
      <c r="A91" s="9" t="s">
        <v>15</v>
      </c>
      <c r="B91" s="9" t="s">
        <v>42</v>
      </c>
      <c r="C91" s="10" t="s">
        <v>21</v>
      </c>
      <c r="D91" s="9" t="s">
        <v>75</v>
      </c>
      <c r="E91" s="9" t="s">
        <v>14</v>
      </c>
      <c r="F91" s="10">
        <v>3420</v>
      </c>
      <c r="G91" s="11">
        <v>44554</v>
      </c>
      <c r="H91" s="14">
        <f t="shared" si="2"/>
        <v>2021</v>
      </c>
      <c r="I91" s="12">
        <f>778.75*52842</f>
        <v>41150707.5</v>
      </c>
      <c r="J91" s="10">
        <v>2898</v>
      </c>
      <c r="K91" s="11">
        <v>44834</v>
      </c>
      <c r="L91" s="14">
        <f t="shared" si="3"/>
        <v>2022</v>
      </c>
      <c r="M91" s="12">
        <v>39192667</v>
      </c>
    </row>
    <row r="92" spans="1:13" ht="15.75" customHeight="1" x14ac:dyDescent="0.25">
      <c r="A92" s="9" t="s">
        <v>15</v>
      </c>
      <c r="B92" s="9" t="s">
        <v>42</v>
      </c>
      <c r="C92" s="10" t="s">
        <v>21</v>
      </c>
      <c r="D92" s="9" t="s">
        <v>75</v>
      </c>
      <c r="E92" s="9" t="s">
        <v>14</v>
      </c>
      <c r="F92" s="10">
        <v>166</v>
      </c>
      <c r="G92" s="11">
        <v>44580</v>
      </c>
      <c r="H92" s="14">
        <f t="shared" si="2"/>
        <v>2022</v>
      </c>
      <c r="I92" s="12">
        <f>115.5*54445</f>
        <v>6288397.5</v>
      </c>
      <c r="J92" s="10">
        <v>2895</v>
      </c>
      <c r="K92" s="11">
        <v>44834</v>
      </c>
      <c r="L92" s="14">
        <f t="shared" si="3"/>
        <v>2022</v>
      </c>
      <c r="M92" s="12">
        <v>5005983</v>
      </c>
    </row>
    <row r="93" spans="1:13" ht="15.75" customHeight="1" x14ac:dyDescent="0.25">
      <c r="A93" s="9" t="s">
        <v>15</v>
      </c>
      <c r="B93" s="9" t="s">
        <v>42</v>
      </c>
      <c r="C93" s="10" t="s">
        <v>21</v>
      </c>
      <c r="D93" s="9" t="s">
        <v>22</v>
      </c>
      <c r="E93" s="9" t="s">
        <v>14</v>
      </c>
      <c r="F93" s="10">
        <v>167</v>
      </c>
      <c r="G93" s="11">
        <v>44580</v>
      </c>
      <c r="H93" s="14">
        <f t="shared" si="2"/>
        <v>2022</v>
      </c>
      <c r="I93" s="12">
        <f>126*54445</f>
        <v>6860070</v>
      </c>
      <c r="J93" s="10">
        <v>3229</v>
      </c>
      <c r="K93" s="11">
        <v>44861</v>
      </c>
      <c r="L93" s="14">
        <f t="shared" si="3"/>
        <v>2022</v>
      </c>
      <c r="M93" s="12">
        <v>7599060</v>
      </c>
    </row>
    <row r="94" spans="1:13" ht="15.75" customHeight="1" x14ac:dyDescent="0.25">
      <c r="A94" s="9" t="s">
        <v>15</v>
      </c>
      <c r="B94" s="9" t="s">
        <v>42</v>
      </c>
      <c r="C94" s="10" t="s">
        <v>21</v>
      </c>
      <c r="D94" s="9" t="s">
        <v>75</v>
      </c>
      <c r="E94" s="9" t="s">
        <v>14</v>
      </c>
      <c r="F94" s="10">
        <v>183</v>
      </c>
      <c r="G94" s="11">
        <v>44580</v>
      </c>
      <c r="H94" s="14">
        <f t="shared" si="2"/>
        <v>2022</v>
      </c>
      <c r="I94" s="12">
        <f>36.75*54445</f>
        <v>2000853.75</v>
      </c>
      <c r="J94" s="10">
        <v>3876</v>
      </c>
      <c r="K94" s="11">
        <v>44915</v>
      </c>
      <c r="L94" s="14">
        <f t="shared" si="3"/>
        <v>2022</v>
      </c>
      <c r="M94" s="12">
        <v>2247520</v>
      </c>
    </row>
    <row r="95" spans="1:13" ht="15.75" customHeight="1" x14ac:dyDescent="0.25">
      <c r="A95" s="9" t="s">
        <v>15</v>
      </c>
      <c r="B95" s="9" t="s">
        <v>42</v>
      </c>
      <c r="C95" s="10" t="s">
        <v>21</v>
      </c>
      <c r="D95" s="9" t="s">
        <v>75</v>
      </c>
      <c r="E95" s="9" t="s">
        <v>47</v>
      </c>
      <c r="F95" s="10">
        <v>184</v>
      </c>
      <c r="G95" s="11">
        <v>44580</v>
      </c>
      <c r="H95" s="14">
        <f t="shared" si="2"/>
        <v>2022</v>
      </c>
      <c r="I95" s="12">
        <f>10.85*54445</f>
        <v>590728.25</v>
      </c>
      <c r="J95" s="10">
        <v>3225</v>
      </c>
      <c r="K95" s="11">
        <v>44861</v>
      </c>
      <c r="L95" s="14">
        <f t="shared" si="3"/>
        <v>2022</v>
      </c>
      <c r="M95" s="12">
        <v>654364</v>
      </c>
    </row>
    <row r="96" spans="1:13" ht="15.75" customHeight="1" x14ac:dyDescent="0.25">
      <c r="A96" s="9" t="s">
        <v>15</v>
      </c>
      <c r="B96" s="9" t="s">
        <v>42</v>
      </c>
      <c r="C96" s="10" t="s">
        <v>21</v>
      </c>
      <c r="D96" s="9" t="s">
        <v>22</v>
      </c>
      <c r="E96" s="9" t="s">
        <v>47</v>
      </c>
      <c r="F96" s="10">
        <v>186</v>
      </c>
      <c r="G96" s="11">
        <v>44580</v>
      </c>
      <c r="H96" s="14">
        <f t="shared" si="2"/>
        <v>2022</v>
      </c>
      <c r="I96" s="12">
        <f>1247.4*54445</f>
        <v>67914693</v>
      </c>
      <c r="J96" s="10">
        <v>3226</v>
      </c>
      <c r="K96" s="11">
        <v>44861</v>
      </c>
      <c r="L96" s="14">
        <f t="shared" si="3"/>
        <v>2022</v>
      </c>
      <c r="M96" s="12">
        <v>75230694</v>
      </c>
    </row>
    <row r="97" spans="1:13" ht="15.75" customHeight="1" x14ac:dyDescent="0.25">
      <c r="A97" s="9" t="s">
        <v>15</v>
      </c>
      <c r="B97" s="9" t="s">
        <v>42</v>
      </c>
      <c r="C97" s="10" t="s">
        <v>21</v>
      </c>
      <c r="D97" s="9" t="s">
        <v>22</v>
      </c>
      <c r="E97" s="9" t="s">
        <v>14</v>
      </c>
      <c r="F97" s="10">
        <v>187</v>
      </c>
      <c r="G97" s="11">
        <v>44580</v>
      </c>
      <c r="H97" s="14">
        <f t="shared" si="2"/>
        <v>2022</v>
      </c>
      <c r="I97" s="12">
        <f>84*54445</f>
        <v>4573380</v>
      </c>
      <c r="J97" s="10">
        <v>3227</v>
      </c>
      <c r="K97" s="11">
        <v>44861</v>
      </c>
      <c r="L97" s="14">
        <f t="shared" si="3"/>
        <v>2022</v>
      </c>
      <c r="M97" s="12">
        <v>5066040</v>
      </c>
    </row>
    <row r="98" spans="1:13" ht="15.75" customHeight="1" x14ac:dyDescent="0.25">
      <c r="A98" s="9" t="s">
        <v>15</v>
      </c>
      <c r="B98" s="9" t="s">
        <v>42</v>
      </c>
      <c r="C98" s="10" t="s">
        <v>21</v>
      </c>
      <c r="D98" s="9" t="s">
        <v>75</v>
      </c>
      <c r="E98" s="9" t="s">
        <v>14</v>
      </c>
      <c r="F98" s="10">
        <v>188</v>
      </c>
      <c r="G98" s="11">
        <v>44580</v>
      </c>
      <c r="H98" s="14">
        <f t="shared" si="2"/>
        <v>2022</v>
      </c>
      <c r="I98" s="12">
        <f>57.75*54445</f>
        <v>3144198.75</v>
      </c>
      <c r="J98" s="10">
        <v>3228</v>
      </c>
      <c r="K98" s="11">
        <v>44861</v>
      </c>
      <c r="L98" s="14">
        <f t="shared" si="3"/>
        <v>2022</v>
      </c>
      <c r="M98" s="12">
        <v>3482903</v>
      </c>
    </row>
    <row r="99" spans="1:13" ht="15.75" customHeight="1" x14ac:dyDescent="0.25">
      <c r="A99" s="9" t="s">
        <v>15</v>
      </c>
      <c r="B99" s="9" t="s">
        <v>42</v>
      </c>
      <c r="C99" s="10" t="s">
        <v>21</v>
      </c>
      <c r="D99" s="9" t="s">
        <v>22</v>
      </c>
      <c r="E99" s="9" t="s">
        <v>19</v>
      </c>
      <c r="F99" s="10">
        <v>1921</v>
      </c>
      <c r="G99" s="11">
        <v>44748</v>
      </c>
      <c r="H99" s="14">
        <f t="shared" si="2"/>
        <v>2022</v>
      </c>
      <c r="I99" s="12">
        <v>1707917</v>
      </c>
      <c r="J99" s="10">
        <v>3692</v>
      </c>
      <c r="K99" s="11">
        <v>44904</v>
      </c>
      <c r="L99" s="14">
        <f t="shared" si="3"/>
        <v>2022</v>
      </c>
      <c r="M99" s="12">
        <v>1707917</v>
      </c>
    </row>
    <row r="100" spans="1:13" ht="15.75" customHeight="1" x14ac:dyDescent="0.25">
      <c r="A100" s="9" t="s">
        <v>10</v>
      </c>
      <c r="B100" s="9" t="s">
        <v>42</v>
      </c>
      <c r="C100" s="10" t="s">
        <v>21</v>
      </c>
      <c r="D100" s="9" t="s">
        <v>22</v>
      </c>
      <c r="E100" s="9" t="s">
        <v>14</v>
      </c>
      <c r="F100" s="10">
        <v>1919</v>
      </c>
      <c r="G100" s="11">
        <v>44748</v>
      </c>
      <c r="H100" s="14">
        <f t="shared" si="2"/>
        <v>2022</v>
      </c>
      <c r="I100" s="12">
        <f>139.89*58248</f>
        <v>8148312.7199999988</v>
      </c>
      <c r="J100" s="10">
        <v>3649</v>
      </c>
      <c r="K100" s="11">
        <v>44901</v>
      </c>
      <c r="L100" s="14">
        <f t="shared" si="3"/>
        <v>2022</v>
      </c>
      <c r="M100" s="12">
        <v>8555253</v>
      </c>
    </row>
    <row r="101" spans="1:13" ht="15.75" customHeight="1" x14ac:dyDescent="0.25">
      <c r="A101" s="9" t="s">
        <v>10</v>
      </c>
      <c r="B101" s="9" t="s">
        <v>42</v>
      </c>
      <c r="C101" s="10" t="s">
        <v>21</v>
      </c>
      <c r="D101" s="9" t="s">
        <v>22</v>
      </c>
      <c r="E101" s="9" t="s">
        <v>14</v>
      </c>
      <c r="F101" s="10">
        <v>1920</v>
      </c>
      <c r="G101" s="11">
        <v>44748</v>
      </c>
      <c r="H101" s="14">
        <f t="shared" si="2"/>
        <v>2022</v>
      </c>
      <c r="I101" s="12">
        <f>68.52*58248</f>
        <v>3991152.96</v>
      </c>
      <c r="J101" s="10">
        <v>3648</v>
      </c>
      <c r="K101" s="11">
        <v>44901</v>
      </c>
      <c r="L101" s="14">
        <f t="shared" si="3"/>
        <v>2022</v>
      </c>
      <c r="M101" s="12">
        <v>4190478</v>
      </c>
    </row>
    <row r="102" spans="1:13" ht="15.75" customHeight="1" x14ac:dyDescent="0.25">
      <c r="A102" s="9" t="s">
        <v>15</v>
      </c>
      <c r="B102" s="9" t="s">
        <v>42</v>
      </c>
      <c r="C102" s="10" t="s">
        <v>21</v>
      </c>
      <c r="D102" s="9" t="s">
        <v>22</v>
      </c>
      <c r="E102" s="9" t="s">
        <v>23</v>
      </c>
      <c r="F102" s="10">
        <v>2335</v>
      </c>
      <c r="G102" s="11">
        <v>44770</v>
      </c>
      <c r="H102" s="14">
        <f t="shared" si="2"/>
        <v>2022</v>
      </c>
      <c r="I102" s="12">
        <v>31245157</v>
      </c>
      <c r="J102" s="10">
        <v>3489</v>
      </c>
      <c r="K102" s="11">
        <v>44890</v>
      </c>
      <c r="L102" s="14">
        <f t="shared" si="3"/>
        <v>2022</v>
      </c>
      <c r="M102" s="12">
        <v>17098636</v>
      </c>
    </row>
    <row r="103" spans="1:13" ht="15.75" customHeight="1" x14ac:dyDescent="0.25">
      <c r="A103" s="9" t="s">
        <v>15</v>
      </c>
      <c r="B103" s="9" t="s">
        <v>42</v>
      </c>
      <c r="C103" s="10" t="s">
        <v>21</v>
      </c>
      <c r="D103" s="9" t="s">
        <v>75</v>
      </c>
      <c r="E103" s="9" t="s">
        <v>23</v>
      </c>
      <c r="F103" s="10">
        <v>2326</v>
      </c>
      <c r="G103" s="11">
        <v>44770</v>
      </c>
      <c r="H103" s="14">
        <f t="shared" si="2"/>
        <v>2022</v>
      </c>
      <c r="I103" s="12">
        <v>117308377</v>
      </c>
      <c r="J103" s="10">
        <v>3490</v>
      </c>
      <c r="K103" s="11">
        <v>44890</v>
      </c>
      <c r="L103" s="14">
        <f t="shared" si="3"/>
        <v>2022</v>
      </c>
      <c r="M103" s="12">
        <v>117308377</v>
      </c>
    </row>
    <row r="104" spans="1:13" ht="15.75" customHeight="1" x14ac:dyDescent="0.25">
      <c r="A104" s="9" t="s">
        <v>59</v>
      </c>
      <c r="B104" s="9" t="s">
        <v>42</v>
      </c>
      <c r="C104" s="10" t="s">
        <v>21</v>
      </c>
      <c r="D104" s="9" t="s">
        <v>22</v>
      </c>
      <c r="E104" s="9" t="s">
        <v>14</v>
      </c>
      <c r="F104" s="10">
        <v>1925</v>
      </c>
      <c r="G104" s="11">
        <v>44748</v>
      </c>
      <c r="H104" s="14">
        <f t="shared" si="2"/>
        <v>2022</v>
      </c>
      <c r="I104" s="12">
        <f>0.035*58248</f>
        <v>2038.6800000000003</v>
      </c>
      <c r="J104" s="10">
        <v>3647</v>
      </c>
      <c r="K104" s="11">
        <v>44901</v>
      </c>
      <c r="L104" s="14">
        <f t="shared" si="3"/>
        <v>2022</v>
      </c>
      <c r="M104" s="12">
        <v>2140</v>
      </c>
    </row>
    <row r="105" spans="1:13" ht="15.75" customHeight="1" x14ac:dyDescent="0.25">
      <c r="A105" s="9" t="s">
        <v>15</v>
      </c>
      <c r="B105" s="9" t="s">
        <v>42</v>
      </c>
      <c r="C105" s="10" t="s">
        <v>21</v>
      </c>
      <c r="D105" s="9" t="s">
        <v>83</v>
      </c>
      <c r="E105" s="9" t="s">
        <v>72</v>
      </c>
      <c r="F105" s="10">
        <v>2123</v>
      </c>
      <c r="G105" s="11">
        <v>44760</v>
      </c>
      <c r="H105" s="14">
        <f t="shared" si="2"/>
        <v>2022</v>
      </c>
      <c r="I105" s="12">
        <f>5868*58248</f>
        <v>341799264</v>
      </c>
      <c r="J105" s="10">
        <v>3651</v>
      </c>
      <c r="K105" s="11">
        <v>44901</v>
      </c>
      <c r="L105" s="14">
        <f t="shared" si="3"/>
        <v>2022</v>
      </c>
      <c r="M105" s="12">
        <v>358869276</v>
      </c>
    </row>
    <row r="106" spans="1:13" ht="15.75" customHeight="1" x14ac:dyDescent="0.25">
      <c r="A106" s="9" t="s">
        <v>15</v>
      </c>
      <c r="B106" s="9" t="s">
        <v>42</v>
      </c>
      <c r="C106" s="10" t="s">
        <v>21</v>
      </c>
      <c r="D106" s="9" t="s">
        <v>83</v>
      </c>
      <c r="E106" s="9" t="s">
        <v>72</v>
      </c>
      <c r="F106" s="10">
        <v>1619</v>
      </c>
      <c r="G106" s="11">
        <v>44713</v>
      </c>
      <c r="H106" s="14">
        <f t="shared" si="2"/>
        <v>2022</v>
      </c>
      <c r="I106" s="12">
        <f>4336*57557</f>
        <v>249567152</v>
      </c>
      <c r="J106" s="10">
        <v>4123</v>
      </c>
      <c r="K106" s="11">
        <v>44924</v>
      </c>
      <c r="L106" s="14">
        <f t="shared" si="3"/>
        <v>2022</v>
      </c>
      <c r="M106" s="12">
        <v>265176752</v>
      </c>
    </row>
    <row r="107" spans="1:13" ht="15.75" customHeight="1" x14ac:dyDescent="0.25">
      <c r="A107" s="9" t="s">
        <v>15</v>
      </c>
      <c r="B107" s="9" t="s">
        <v>42</v>
      </c>
      <c r="C107" s="10" t="s">
        <v>21</v>
      </c>
      <c r="D107" s="9" t="s">
        <v>83</v>
      </c>
      <c r="E107" s="9" t="s">
        <v>72</v>
      </c>
      <c r="F107" s="10">
        <v>1652</v>
      </c>
      <c r="G107" s="11">
        <v>44714</v>
      </c>
      <c r="H107" s="14">
        <f t="shared" si="2"/>
        <v>2022</v>
      </c>
      <c r="I107" s="12">
        <f>3805*57557</f>
        <v>219004385</v>
      </c>
      <c r="J107" s="10">
        <v>4124</v>
      </c>
      <c r="K107" s="11">
        <v>44924</v>
      </c>
      <c r="L107" s="14">
        <f t="shared" si="3"/>
        <v>2022</v>
      </c>
      <c r="M107" s="12">
        <v>232702385</v>
      </c>
    </row>
    <row r="108" spans="1:13" ht="15.75" customHeight="1" x14ac:dyDescent="0.25">
      <c r="A108" s="9" t="s">
        <v>10</v>
      </c>
      <c r="B108" s="9" t="s">
        <v>42</v>
      </c>
      <c r="C108" s="10" t="s">
        <v>21</v>
      </c>
      <c r="D108" s="9" t="s">
        <v>22</v>
      </c>
      <c r="E108" s="9" t="s">
        <v>14</v>
      </c>
      <c r="F108" s="10">
        <v>2059</v>
      </c>
      <c r="G108" s="11">
        <v>44754</v>
      </c>
      <c r="H108" s="14">
        <f t="shared" si="2"/>
        <v>2022</v>
      </c>
      <c r="I108" s="12">
        <f>2454.2*58248</f>
        <v>142952241.59999999</v>
      </c>
      <c r="J108" s="10">
        <v>3646</v>
      </c>
      <c r="K108" s="11">
        <v>44901</v>
      </c>
      <c r="L108" s="14">
        <f t="shared" si="3"/>
        <v>2022</v>
      </c>
      <c r="M108" s="12">
        <v>150091509</v>
      </c>
    </row>
    <row r="109" spans="1:13" ht="15.75" customHeight="1" x14ac:dyDescent="0.25">
      <c r="A109" s="9" t="s">
        <v>15</v>
      </c>
      <c r="B109" s="9" t="s">
        <v>42</v>
      </c>
      <c r="C109" s="10" t="s">
        <v>21</v>
      </c>
      <c r="D109" s="9" t="s">
        <v>83</v>
      </c>
      <c r="E109" s="9" t="s">
        <v>72</v>
      </c>
      <c r="F109" s="10">
        <v>2122</v>
      </c>
      <c r="G109" s="11">
        <v>44760</v>
      </c>
      <c r="H109" s="14">
        <f t="shared" si="2"/>
        <v>2022</v>
      </c>
      <c r="I109" s="12">
        <f>960.21*58248</f>
        <v>55930312.080000006</v>
      </c>
      <c r="J109" s="10">
        <v>3746</v>
      </c>
      <c r="K109" s="11">
        <v>44908</v>
      </c>
      <c r="L109" s="14">
        <f t="shared" si="3"/>
        <v>2022</v>
      </c>
      <c r="M109" s="12">
        <v>58710720</v>
      </c>
    </row>
    <row r="110" spans="1:13" ht="15.75" customHeight="1" x14ac:dyDescent="0.25">
      <c r="A110" s="9" t="s">
        <v>59</v>
      </c>
      <c r="B110" s="9" t="s">
        <v>42</v>
      </c>
      <c r="C110" s="10" t="s">
        <v>21</v>
      </c>
      <c r="D110" s="9" t="s">
        <v>83</v>
      </c>
      <c r="E110" s="9" t="s">
        <v>72</v>
      </c>
      <c r="F110" s="10">
        <v>1924</v>
      </c>
      <c r="G110" s="11">
        <v>44748</v>
      </c>
      <c r="H110" s="14">
        <f t="shared" si="2"/>
        <v>2022</v>
      </c>
      <c r="I110" s="12">
        <f>722.68*58248</f>
        <v>42094664.640000001</v>
      </c>
      <c r="J110" s="10">
        <v>3652</v>
      </c>
      <c r="K110" s="11">
        <v>44901</v>
      </c>
      <c r="L110" s="14">
        <f t="shared" si="3"/>
        <v>2022</v>
      </c>
      <c r="M110" s="12">
        <v>44216511</v>
      </c>
    </row>
    <row r="111" spans="1:13" ht="15.75" customHeight="1" x14ac:dyDescent="0.25">
      <c r="A111" s="9" t="s">
        <v>59</v>
      </c>
      <c r="B111" s="9" t="s">
        <v>42</v>
      </c>
      <c r="C111" s="10" t="s">
        <v>21</v>
      </c>
      <c r="D111" s="9" t="s">
        <v>83</v>
      </c>
      <c r="E111" s="9" t="s">
        <v>72</v>
      </c>
      <c r="F111" s="10">
        <v>1917</v>
      </c>
      <c r="G111" s="11">
        <v>44748</v>
      </c>
      <c r="H111" s="14">
        <f t="shared" si="2"/>
        <v>2022</v>
      </c>
      <c r="I111" s="12">
        <f>1255.98*58248</f>
        <v>73158323.040000007</v>
      </c>
      <c r="J111" s="10">
        <v>3653</v>
      </c>
      <c r="K111" s="11">
        <v>44901</v>
      </c>
      <c r="L111" s="14">
        <f t="shared" si="3"/>
        <v>2022</v>
      </c>
      <c r="M111" s="12">
        <v>76811969</v>
      </c>
    </row>
    <row r="112" spans="1:13" ht="15.75" customHeight="1" x14ac:dyDescent="0.25">
      <c r="A112" s="9" t="s">
        <v>59</v>
      </c>
      <c r="B112" s="9" t="s">
        <v>42</v>
      </c>
      <c r="C112" s="10" t="s">
        <v>21</v>
      </c>
      <c r="D112" s="9" t="s">
        <v>83</v>
      </c>
      <c r="E112" s="9" t="s">
        <v>72</v>
      </c>
      <c r="F112" s="10">
        <v>1923</v>
      </c>
      <c r="G112" s="11">
        <v>44748</v>
      </c>
      <c r="H112" s="14">
        <f t="shared" si="2"/>
        <v>2022</v>
      </c>
      <c r="I112" s="12">
        <f>3921.61*58248</f>
        <v>228425939.28</v>
      </c>
      <c r="J112" s="10">
        <v>3656</v>
      </c>
      <c r="K112" s="11">
        <v>44901</v>
      </c>
      <c r="L112" s="14">
        <f t="shared" si="3"/>
        <v>2022</v>
      </c>
      <c r="M112" s="12">
        <v>239833903</v>
      </c>
    </row>
    <row r="113" spans="1:13" ht="15.75" customHeight="1" x14ac:dyDescent="0.25">
      <c r="A113" s="9" t="s">
        <v>59</v>
      </c>
      <c r="B113" s="9" t="s">
        <v>42</v>
      </c>
      <c r="C113" s="10" t="s">
        <v>21</v>
      </c>
      <c r="D113" s="9" t="s">
        <v>83</v>
      </c>
      <c r="E113" s="9" t="s">
        <v>72</v>
      </c>
      <c r="F113" s="10">
        <v>1918</v>
      </c>
      <c r="G113" s="11">
        <v>44748</v>
      </c>
      <c r="H113" s="14">
        <f t="shared" si="2"/>
        <v>2022</v>
      </c>
      <c r="I113" s="12">
        <f>957.03*58248</f>
        <v>55745083.439999998</v>
      </c>
      <c r="J113" s="10">
        <v>3650</v>
      </c>
      <c r="K113" s="11">
        <v>44901</v>
      </c>
      <c r="L113" s="14">
        <f t="shared" si="3"/>
        <v>2022</v>
      </c>
      <c r="M113" s="12">
        <v>58529084</v>
      </c>
    </row>
    <row r="114" spans="1:13" ht="15.75" customHeight="1" x14ac:dyDescent="0.25">
      <c r="A114" s="9" t="s">
        <v>10</v>
      </c>
      <c r="B114" s="9" t="s">
        <v>42</v>
      </c>
      <c r="C114" s="10" t="s">
        <v>21</v>
      </c>
      <c r="D114" s="9" t="s">
        <v>83</v>
      </c>
      <c r="E114" s="9" t="s">
        <v>72</v>
      </c>
      <c r="F114" s="10">
        <v>2892</v>
      </c>
      <c r="G114" s="11">
        <v>44834</v>
      </c>
      <c r="H114" s="14">
        <f t="shared" si="2"/>
        <v>2022</v>
      </c>
      <c r="I114" s="12">
        <f>626.88*59595</f>
        <v>37358913.600000001</v>
      </c>
      <c r="J114" s="10">
        <v>3747</v>
      </c>
      <c r="K114" s="11">
        <v>44908</v>
      </c>
      <c r="L114" s="14">
        <f t="shared" si="3"/>
        <v>2022</v>
      </c>
      <c r="M114" s="12">
        <f>626.88*51157</f>
        <v>32069300.16</v>
      </c>
    </row>
    <row r="115" spans="1:13" ht="15.75" customHeight="1" x14ac:dyDescent="0.25">
      <c r="A115" s="9" t="s">
        <v>57</v>
      </c>
      <c r="B115" s="9" t="s">
        <v>42</v>
      </c>
      <c r="C115" s="10" t="s">
        <v>21</v>
      </c>
      <c r="D115" s="9" t="s">
        <v>22</v>
      </c>
      <c r="E115" s="9" t="s">
        <v>58</v>
      </c>
      <c r="F115" s="10">
        <v>1922</v>
      </c>
      <c r="G115" s="11">
        <v>44748</v>
      </c>
      <c r="H115" s="14">
        <f t="shared" si="2"/>
        <v>2022</v>
      </c>
      <c r="I115" s="12">
        <f>10.5*58248</f>
        <v>611604</v>
      </c>
      <c r="J115" s="10">
        <v>3654</v>
      </c>
      <c r="K115" s="11">
        <v>44901</v>
      </c>
      <c r="L115" s="14">
        <f t="shared" si="3"/>
        <v>2022</v>
      </c>
      <c r="M115" s="12">
        <v>642149</v>
      </c>
    </row>
    <row r="116" spans="1:13" ht="15.75" customHeight="1" x14ac:dyDescent="0.25">
      <c r="A116" s="9" t="s">
        <v>15</v>
      </c>
      <c r="B116" s="9" t="s">
        <v>42</v>
      </c>
      <c r="C116" s="10" t="s">
        <v>21</v>
      </c>
      <c r="D116" s="9" t="s">
        <v>75</v>
      </c>
      <c r="E116" s="9" t="s">
        <v>73</v>
      </c>
      <c r="F116" s="10">
        <v>2816</v>
      </c>
      <c r="G116" s="11">
        <v>44830</v>
      </c>
      <c r="H116" s="14">
        <f t="shared" si="2"/>
        <v>2022</v>
      </c>
      <c r="I116" s="12">
        <f>6400*59595</f>
        <v>381408000</v>
      </c>
      <c r="J116" s="10">
        <v>3958</v>
      </c>
      <c r="K116" s="11">
        <v>44918</v>
      </c>
      <c r="L116" s="14">
        <f t="shared" si="3"/>
        <v>2022</v>
      </c>
      <c r="M116" s="12">
        <v>391404800</v>
      </c>
    </row>
    <row r="117" spans="1:13" ht="15.75" customHeight="1" x14ac:dyDescent="0.25">
      <c r="A117" s="9" t="s">
        <v>15</v>
      </c>
      <c r="B117" s="9" t="s">
        <v>42</v>
      </c>
      <c r="C117" s="10" t="s">
        <v>21</v>
      </c>
      <c r="D117" s="9" t="s">
        <v>22</v>
      </c>
      <c r="E117" s="9" t="s">
        <v>69</v>
      </c>
      <c r="F117" s="10">
        <v>2244</v>
      </c>
      <c r="G117" s="11">
        <v>44768</v>
      </c>
      <c r="H117" s="14">
        <f t="shared" si="2"/>
        <v>2022</v>
      </c>
      <c r="I117" s="12">
        <f>1.8*58248</f>
        <v>104846.40000000001</v>
      </c>
      <c r="J117" s="10">
        <v>3230</v>
      </c>
      <c r="K117" s="11">
        <v>44861</v>
      </c>
      <c r="L117" s="14">
        <f t="shared" si="3"/>
        <v>2022</v>
      </c>
      <c r="M117" s="12">
        <v>108558</v>
      </c>
    </row>
    <row r="118" spans="1:13" ht="15.75" customHeight="1" x14ac:dyDescent="0.25">
      <c r="A118" s="9" t="s">
        <v>15</v>
      </c>
      <c r="B118" s="9" t="s">
        <v>32</v>
      </c>
      <c r="C118" s="10" t="s">
        <v>21</v>
      </c>
      <c r="D118" s="9" t="s">
        <v>13</v>
      </c>
      <c r="E118" s="9" t="s">
        <v>47</v>
      </c>
      <c r="F118" s="10">
        <v>76</v>
      </c>
      <c r="G118" s="11">
        <v>44207</v>
      </c>
      <c r="H118" s="14">
        <f t="shared" si="2"/>
        <v>2021</v>
      </c>
      <c r="I118" s="12">
        <f>1508.5*50978</f>
        <v>76900313</v>
      </c>
      <c r="J118" s="10">
        <v>3010</v>
      </c>
      <c r="K118" s="11">
        <v>44834</v>
      </c>
      <c r="L118" s="14">
        <f t="shared" si="3"/>
        <v>2022</v>
      </c>
      <c r="M118" s="12">
        <v>81743488</v>
      </c>
    </row>
    <row r="119" spans="1:13" ht="15.75" customHeight="1" x14ac:dyDescent="0.25">
      <c r="A119" s="9" t="s">
        <v>15</v>
      </c>
      <c r="B119" s="9" t="s">
        <v>32</v>
      </c>
      <c r="C119" s="10" t="s">
        <v>21</v>
      </c>
      <c r="D119" s="9" t="s">
        <v>13</v>
      </c>
      <c r="E119" s="9" t="s">
        <v>47</v>
      </c>
      <c r="F119" s="10">
        <v>78</v>
      </c>
      <c r="G119" s="11">
        <v>44207</v>
      </c>
      <c r="H119" s="14">
        <f t="shared" si="2"/>
        <v>2021</v>
      </c>
      <c r="I119" s="12">
        <f>522.55*50978</f>
        <v>26638553.899999999</v>
      </c>
      <c r="J119" s="10">
        <v>2966</v>
      </c>
      <c r="K119" s="11">
        <v>44834</v>
      </c>
      <c r="L119" s="14">
        <f t="shared" si="3"/>
        <v>2022</v>
      </c>
      <c r="M119" s="12">
        <v>30828496</v>
      </c>
    </row>
    <row r="120" spans="1:13" ht="15.75" customHeight="1" x14ac:dyDescent="0.25">
      <c r="A120" s="9" t="s">
        <v>15</v>
      </c>
      <c r="B120" s="9" t="s">
        <v>32</v>
      </c>
      <c r="C120" s="10" t="s">
        <v>21</v>
      </c>
      <c r="D120" s="9" t="s">
        <v>13</v>
      </c>
      <c r="E120" s="9" t="s">
        <v>47</v>
      </c>
      <c r="F120" s="10">
        <v>77</v>
      </c>
      <c r="G120" s="11">
        <v>44207</v>
      </c>
      <c r="H120" s="14">
        <f t="shared" si="2"/>
        <v>2021</v>
      </c>
      <c r="I120" s="12">
        <f>4349.45*50978</f>
        <v>221726262.09999999</v>
      </c>
      <c r="J120" s="10">
        <v>2989</v>
      </c>
      <c r="K120" s="11">
        <v>44834</v>
      </c>
      <c r="L120" s="14">
        <f t="shared" si="3"/>
        <v>2022</v>
      </c>
      <c r="M120" s="12">
        <v>258246006</v>
      </c>
    </row>
    <row r="121" spans="1:13" ht="15.75" customHeight="1" x14ac:dyDescent="0.25">
      <c r="A121" s="9" t="s">
        <v>59</v>
      </c>
      <c r="B121" s="9" t="s">
        <v>32</v>
      </c>
      <c r="C121" s="10" t="s">
        <v>21</v>
      </c>
      <c r="D121" s="9" t="s">
        <v>41</v>
      </c>
      <c r="E121" s="9" t="s">
        <v>19</v>
      </c>
      <c r="F121" s="10">
        <v>2966</v>
      </c>
      <c r="G121" s="11">
        <v>43787</v>
      </c>
      <c r="H121" s="14">
        <f t="shared" si="2"/>
        <v>2019</v>
      </c>
      <c r="I121" s="12">
        <v>5495347</v>
      </c>
      <c r="J121" s="10">
        <v>1184</v>
      </c>
      <c r="K121" s="11">
        <v>44665</v>
      </c>
      <c r="L121" s="14">
        <f t="shared" si="3"/>
        <v>2022</v>
      </c>
      <c r="M121" s="12">
        <v>5495347</v>
      </c>
    </row>
    <row r="122" spans="1:13" ht="15.75" customHeight="1" x14ac:dyDescent="0.25">
      <c r="A122" s="9" t="s">
        <v>15</v>
      </c>
      <c r="B122" s="9" t="s">
        <v>32</v>
      </c>
      <c r="C122" s="10" t="s">
        <v>21</v>
      </c>
      <c r="D122" s="9" t="s">
        <v>13</v>
      </c>
      <c r="E122" s="9" t="s">
        <v>47</v>
      </c>
      <c r="F122" s="10">
        <v>186</v>
      </c>
      <c r="G122" s="11">
        <v>44211</v>
      </c>
      <c r="H122" s="14">
        <f t="shared" si="2"/>
        <v>2021</v>
      </c>
      <c r="I122" s="12">
        <f>2605.4*50978</f>
        <v>132818081.2</v>
      </c>
      <c r="J122" s="10">
        <v>2992</v>
      </c>
      <c r="K122" s="11">
        <v>44834</v>
      </c>
      <c r="L122" s="14">
        <f t="shared" si="3"/>
        <v>2022</v>
      </c>
      <c r="M122" s="12">
        <v>126171560</v>
      </c>
    </row>
    <row r="123" spans="1:13" ht="15.75" customHeight="1" x14ac:dyDescent="0.25">
      <c r="A123" s="9" t="s">
        <v>15</v>
      </c>
      <c r="B123" s="9" t="s">
        <v>32</v>
      </c>
      <c r="C123" s="10" t="s">
        <v>21</v>
      </c>
      <c r="D123" s="9" t="s">
        <v>41</v>
      </c>
      <c r="E123" s="9" t="s">
        <v>47</v>
      </c>
      <c r="F123" s="10">
        <v>187</v>
      </c>
      <c r="G123" s="11">
        <v>44211</v>
      </c>
      <c r="H123" s="14">
        <f t="shared" si="2"/>
        <v>2021</v>
      </c>
      <c r="I123" s="12">
        <f>855.4*50978</f>
        <v>43606581.199999996</v>
      </c>
      <c r="J123" s="10">
        <v>2987</v>
      </c>
      <c r="K123" s="11">
        <v>44834</v>
      </c>
      <c r="L123" s="14">
        <f t="shared" si="3"/>
        <v>2022</v>
      </c>
      <c r="M123" s="12">
        <v>36564517</v>
      </c>
    </row>
    <row r="124" spans="1:13" ht="15.75" customHeight="1" x14ac:dyDescent="0.25">
      <c r="A124" s="9" t="s">
        <v>15</v>
      </c>
      <c r="B124" s="9" t="s">
        <v>32</v>
      </c>
      <c r="C124" s="10" t="s">
        <v>21</v>
      </c>
      <c r="D124" s="9" t="s">
        <v>41</v>
      </c>
      <c r="E124" s="9" t="s">
        <v>47</v>
      </c>
      <c r="F124" s="10">
        <v>188</v>
      </c>
      <c r="G124" s="11">
        <v>44211</v>
      </c>
      <c r="H124" s="14">
        <f t="shared" si="2"/>
        <v>2021</v>
      </c>
      <c r="I124" s="12">
        <f>2951.55*50978</f>
        <v>150464115.90000001</v>
      </c>
      <c r="J124" s="10">
        <v>2993</v>
      </c>
      <c r="K124" s="11">
        <v>44834</v>
      </c>
      <c r="L124" s="14">
        <f t="shared" si="3"/>
        <v>2022</v>
      </c>
      <c r="M124" s="12">
        <v>149324222</v>
      </c>
    </row>
    <row r="125" spans="1:13" ht="15.75" customHeight="1" x14ac:dyDescent="0.25">
      <c r="A125" s="9" t="s">
        <v>15</v>
      </c>
      <c r="B125" s="9" t="s">
        <v>32</v>
      </c>
      <c r="C125" s="10" t="s">
        <v>21</v>
      </c>
      <c r="D125" s="9" t="s">
        <v>13</v>
      </c>
      <c r="E125" s="9" t="s">
        <v>47</v>
      </c>
      <c r="F125" s="10">
        <v>189</v>
      </c>
      <c r="G125" s="11">
        <v>44211</v>
      </c>
      <c r="H125" s="14">
        <f t="shared" si="2"/>
        <v>2021</v>
      </c>
      <c r="I125" s="12">
        <f>2929.85*50978</f>
        <v>149357893.29999998</v>
      </c>
      <c r="J125" s="10">
        <v>2994</v>
      </c>
      <c r="K125" s="11">
        <v>44834</v>
      </c>
      <c r="L125" s="14">
        <f t="shared" si="3"/>
        <v>2022</v>
      </c>
      <c r="M125" s="12">
        <v>149053064</v>
      </c>
    </row>
    <row r="126" spans="1:13" ht="15.75" customHeight="1" x14ac:dyDescent="0.25">
      <c r="A126" s="9" t="s">
        <v>15</v>
      </c>
      <c r="B126" s="9" t="s">
        <v>32</v>
      </c>
      <c r="C126" s="10" t="s">
        <v>21</v>
      </c>
      <c r="D126" s="9" t="s">
        <v>13</v>
      </c>
      <c r="E126" s="9" t="s">
        <v>47</v>
      </c>
      <c r="F126" s="10">
        <v>190</v>
      </c>
      <c r="G126" s="11">
        <v>44211</v>
      </c>
      <c r="H126" s="14">
        <f t="shared" si="2"/>
        <v>2021</v>
      </c>
      <c r="I126" s="12">
        <f>2434.95*50978</f>
        <v>124128881.09999999</v>
      </c>
      <c r="J126" s="10">
        <v>2972</v>
      </c>
      <c r="K126" s="11">
        <v>44834</v>
      </c>
      <c r="L126" s="14">
        <f t="shared" si="3"/>
        <v>2022</v>
      </c>
      <c r="M126" s="12">
        <v>123209690</v>
      </c>
    </row>
    <row r="127" spans="1:13" ht="15.75" customHeight="1" x14ac:dyDescent="0.25">
      <c r="A127" s="9" t="s">
        <v>15</v>
      </c>
      <c r="B127" s="9" t="s">
        <v>32</v>
      </c>
      <c r="C127" s="10" t="s">
        <v>21</v>
      </c>
      <c r="D127" s="9" t="s">
        <v>41</v>
      </c>
      <c r="E127" s="9" t="s">
        <v>47</v>
      </c>
      <c r="F127" s="10">
        <v>191</v>
      </c>
      <c r="G127" s="11">
        <v>44211</v>
      </c>
      <c r="H127" s="14">
        <f t="shared" si="2"/>
        <v>2021</v>
      </c>
      <c r="I127" s="12">
        <f>833*50978</f>
        <v>42464674</v>
      </c>
      <c r="J127" s="10">
        <v>2965</v>
      </c>
      <c r="K127" s="11">
        <v>44834</v>
      </c>
      <c r="L127" s="14">
        <f t="shared" si="3"/>
        <v>2022</v>
      </c>
      <c r="M127" s="12">
        <v>42217103</v>
      </c>
    </row>
    <row r="128" spans="1:13" ht="15.75" customHeight="1" x14ac:dyDescent="0.25">
      <c r="A128" s="9" t="s">
        <v>15</v>
      </c>
      <c r="B128" s="9" t="s">
        <v>32</v>
      </c>
      <c r="C128" s="10" t="s">
        <v>21</v>
      </c>
      <c r="D128" s="9" t="s">
        <v>41</v>
      </c>
      <c r="E128" s="9" t="s">
        <v>47</v>
      </c>
      <c r="F128" s="10">
        <v>185</v>
      </c>
      <c r="G128" s="11">
        <v>44211</v>
      </c>
      <c r="H128" s="14">
        <f t="shared" si="2"/>
        <v>2021</v>
      </c>
      <c r="I128" s="12">
        <f>2199.05*50978</f>
        <v>112103170.90000001</v>
      </c>
      <c r="J128" s="10">
        <v>2988</v>
      </c>
      <c r="K128" s="11">
        <v>44834</v>
      </c>
      <c r="L128" s="14">
        <f t="shared" si="3"/>
        <v>2022</v>
      </c>
      <c r="M128" s="12">
        <v>106981971</v>
      </c>
    </row>
    <row r="129" spans="1:13" ht="15.75" customHeight="1" x14ac:dyDescent="0.25">
      <c r="A129" s="9" t="s">
        <v>15</v>
      </c>
      <c r="B129" s="9" t="s">
        <v>32</v>
      </c>
      <c r="C129" s="10" t="s">
        <v>21</v>
      </c>
      <c r="D129" s="9" t="s">
        <v>13</v>
      </c>
      <c r="E129" s="9" t="s">
        <v>47</v>
      </c>
      <c r="F129" s="10">
        <v>192</v>
      </c>
      <c r="G129" s="11">
        <v>44211</v>
      </c>
      <c r="H129" s="14">
        <f t="shared" si="2"/>
        <v>2021</v>
      </c>
      <c r="I129" s="12">
        <f>2105.25*50978</f>
        <v>107321434.5</v>
      </c>
      <c r="J129" s="10">
        <v>3011</v>
      </c>
      <c r="K129" s="11">
        <v>44834</v>
      </c>
      <c r="L129" s="14">
        <f t="shared" si="3"/>
        <v>2022</v>
      </c>
      <c r="M129" s="12">
        <v>97032586</v>
      </c>
    </row>
    <row r="130" spans="1:13" ht="15.75" customHeight="1" x14ac:dyDescent="0.25">
      <c r="A130" s="9" t="s">
        <v>15</v>
      </c>
      <c r="B130" s="9" t="s">
        <v>32</v>
      </c>
      <c r="C130" s="10" t="s">
        <v>21</v>
      </c>
      <c r="D130" s="9" t="s">
        <v>41</v>
      </c>
      <c r="E130" s="9" t="s">
        <v>14</v>
      </c>
      <c r="F130" s="10">
        <v>232</v>
      </c>
      <c r="G130" s="11">
        <v>44215</v>
      </c>
      <c r="H130" s="14">
        <f t="shared" si="2"/>
        <v>2021</v>
      </c>
      <c r="I130" s="12">
        <f>2848.3*50978</f>
        <v>145200637.40000001</v>
      </c>
      <c r="J130" s="10">
        <v>3030</v>
      </c>
      <c r="K130" s="11">
        <v>44834</v>
      </c>
      <c r="L130" s="14">
        <f t="shared" si="3"/>
        <v>2022</v>
      </c>
      <c r="M130" s="12">
        <v>117452826</v>
      </c>
    </row>
    <row r="131" spans="1:13" ht="15.75" customHeight="1" x14ac:dyDescent="0.25">
      <c r="A131" s="9" t="s">
        <v>15</v>
      </c>
      <c r="B131" s="9" t="s">
        <v>32</v>
      </c>
      <c r="C131" s="10" t="s">
        <v>21</v>
      </c>
      <c r="D131" s="9" t="s">
        <v>13</v>
      </c>
      <c r="E131" s="9" t="s">
        <v>14</v>
      </c>
      <c r="F131" s="10">
        <v>233</v>
      </c>
      <c r="G131" s="11">
        <v>44215</v>
      </c>
      <c r="H131" s="14">
        <f t="shared" si="2"/>
        <v>2021</v>
      </c>
      <c r="I131" s="12">
        <f>954.1*50978</f>
        <v>48638109.800000004</v>
      </c>
      <c r="J131" s="10">
        <v>3000</v>
      </c>
      <c r="K131" s="11">
        <v>44834</v>
      </c>
      <c r="L131" s="14">
        <f t="shared" si="3"/>
        <v>2022</v>
      </c>
      <c r="M131" s="12">
        <v>51499024</v>
      </c>
    </row>
    <row r="132" spans="1:13" ht="15.75" customHeight="1" x14ac:dyDescent="0.25">
      <c r="A132" s="9" t="s">
        <v>15</v>
      </c>
      <c r="B132" s="9" t="s">
        <v>32</v>
      </c>
      <c r="C132" s="10" t="s">
        <v>21</v>
      </c>
      <c r="D132" s="9" t="s">
        <v>41</v>
      </c>
      <c r="E132" s="9" t="s">
        <v>14</v>
      </c>
      <c r="F132" s="10">
        <v>234</v>
      </c>
      <c r="G132" s="11">
        <v>44215</v>
      </c>
      <c r="H132" s="14">
        <f t="shared" ref="H132:H195" si="4">YEAR(G132)</f>
        <v>2021</v>
      </c>
      <c r="I132" s="12">
        <f>353.85*50978</f>
        <v>18038565.300000001</v>
      </c>
      <c r="J132" s="10">
        <v>2982</v>
      </c>
      <c r="K132" s="11">
        <v>44834</v>
      </c>
      <c r="L132" s="14">
        <f t="shared" ref="L132:L195" si="5">YEAR(K132)</f>
        <v>2022</v>
      </c>
      <c r="M132" s="12">
        <v>14809359</v>
      </c>
    </row>
    <row r="133" spans="1:13" ht="15.75" customHeight="1" x14ac:dyDescent="0.25">
      <c r="A133" s="9" t="s">
        <v>15</v>
      </c>
      <c r="B133" s="9" t="s">
        <v>32</v>
      </c>
      <c r="C133" s="10" t="s">
        <v>21</v>
      </c>
      <c r="D133" s="9" t="s">
        <v>13</v>
      </c>
      <c r="E133" s="9" t="s">
        <v>14</v>
      </c>
      <c r="F133" s="10">
        <v>235</v>
      </c>
      <c r="G133" s="11">
        <v>44215</v>
      </c>
      <c r="H133" s="14">
        <f t="shared" si="4"/>
        <v>2021</v>
      </c>
      <c r="I133" s="12">
        <f>100.8*50978</f>
        <v>5138582.3999999994</v>
      </c>
      <c r="J133" s="10">
        <v>4277</v>
      </c>
      <c r="K133" s="11">
        <v>44925</v>
      </c>
      <c r="L133" s="14">
        <f t="shared" si="5"/>
        <v>2022</v>
      </c>
      <c r="M133" s="12">
        <v>6164624</v>
      </c>
    </row>
    <row r="134" spans="1:13" ht="15.75" customHeight="1" x14ac:dyDescent="0.25">
      <c r="A134" s="9" t="s">
        <v>15</v>
      </c>
      <c r="B134" s="9" t="s">
        <v>32</v>
      </c>
      <c r="C134" s="10" t="s">
        <v>21</v>
      </c>
      <c r="D134" s="9" t="s">
        <v>41</v>
      </c>
      <c r="E134" s="9" t="s">
        <v>14</v>
      </c>
      <c r="F134" s="10">
        <v>236</v>
      </c>
      <c r="G134" s="11">
        <v>44215</v>
      </c>
      <c r="H134" s="14">
        <f t="shared" si="4"/>
        <v>2021</v>
      </c>
      <c r="I134" s="12">
        <f>3279.85*50978</f>
        <v>167200193.29999998</v>
      </c>
      <c r="J134" s="10">
        <v>4279</v>
      </c>
      <c r="K134" s="11">
        <v>44925</v>
      </c>
      <c r="L134" s="14">
        <f t="shared" si="5"/>
        <v>2022</v>
      </c>
      <c r="M134" s="12">
        <v>145446627</v>
      </c>
    </row>
    <row r="135" spans="1:13" ht="15.75" customHeight="1" x14ac:dyDescent="0.25">
      <c r="A135" s="9" t="s">
        <v>15</v>
      </c>
      <c r="B135" s="9" t="s">
        <v>32</v>
      </c>
      <c r="C135" s="10" t="s">
        <v>21</v>
      </c>
      <c r="D135" s="9" t="s">
        <v>41</v>
      </c>
      <c r="E135" s="9" t="s">
        <v>47</v>
      </c>
      <c r="F135" s="10">
        <v>118</v>
      </c>
      <c r="G135" s="11">
        <v>44210</v>
      </c>
      <c r="H135" s="14">
        <f t="shared" si="4"/>
        <v>2021</v>
      </c>
      <c r="I135" s="12">
        <f>145.25*50978</f>
        <v>7404554.5</v>
      </c>
      <c r="J135" s="10">
        <v>4164</v>
      </c>
      <c r="K135" s="11">
        <v>44924</v>
      </c>
      <c r="L135" s="14">
        <f t="shared" si="5"/>
        <v>2022</v>
      </c>
      <c r="M135" s="12">
        <v>7513136</v>
      </c>
    </row>
    <row r="136" spans="1:13" ht="15.75" customHeight="1" x14ac:dyDescent="0.25">
      <c r="A136" s="9" t="s">
        <v>15</v>
      </c>
      <c r="B136" s="9" t="s">
        <v>32</v>
      </c>
      <c r="C136" s="10" t="s">
        <v>21</v>
      </c>
      <c r="D136" s="9" t="s">
        <v>13</v>
      </c>
      <c r="E136" s="9" t="s">
        <v>47</v>
      </c>
      <c r="F136" s="10">
        <v>119</v>
      </c>
      <c r="G136" s="11">
        <v>44210</v>
      </c>
      <c r="H136" s="14">
        <f t="shared" si="4"/>
        <v>2021</v>
      </c>
      <c r="I136" s="12">
        <f>657.65*50978</f>
        <v>33525681.699999999</v>
      </c>
      <c r="J136" s="10">
        <v>2985</v>
      </c>
      <c r="K136" s="11">
        <v>44834</v>
      </c>
      <c r="L136" s="14">
        <f t="shared" si="5"/>
        <v>2022</v>
      </c>
      <c r="M136" s="12">
        <v>27428602</v>
      </c>
    </row>
    <row r="137" spans="1:13" ht="15.75" customHeight="1" x14ac:dyDescent="0.25">
      <c r="A137" s="9" t="s">
        <v>15</v>
      </c>
      <c r="B137" s="9" t="s">
        <v>32</v>
      </c>
      <c r="C137" s="10" t="s">
        <v>21</v>
      </c>
      <c r="D137" s="9" t="s">
        <v>41</v>
      </c>
      <c r="E137" s="9" t="s">
        <v>47</v>
      </c>
      <c r="F137" s="10">
        <v>31</v>
      </c>
      <c r="G137" s="11">
        <v>44207</v>
      </c>
      <c r="H137" s="14">
        <f t="shared" si="4"/>
        <v>2021</v>
      </c>
      <c r="I137" s="12">
        <f>5462.8*50978</f>
        <v>278482618.40000004</v>
      </c>
      <c r="J137" s="10">
        <v>2991</v>
      </c>
      <c r="K137" s="11">
        <v>44834</v>
      </c>
      <c r="L137" s="14">
        <f t="shared" si="5"/>
        <v>2022</v>
      </c>
      <c r="M137" s="12">
        <v>281148371</v>
      </c>
    </row>
    <row r="138" spans="1:13" ht="15.75" customHeight="1" x14ac:dyDescent="0.25">
      <c r="A138" s="9" t="s">
        <v>15</v>
      </c>
      <c r="B138" s="9" t="s">
        <v>32</v>
      </c>
      <c r="C138" s="10" t="s">
        <v>21</v>
      </c>
      <c r="D138" s="9" t="s">
        <v>13</v>
      </c>
      <c r="E138" s="9" t="s">
        <v>14</v>
      </c>
      <c r="F138" s="10">
        <v>51</v>
      </c>
      <c r="G138" s="11">
        <v>44207</v>
      </c>
      <c r="H138" s="14">
        <f t="shared" si="4"/>
        <v>2021</v>
      </c>
      <c r="I138" s="12">
        <f>657.65*50978</f>
        <v>33525681.699999999</v>
      </c>
      <c r="J138" s="10">
        <v>3008</v>
      </c>
      <c r="K138" s="11">
        <v>44834</v>
      </c>
      <c r="L138" s="14">
        <f t="shared" si="5"/>
        <v>2022</v>
      </c>
      <c r="M138" s="12">
        <v>37002538</v>
      </c>
    </row>
    <row r="139" spans="1:13" ht="15.75" customHeight="1" x14ac:dyDescent="0.25">
      <c r="A139" s="9" t="s">
        <v>15</v>
      </c>
      <c r="B139" s="9" t="s">
        <v>32</v>
      </c>
      <c r="C139" s="10" t="s">
        <v>21</v>
      </c>
      <c r="D139" s="9" t="s">
        <v>41</v>
      </c>
      <c r="E139" s="9" t="s">
        <v>47</v>
      </c>
      <c r="F139" s="10">
        <v>52</v>
      </c>
      <c r="G139" s="11">
        <v>44207</v>
      </c>
      <c r="H139" s="14">
        <f t="shared" si="4"/>
        <v>2021</v>
      </c>
      <c r="I139" s="12">
        <f>987.35*50978</f>
        <v>50333128.300000004</v>
      </c>
      <c r="J139" s="10">
        <v>2986</v>
      </c>
      <c r="K139" s="11">
        <v>44834</v>
      </c>
      <c r="L139" s="14">
        <f t="shared" si="5"/>
        <v>2022</v>
      </c>
      <c r="M139" s="12">
        <v>52500222</v>
      </c>
    </row>
    <row r="140" spans="1:13" ht="15.75" customHeight="1" x14ac:dyDescent="0.25">
      <c r="A140" s="9" t="s">
        <v>15</v>
      </c>
      <c r="B140" s="9" t="s">
        <v>32</v>
      </c>
      <c r="C140" s="10" t="s">
        <v>21</v>
      </c>
      <c r="D140" s="9" t="s">
        <v>41</v>
      </c>
      <c r="E140" s="9" t="s">
        <v>47</v>
      </c>
      <c r="F140" s="10">
        <v>53</v>
      </c>
      <c r="G140" s="11">
        <v>44207</v>
      </c>
      <c r="H140" s="14">
        <f t="shared" si="4"/>
        <v>2021</v>
      </c>
      <c r="I140" s="12">
        <f>4219.25*50978</f>
        <v>215088926.5</v>
      </c>
      <c r="J140" s="10">
        <v>2990</v>
      </c>
      <c r="K140" s="11">
        <v>44834</v>
      </c>
      <c r="L140" s="14">
        <f t="shared" si="5"/>
        <v>2022</v>
      </c>
      <c r="M140" s="12">
        <v>219387086</v>
      </c>
    </row>
    <row r="141" spans="1:13" ht="15.75" customHeight="1" x14ac:dyDescent="0.25">
      <c r="A141" s="9" t="s">
        <v>15</v>
      </c>
      <c r="B141" s="9" t="s">
        <v>32</v>
      </c>
      <c r="C141" s="10" t="s">
        <v>21</v>
      </c>
      <c r="D141" s="9" t="s">
        <v>41</v>
      </c>
      <c r="E141" s="9" t="s">
        <v>14</v>
      </c>
      <c r="F141" s="10">
        <v>1099</v>
      </c>
      <c r="G141" s="11">
        <v>44302</v>
      </c>
      <c r="H141" s="14">
        <f t="shared" si="4"/>
        <v>2021</v>
      </c>
      <c r="I141" s="12">
        <f>700.35*50978</f>
        <v>35702442.300000004</v>
      </c>
      <c r="J141" s="10">
        <v>2980</v>
      </c>
      <c r="K141" s="11">
        <v>44834</v>
      </c>
      <c r="L141" s="14">
        <f t="shared" si="5"/>
        <v>2022</v>
      </c>
      <c r="M141" s="12">
        <v>39505536</v>
      </c>
    </row>
    <row r="142" spans="1:13" ht="15.75" customHeight="1" x14ac:dyDescent="0.25">
      <c r="A142" s="9" t="s">
        <v>15</v>
      </c>
      <c r="B142" s="9" t="s">
        <v>32</v>
      </c>
      <c r="C142" s="10" t="s">
        <v>21</v>
      </c>
      <c r="D142" s="9" t="s">
        <v>41</v>
      </c>
      <c r="E142" s="9" t="s">
        <v>14</v>
      </c>
      <c r="F142" s="10">
        <v>1100</v>
      </c>
      <c r="G142" s="11">
        <v>44302</v>
      </c>
      <c r="H142" s="14">
        <f t="shared" si="4"/>
        <v>2021</v>
      </c>
      <c r="I142" s="12">
        <f>529.55*50978</f>
        <v>26995399.899999999</v>
      </c>
      <c r="J142" s="10">
        <v>2984</v>
      </c>
      <c r="K142" s="11">
        <v>44834</v>
      </c>
      <c r="L142" s="14">
        <f t="shared" si="5"/>
        <v>2022</v>
      </c>
      <c r="M142" s="12">
        <v>26552555</v>
      </c>
    </row>
    <row r="143" spans="1:13" ht="15.75" customHeight="1" x14ac:dyDescent="0.25">
      <c r="A143" s="9" t="s">
        <v>15</v>
      </c>
      <c r="B143" s="9" t="s">
        <v>32</v>
      </c>
      <c r="C143" s="10" t="s">
        <v>21</v>
      </c>
      <c r="D143" s="9" t="s">
        <v>13</v>
      </c>
      <c r="E143" s="9" t="s">
        <v>14</v>
      </c>
      <c r="F143" s="10">
        <v>1101</v>
      </c>
      <c r="G143" s="11">
        <v>44302</v>
      </c>
      <c r="H143" s="14">
        <f t="shared" si="4"/>
        <v>2021</v>
      </c>
      <c r="I143" s="12">
        <f>126*50978</f>
        <v>6423228</v>
      </c>
      <c r="J143" s="10">
        <v>4002</v>
      </c>
      <c r="K143" s="11">
        <v>44922</v>
      </c>
      <c r="L143" s="14">
        <f t="shared" si="5"/>
        <v>2022</v>
      </c>
      <c r="M143" s="12">
        <v>7063633</v>
      </c>
    </row>
    <row r="144" spans="1:13" ht="15.75" customHeight="1" x14ac:dyDescent="0.25">
      <c r="A144" s="9" t="s">
        <v>15</v>
      </c>
      <c r="B144" s="9" t="s">
        <v>32</v>
      </c>
      <c r="C144" s="10" t="s">
        <v>21</v>
      </c>
      <c r="D144" s="9" t="s">
        <v>41</v>
      </c>
      <c r="E144" s="9" t="s">
        <v>14</v>
      </c>
      <c r="F144" s="10">
        <v>1102</v>
      </c>
      <c r="G144" s="11">
        <v>44302</v>
      </c>
      <c r="H144" s="14">
        <f t="shared" si="4"/>
        <v>2021</v>
      </c>
      <c r="I144" s="12">
        <f>346.5*50978</f>
        <v>17663877</v>
      </c>
      <c r="J144" s="10">
        <v>2983</v>
      </c>
      <c r="K144" s="11">
        <v>44834</v>
      </c>
      <c r="L144" s="14">
        <f t="shared" si="5"/>
        <v>2022</v>
      </c>
      <c r="M144" s="12">
        <v>19398520.5</v>
      </c>
    </row>
    <row r="145" spans="1:13" ht="15.75" customHeight="1" x14ac:dyDescent="0.25">
      <c r="A145" s="9" t="s">
        <v>15</v>
      </c>
      <c r="B145" s="9" t="s">
        <v>32</v>
      </c>
      <c r="C145" s="10" t="s">
        <v>21</v>
      </c>
      <c r="D145" s="9" t="s">
        <v>41</v>
      </c>
      <c r="E145" s="9" t="s">
        <v>14</v>
      </c>
      <c r="F145" s="10">
        <v>1103</v>
      </c>
      <c r="G145" s="11">
        <v>44302</v>
      </c>
      <c r="H145" s="14">
        <f t="shared" si="4"/>
        <v>2021</v>
      </c>
      <c r="I145" s="12">
        <f>180.6*50978</f>
        <v>9206626.7999999989</v>
      </c>
      <c r="J145" s="10">
        <v>4165</v>
      </c>
      <c r="K145" s="11">
        <v>44924</v>
      </c>
      <c r="L145" s="14">
        <f t="shared" si="5"/>
        <v>2022</v>
      </c>
      <c r="M145" s="12">
        <v>8690407</v>
      </c>
    </row>
    <row r="146" spans="1:13" ht="15.75" customHeight="1" x14ac:dyDescent="0.25">
      <c r="A146" s="9" t="s">
        <v>15</v>
      </c>
      <c r="B146" s="9" t="s">
        <v>32</v>
      </c>
      <c r="C146" s="10" t="s">
        <v>21</v>
      </c>
      <c r="D146" s="9" t="s">
        <v>13</v>
      </c>
      <c r="E146" s="9" t="s">
        <v>47</v>
      </c>
      <c r="F146" s="10">
        <v>1335</v>
      </c>
      <c r="G146" s="11">
        <v>44326</v>
      </c>
      <c r="H146" s="14">
        <f t="shared" si="4"/>
        <v>2021</v>
      </c>
      <c r="I146" s="12">
        <f>260.4*51798</f>
        <v>13488199.199999999</v>
      </c>
      <c r="J146" s="10">
        <v>4005</v>
      </c>
      <c r="K146" s="11">
        <v>44922</v>
      </c>
      <c r="L146" s="14">
        <f t="shared" si="5"/>
        <v>2022</v>
      </c>
      <c r="M146" s="12">
        <v>9054293</v>
      </c>
    </row>
    <row r="147" spans="1:13" ht="15.75" customHeight="1" x14ac:dyDescent="0.25">
      <c r="A147" s="9" t="s">
        <v>15</v>
      </c>
      <c r="B147" s="9" t="s">
        <v>32</v>
      </c>
      <c r="C147" s="10" t="s">
        <v>21</v>
      </c>
      <c r="D147" s="9" t="s">
        <v>41</v>
      </c>
      <c r="E147" s="9" t="s">
        <v>47</v>
      </c>
      <c r="F147" s="10">
        <v>1336</v>
      </c>
      <c r="G147" s="11">
        <v>44326</v>
      </c>
      <c r="H147" s="14">
        <f t="shared" si="4"/>
        <v>2021</v>
      </c>
      <c r="I147" s="12">
        <f>429.8*51798</f>
        <v>22262780.400000002</v>
      </c>
      <c r="J147" s="10">
        <v>3001</v>
      </c>
      <c r="K147" s="11">
        <v>44834</v>
      </c>
      <c r="L147" s="14">
        <f t="shared" si="5"/>
        <v>2022</v>
      </c>
      <c r="M147" s="12">
        <v>18876716</v>
      </c>
    </row>
    <row r="148" spans="1:13" ht="15.75" customHeight="1" x14ac:dyDescent="0.25">
      <c r="A148" s="9" t="s">
        <v>15</v>
      </c>
      <c r="B148" s="9" t="s">
        <v>32</v>
      </c>
      <c r="C148" s="10" t="s">
        <v>21</v>
      </c>
      <c r="D148" s="9" t="s">
        <v>41</v>
      </c>
      <c r="E148" s="9" t="s">
        <v>47</v>
      </c>
      <c r="F148" s="10">
        <v>1337</v>
      </c>
      <c r="G148" s="11">
        <v>44326</v>
      </c>
      <c r="H148" s="14">
        <f t="shared" si="4"/>
        <v>2021</v>
      </c>
      <c r="I148" s="12">
        <f>842.1*51798</f>
        <v>43619095.800000004</v>
      </c>
      <c r="J148" s="10">
        <v>3003</v>
      </c>
      <c r="K148" s="11">
        <v>44834</v>
      </c>
      <c r="L148" s="14">
        <f t="shared" si="5"/>
        <v>2022</v>
      </c>
      <c r="M148" s="12">
        <v>32872604</v>
      </c>
    </row>
    <row r="149" spans="1:13" ht="15.75" customHeight="1" x14ac:dyDescent="0.25">
      <c r="A149" s="9" t="s">
        <v>15</v>
      </c>
      <c r="B149" s="9" t="s">
        <v>32</v>
      </c>
      <c r="C149" s="10" t="s">
        <v>21</v>
      </c>
      <c r="D149" s="9" t="s">
        <v>13</v>
      </c>
      <c r="E149" s="9" t="s">
        <v>47</v>
      </c>
      <c r="F149" s="10">
        <v>1338</v>
      </c>
      <c r="G149" s="11">
        <v>44326</v>
      </c>
      <c r="H149" s="14">
        <f t="shared" si="4"/>
        <v>2021</v>
      </c>
      <c r="I149" s="12">
        <f>11.55*51798</f>
        <v>598266.9</v>
      </c>
      <c r="J149" s="10">
        <v>2830</v>
      </c>
      <c r="K149" s="11">
        <v>44831</v>
      </c>
      <c r="L149" s="14">
        <f t="shared" si="5"/>
        <v>2022</v>
      </c>
      <c r="M149" s="12">
        <v>667464</v>
      </c>
    </row>
    <row r="150" spans="1:13" ht="15.75" customHeight="1" x14ac:dyDescent="0.25">
      <c r="A150" s="9" t="s">
        <v>15</v>
      </c>
      <c r="B150" s="9" t="s">
        <v>32</v>
      </c>
      <c r="C150" s="10" t="s">
        <v>21</v>
      </c>
      <c r="D150" s="9" t="s">
        <v>41</v>
      </c>
      <c r="E150" s="9" t="s">
        <v>47</v>
      </c>
      <c r="F150" s="10">
        <v>1339</v>
      </c>
      <c r="G150" s="11">
        <v>44326</v>
      </c>
      <c r="H150" s="14">
        <f t="shared" si="4"/>
        <v>2021</v>
      </c>
      <c r="I150" s="12">
        <f>925.05*51798</f>
        <v>47915739.899999999</v>
      </c>
      <c r="J150" s="10">
        <v>2968</v>
      </c>
      <c r="K150" s="11">
        <v>44834</v>
      </c>
      <c r="L150" s="14">
        <f t="shared" si="5"/>
        <v>2022</v>
      </c>
      <c r="M150" s="12">
        <v>34541268</v>
      </c>
    </row>
    <row r="151" spans="1:13" ht="15.75" customHeight="1" x14ac:dyDescent="0.25">
      <c r="A151" s="9" t="s">
        <v>15</v>
      </c>
      <c r="B151" s="9" t="s">
        <v>32</v>
      </c>
      <c r="C151" s="10" t="s">
        <v>21</v>
      </c>
      <c r="D151" s="9" t="s">
        <v>41</v>
      </c>
      <c r="E151" s="9" t="s">
        <v>47</v>
      </c>
      <c r="F151" s="10">
        <v>1340</v>
      </c>
      <c r="G151" s="11">
        <v>44326</v>
      </c>
      <c r="H151" s="14">
        <f t="shared" si="4"/>
        <v>2021</v>
      </c>
      <c r="I151" s="12">
        <f>1377.25*51798</f>
        <v>71338795.5</v>
      </c>
      <c r="J151" s="10">
        <v>2970</v>
      </c>
      <c r="K151" s="11">
        <v>44834</v>
      </c>
      <c r="L151" s="14">
        <f t="shared" si="5"/>
        <v>2022</v>
      </c>
      <c r="M151" s="12">
        <v>57903886.25</v>
      </c>
    </row>
    <row r="152" spans="1:13" ht="15.75" customHeight="1" x14ac:dyDescent="0.25">
      <c r="A152" s="9" t="s">
        <v>15</v>
      </c>
      <c r="B152" s="9" t="s">
        <v>32</v>
      </c>
      <c r="C152" s="10" t="s">
        <v>21</v>
      </c>
      <c r="D152" s="9" t="s">
        <v>41</v>
      </c>
      <c r="E152" s="9" t="s">
        <v>47</v>
      </c>
      <c r="F152" s="10">
        <v>1341</v>
      </c>
      <c r="G152" s="11">
        <v>44326</v>
      </c>
      <c r="H152" s="14">
        <f t="shared" si="4"/>
        <v>2021</v>
      </c>
      <c r="I152" s="12">
        <f>39.6*51798</f>
        <v>2051200.8</v>
      </c>
      <c r="J152" s="10">
        <v>3005</v>
      </c>
      <c r="K152" s="11">
        <v>44834</v>
      </c>
      <c r="L152" s="14">
        <f t="shared" si="5"/>
        <v>2022</v>
      </c>
      <c r="M152" s="12">
        <v>16269435</v>
      </c>
    </row>
    <row r="153" spans="1:13" ht="15.75" customHeight="1" x14ac:dyDescent="0.25">
      <c r="A153" s="9" t="s">
        <v>59</v>
      </c>
      <c r="B153" s="9" t="s">
        <v>32</v>
      </c>
      <c r="C153" s="10" t="s">
        <v>21</v>
      </c>
      <c r="D153" s="9" t="s">
        <v>13</v>
      </c>
      <c r="E153" s="9" t="s">
        <v>65</v>
      </c>
      <c r="F153" s="10">
        <v>1891</v>
      </c>
      <c r="G153" s="11">
        <v>44371</v>
      </c>
      <c r="H153" s="14">
        <f t="shared" si="4"/>
        <v>2021</v>
      </c>
      <c r="I153" s="12">
        <f>4.4*52005</f>
        <v>228822.00000000003</v>
      </c>
      <c r="J153" s="10">
        <v>4007</v>
      </c>
      <c r="K153" s="11">
        <v>44922</v>
      </c>
      <c r="L153" s="14">
        <f t="shared" si="5"/>
        <v>2022</v>
      </c>
      <c r="M153" s="12">
        <v>0</v>
      </c>
    </row>
    <row r="154" spans="1:13" ht="15.75" customHeight="1" x14ac:dyDescent="0.25">
      <c r="A154" s="9" t="s">
        <v>15</v>
      </c>
      <c r="B154" s="9" t="s">
        <v>32</v>
      </c>
      <c r="C154" s="10" t="s">
        <v>21</v>
      </c>
      <c r="D154" s="9" t="s">
        <v>41</v>
      </c>
      <c r="E154" s="9" t="s">
        <v>47</v>
      </c>
      <c r="F154" s="10">
        <v>174</v>
      </c>
      <c r="G154" s="11">
        <v>44580</v>
      </c>
      <c r="H154" s="14">
        <f t="shared" si="4"/>
        <v>2022</v>
      </c>
      <c r="I154" s="12">
        <f>374.5*54445</f>
        <v>20389652.5</v>
      </c>
      <c r="J154" s="10">
        <v>2981</v>
      </c>
      <c r="K154" s="11">
        <v>44834</v>
      </c>
      <c r="L154" s="14">
        <f t="shared" si="5"/>
        <v>2022</v>
      </c>
      <c r="M154" s="12">
        <v>14976229</v>
      </c>
    </row>
    <row r="155" spans="1:13" ht="15.75" customHeight="1" x14ac:dyDescent="0.25">
      <c r="A155" s="9" t="s">
        <v>15</v>
      </c>
      <c r="B155" s="9" t="s">
        <v>32</v>
      </c>
      <c r="C155" s="10" t="s">
        <v>21</v>
      </c>
      <c r="D155" s="9" t="s">
        <v>13</v>
      </c>
      <c r="E155" s="9" t="s">
        <v>14</v>
      </c>
      <c r="F155" s="10">
        <v>175</v>
      </c>
      <c r="G155" s="11">
        <v>44580</v>
      </c>
      <c r="H155" s="14">
        <f t="shared" si="4"/>
        <v>2022</v>
      </c>
      <c r="I155" s="12">
        <f>10.5*54445</f>
        <v>571672.5</v>
      </c>
      <c r="J155" s="10">
        <v>2809</v>
      </c>
      <c r="K155" s="11">
        <v>44830</v>
      </c>
      <c r="L155" s="14">
        <f t="shared" si="5"/>
        <v>2022</v>
      </c>
      <c r="M155" s="12">
        <v>625748</v>
      </c>
    </row>
    <row r="156" spans="1:13" ht="15.75" customHeight="1" x14ac:dyDescent="0.25">
      <c r="A156" s="9" t="s">
        <v>15</v>
      </c>
      <c r="B156" s="9" t="s">
        <v>32</v>
      </c>
      <c r="C156" s="10" t="s">
        <v>21</v>
      </c>
      <c r="D156" s="9" t="s">
        <v>41</v>
      </c>
      <c r="E156" s="9" t="s">
        <v>14</v>
      </c>
      <c r="F156" s="10">
        <v>176</v>
      </c>
      <c r="G156" s="11">
        <v>44580</v>
      </c>
      <c r="H156" s="14">
        <f t="shared" si="4"/>
        <v>2022</v>
      </c>
      <c r="I156" s="12">
        <f>178.5*54445</f>
        <v>9718432.5</v>
      </c>
      <c r="J156" s="10">
        <v>3009</v>
      </c>
      <c r="K156" s="11">
        <v>44834</v>
      </c>
      <c r="L156" s="14">
        <f t="shared" si="5"/>
        <v>2022</v>
      </c>
      <c r="M156" s="12">
        <v>6883225</v>
      </c>
    </row>
    <row r="157" spans="1:13" ht="15.75" customHeight="1" x14ac:dyDescent="0.25">
      <c r="A157" s="9" t="s">
        <v>15</v>
      </c>
      <c r="B157" s="9" t="s">
        <v>32</v>
      </c>
      <c r="C157" s="10" t="s">
        <v>21</v>
      </c>
      <c r="D157" s="9" t="s">
        <v>41</v>
      </c>
      <c r="E157" s="9" t="s">
        <v>14</v>
      </c>
      <c r="F157" s="10">
        <v>177</v>
      </c>
      <c r="G157" s="11">
        <v>44580</v>
      </c>
      <c r="H157" s="14">
        <f t="shared" si="4"/>
        <v>2022</v>
      </c>
      <c r="I157" s="12">
        <f>538.3*54445</f>
        <v>29307743.499999996</v>
      </c>
      <c r="J157" s="10">
        <v>2967</v>
      </c>
      <c r="K157" s="11">
        <v>44834</v>
      </c>
      <c r="L157" s="14">
        <f t="shared" si="5"/>
        <v>2022</v>
      </c>
      <c r="M157" s="12">
        <v>26719419</v>
      </c>
    </row>
    <row r="158" spans="1:13" ht="15.75" customHeight="1" x14ac:dyDescent="0.25">
      <c r="A158" s="9" t="s">
        <v>15</v>
      </c>
      <c r="B158" s="9" t="s">
        <v>32</v>
      </c>
      <c r="C158" s="10" t="s">
        <v>21</v>
      </c>
      <c r="D158" s="9" t="s">
        <v>41</v>
      </c>
      <c r="E158" s="9" t="s">
        <v>47</v>
      </c>
      <c r="F158" s="10">
        <v>178</v>
      </c>
      <c r="G158" s="11">
        <v>44580</v>
      </c>
      <c r="H158" s="14">
        <f t="shared" si="4"/>
        <v>2022</v>
      </c>
      <c r="I158" s="12">
        <f>1536.5*54445</f>
        <v>83654742.5</v>
      </c>
      <c r="J158" s="10">
        <v>2971</v>
      </c>
      <c r="K158" s="11">
        <v>44834</v>
      </c>
      <c r="L158" s="14">
        <f t="shared" si="5"/>
        <v>2022</v>
      </c>
      <c r="M158" s="12">
        <v>69916865</v>
      </c>
    </row>
    <row r="159" spans="1:13" ht="15.75" customHeight="1" x14ac:dyDescent="0.25">
      <c r="A159" s="9" t="s">
        <v>15</v>
      </c>
      <c r="B159" s="9" t="s">
        <v>32</v>
      </c>
      <c r="C159" s="10" t="s">
        <v>21</v>
      </c>
      <c r="D159" s="9" t="s">
        <v>13</v>
      </c>
      <c r="E159" s="9" t="s">
        <v>47</v>
      </c>
      <c r="F159" s="10">
        <v>179</v>
      </c>
      <c r="G159" s="11">
        <v>44580</v>
      </c>
      <c r="H159" s="14">
        <f t="shared" si="4"/>
        <v>2022</v>
      </c>
      <c r="I159" s="12">
        <f>304.85*54445</f>
        <v>16597558.250000002</v>
      </c>
      <c r="J159" s="10">
        <v>3002</v>
      </c>
      <c r="K159" s="11">
        <v>44834</v>
      </c>
      <c r="L159" s="14">
        <f t="shared" si="5"/>
        <v>2022</v>
      </c>
      <c r="M159" s="12">
        <v>13641297</v>
      </c>
    </row>
    <row r="160" spans="1:13" ht="15.75" customHeight="1" x14ac:dyDescent="0.25">
      <c r="A160" s="9" t="s">
        <v>15</v>
      </c>
      <c r="B160" s="9" t="s">
        <v>32</v>
      </c>
      <c r="C160" s="10" t="s">
        <v>21</v>
      </c>
      <c r="D160" s="9" t="s">
        <v>41</v>
      </c>
      <c r="E160" s="9" t="s">
        <v>47</v>
      </c>
      <c r="F160" s="10">
        <v>180</v>
      </c>
      <c r="G160" s="11">
        <v>44580</v>
      </c>
      <c r="H160" s="14">
        <f t="shared" si="4"/>
        <v>2022</v>
      </c>
      <c r="I160" s="12">
        <f>791*54445</f>
        <v>43065995</v>
      </c>
      <c r="J160" s="10">
        <v>3004</v>
      </c>
      <c r="K160" s="11">
        <v>44834</v>
      </c>
      <c r="L160" s="14">
        <f t="shared" si="5"/>
        <v>2022</v>
      </c>
      <c r="M160" s="12">
        <v>34250043</v>
      </c>
    </row>
    <row r="161" spans="1:13" ht="15.75" customHeight="1" x14ac:dyDescent="0.25">
      <c r="A161" s="9" t="s">
        <v>15</v>
      </c>
      <c r="B161" s="9" t="s">
        <v>32</v>
      </c>
      <c r="C161" s="10" t="s">
        <v>21</v>
      </c>
      <c r="D161" s="9" t="s">
        <v>41</v>
      </c>
      <c r="E161" s="9" t="s">
        <v>14</v>
      </c>
      <c r="F161" s="10">
        <v>181</v>
      </c>
      <c r="G161" s="11">
        <v>44580</v>
      </c>
      <c r="H161" s="14">
        <f t="shared" si="4"/>
        <v>2022</v>
      </c>
      <c r="I161" s="12">
        <f>10.85*54445</f>
        <v>590728.25</v>
      </c>
      <c r="J161" s="10">
        <v>2829</v>
      </c>
      <c r="K161" s="11">
        <v>44831</v>
      </c>
      <c r="L161" s="14">
        <f t="shared" si="5"/>
        <v>2022</v>
      </c>
      <c r="M161" s="12">
        <v>646606</v>
      </c>
    </row>
    <row r="162" spans="1:13" ht="15.75" customHeight="1" x14ac:dyDescent="0.25">
      <c r="A162" s="9" t="s">
        <v>15</v>
      </c>
      <c r="B162" s="9" t="s">
        <v>32</v>
      </c>
      <c r="C162" s="10" t="s">
        <v>21</v>
      </c>
      <c r="D162" s="9" t="s">
        <v>41</v>
      </c>
      <c r="E162" s="9" t="s">
        <v>14</v>
      </c>
      <c r="F162" s="10">
        <v>3434</v>
      </c>
      <c r="G162" s="11">
        <v>44554</v>
      </c>
      <c r="H162" s="14">
        <f t="shared" si="4"/>
        <v>2021</v>
      </c>
      <c r="I162" s="12">
        <f>937.3*52842</f>
        <v>49528806.599999994</v>
      </c>
      <c r="J162" s="10">
        <v>2969</v>
      </c>
      <c r="K162" s="11">
        <v>44834</v>
      </c>
      <c r="L162" s="14">
        <f t="shared" si="5"/>
        <v>2022</v>
      </c>
      <c r="M162" s="12">
        <v>51207018</v>
      </c>
    </row>
    <row r="163" spans="1:13" ht="15.75" customHeight="1" x14ac:dyDescent="0.25">
      <c r="A163" s="9" t="s">
        <v>15</v>
      </c>
      <c r="B163" s="9" t="s">
        <v>32</v>
      </c>
      <c r="C163" s="10" t="s">
        <v>21</v>
      </c>
      <c r="D163" s="9" t="s">
        <v>13</v>
      </c>
      <c r="E163" s="9" t="s">
        <v>14</v>
      </c>
      <c r="F163" s="10">
        <v>3435</v>
      </c>
      <c r="G163" s="11">
        <v>44554</v>
      </c>
      <c r="H163" s="14">
        <f t="shared" si="4"/>
        <v>2021</v>
      </c>
      <c r="I163" s="12">
        <f>242.55*52842</f>
        <v>12816827.100000001</v>
      </c>
      <c r="J163" s="10">
        <v>4006</v>
      </c>
      <c r="K163" s="11">
        <v>44922</v>
      </c>
      <c r="L163" s="14">
        <f t="shared" si="5"/>
        <v>2022</v>
      </c>
      <c r="M163" s="12">
        <v>14191479</v>
      </c>
    </row>
    <row r="164" spans="1:13" ht="15.75" customHeight="1" x14ac:dyDescent="0.25">
      <c r="A164" s="9" t="s">
        <v>15</v>
      </c>
      <c r="B164" s="9" t="s">
        <v>32</v>
      </c>
      <c r="C164" s="10" t="s">
        <v>21</v>
      </c>
      <c r="D164" s="9" t="s">
        <v>41</v>
      </c>
      <c r="E164" s="9" t="s">
        <v>23</v>
      </c>
      <c r="F164" s="10">
        <v>2327</v>
      </c>
      <c r="G164" s="11">
        <v>44770</v>
      </c>
      <c r="H164" s="14">
        <f t="shared" si="4"/>
        <v>2022</v>
      </c>
      <c r="I164" s="12">
        <v>149203303</v>
      </c>
      <c r="J164" s="10">
        <v>4008</v>
      </c>
      <c r="K164" s="11">
        <v>44922</v>
      </c>
      <c r="L164" s="14">
        <f t="shared" si="5"/>
        <v>2022</v>
      </c>
      <c r="M164" s="12">
        <v>149203303</v>
      </c>
    </row>
    <row r="165" spans="1:13" ht="15.75" customHeight="1" x14ac:dyDescent="0.25">
      <c r="A165" s="9" t="s">
        <v>15</v>
      </c>
      <c r="B165" s="9" t="s">
        <v>32</v>
      </c>
      <c r="C165" s="10" t="s">
        <v>21</v>
      </c>
      <c r="D165" s="9" t="s">
        <v>13</v>
      </c>
      <c r="E165" s="9" t="s">
        <v>23</v>
      </c>
      <c r="F165" s="10">
        <v>2279</v>
      </c>
      <c r="G165" s="11">
        <v>44770</v>
      </c>
      <c r="H165" s="14">
        <f t="shared" si="4"/>
        <v>2022</v>
      </c>
      <c r="I165" s="12">
        <v>153578441</v>
      </c>
      <c r="J165" s="10">
        <v>4010</v>
      </c>
      <c r="K165" s="11">
        <v>44922</v>
      </c>
      <c r="L165" s="14">
        <f t="shared" si="5"/>
        <v>2022</v>
      </c>
      <c r="M165" s="12">
        <v>96291051</v>
      </c>
    </row>
    <row r="166" spans="1:13" ht="15.75" customHeight="1" x14ac:dyDescent="0.25">
      <c r="A166" s="9" t="s">
        <v>15</v>
      </c>
      <c r="B166" s="9" t="s">
        <v>32</v>
      </c>
      <c r="C166" s="10" t="s">
        <v>21</v>
      </c>
      <c r="D166" s="9" t="s">
        <v>83</v>
      </c>
      <c r="E166" s="9" t="s">
        <v>72</v>
      </c>
      <c r="F166" s="10">
        <v>2108</v>
      </c>
      <c r="G166" s="11">
        <v>44760</v>
      </c>
      <c r="H166" s="14">
        <f t="shared" si="4"/>
        <v>2022</v>
      </c>
      <c r="I166" s="12">
        <f>341.49*58248</f>
        <v>19891109.52</v>
      </c>
      <c r="J166" s="10">
        <v>4169</v>
      </c>
      <c r="K166" s="11">
        <v>44924</v>
      </c>
      <c r="L166" s="14">
        <f t="shared" si="5"/>
        <v>2022</v>
      </c>
      <c r="M166" s="12">
        <v>20884503</v>
      </c>
    </row>
    <row r="167" spans="1:13" ht="15.75" customHeight="1" x14ac:dyDescent="0.25">
      <c r="A167" s="9" t="s">
        <v>10</v>
      </c>
      <c r="B167" s="9" t="s">
        <v>32</v>
      </c>
      <c r="C167" s="10" t="s">
        <v>21</v>
      </c>
      <c r="D167" s="9" t="s">
        <v>83</v>
      </c>
      <c r="E167" s="9" t="s">
        <v>72</v>
      </c>
      <c r="F167" s="10">
        <v>2911</v>
      </c>
      <c r="G167" s="11">
        <v>44834</v>
      </c>
      <c r="H167" s="14">
        <f t="shared" si="4"/>
        <v>2022</v>
      </c>
      <c r="I167" s="12">
        <f>6339.56*59595</f>
        <v>377806078.20000005</v>
      </c>
      <c r="J167" s="10">
        <v>4167</v>
      </c>
      <c r="K167" s="11">
        <v>44924</v>
      </c>
      <c r="L167" s="14">
        <f t="shared" si="5"/>
        <v>2022</v>
      </c>
      <c r="M167" s="12">
        <v>387708471</v>
      </c>
    </row>
    <row r="168" spans="1:13" ht="15.75" customHeight="1" x14ac:dyDescent="0.25">
      <c r="A168" s="9" t="s">
        <v>10</v>
      </c>
      <c r="B168" s="9" t="s">
        <v>32</v>
      </c>
      <c r="C168" s="10" t="s">
        <v>21</v>
      </c>
      <c r="D168" s="9" t="s">
        <v>83</v>
      </c>
      <c r="E168" s="9" t="s">
        <v>72</v>
      </c>
      <c r="F168" s="10">
        <v>2910</v>
      </c>
      <c r="G168" s="11">
        <v>44834</v>
      </c>
      <c r="H168" s="14">
        <f t="shared" si="4"/>
        <v>2022</v>
      </c>
      <c r="I168" s="12">
        <f>4001.52*59595</f>
        <v>238470584.40000001</v>
      </c>
      <c r="J168" s="10">
        <v>4168</v>
      </c>
      <c r="K168" s="11">
        <v>44924</v>
      </c>
      <c r="L168" s="14">
        <f t="shared" si="5"/>
        <v>2022</v>
      </c>
      <c r="M168" s="12">
        <v>244720959</v>
      </c>
    </row>
    <row r="169" spans="1:13" ht="15.75" customHeight="1" x14ac:dyDescent="0.25">
      <c r="A169" s="9" t="s">
        <v>10</v>
      </c>
      <c r="B169" s="9" t="s">
        <v>32</v>
      </c>
      <c r="C169" s="10" t="s">
        <v>21</v>
      </c>
      <c r="D169" s="9" t="s">
        <v>83</v>
      </c>
      <c r="E169" s="9" t="s">
        <v>72</v>
      </c>
      <c r="F169" s="10">
        <v>2908</v>
      </c>
      <c r="G169" s="11">
        <v>44834</v>
      </c>
      <c r="H169" s="14">
        <f t="shared" si="4"/>
        <v>2022</v>
      </c>
      <c r="I169" s="12">
        <f>206.57*59595</f>
        <v>12310539.15</v>
      </c>
      <c r="J169" s="10">
        <v>4166</v>
      </c>
      <c r="K169" s="11">
        <v>44924</v>
      </c>
      <c r="L169" s="14">
        <f t="shared" si="5"/>
        <v>2022</v>
      </c>
      <c r="M169" s="12">
        <v>12633201</v>
      </c>
    </row>
    <row r="170" spans="1:13" ht="15.75" customHeight="1" x14ac:dyDescent="0.25">
      <c r="A170" s="9" t="s">
        <v>57</v>
      </c>
      <c r="B170" s="9" t="s">
        <v>32</v>
      </c>
      <c r="C170" s="10" t="s">
        <v>21</v>
      </c>
      <c r="D170" s="9" t="s">
        <v>41</v>
      </c>
      <c r="E170" s="9" t="s">
        <v>58</v>
      </c>
      <c r="F170" s="10">
        <v>1930</v>
      </c>
      <c r="G170" s="11">
        <v>44748</v>
      </c>
      <c r="H170" s="14">
        <f t="shared" si="4"/>
        <v>2022</v>
      </c>
      <c r="I170" s="12">
        <f>10.5*58248</f>
        <v>611604</v>
      </c>
      <c r="J170" s="10">
        <v>2912</v>
      </c>
      <c r="K170" s="11">
        <v>44834</v>
      </c>
      <c r="L170" s="14">
        <f t="shared" si="5"/>
        <v>2022</v>
      </c>
      <c r="M170" s="12">
        <v>625748</v>
      </c>
    </row>
    <row r="171" spans="1:13" ht="15.75" customHeight="1" x14ac:dyDescent="0.25">
      <c r="A171" s="9" t="s">
        <v>15</v>
      </c>
      <c r="B171" s="9" t="s">
        <v>45</v>
      </c>
      <c r="C171" s="10" t="s">
        <v>21</v>
      </c>
      <c r="D171" s="9" t="s">
        <v>22</v>
      </c>
      <c r="E171" s="9" t="s">
        <v>47</v>
      </c>
      <c r="F171" s="10">
        <v>73</v>
      </c>
      <c r="G171" s="11">
        <v>44207</v>
      </c>
      <c r="H171" s="14">
        <f t="shared" si="4"/>
        <v>2021</v>
      </c>
      <c r="I171" s="12">
        <f>901.95*50978</f>
        <v>45979607.100000001</v>
      </c>
      <c r="J171" s="10">
        <v>3211</v>
      </c>
      <c r="K171" s="11">
        <v>44861</v>
      </c>
      <c r="L171" s="14">
        <f t="shared" si="5"/>
        <v>2022</v>
      </c>
      <c r="M171" s="12">
        <v>54396605</v>
      </c>
    </row>
    <row r="172" spans="1:13" ht="15.75" customHeight="1" x14ac:dyDescent="0.25">
      <c r="A172" s="9" t="s">
        <v>15</v>
      </c>
      <c r="B172" s="9" t="s">
        <v>45</v>
      </c>
      <c r="C172" s="10" t="s">
        <v>21</v>
      </c>
      <c r="D172" s="9" t="s">
        <v>13</v>
      </c>
      <c r="E172" s="9" t="s">
        <v>14</v>
      </c>
      <c r="F172" s="10">
        <v>2972</v>
      </c>
      <c r="G172" s="11">
        <v>44182</v>
      </c>
      <c r="H172" s="14">
        <f t="shared" si="4"/>
        <v>2020</v>
      </c>
      <c r="I172" s="12">
        <f>85.4*51029</f>
        <v>4357876.6000000006</v>
      </c>
      <c r="J172" s="10">
        <v>2125</v>
      </c>
      <c r="K172" s="11">
        <v>44760</v>
      </c>
      <c r="L172" s="14">
        <f t="shared" si="5"/>
        <v>2022</v>
      </c>
      <c r="M172" s="12">
        <v>4974380</v>
      </c>
    </row>
    <row r="173" spans="1:13" ht="15.75" customHeight="1" x14ac:dyDescent="0.25">
      <c r="A173" s="9" t="s">
        <v>15</v>
      </c>
      <c r="B173" s="9" t="s">
        <v>45</v>
      </c>
      <c r="C173" s="10" t="s">
        <v>21</v>
      </c>
      <c r="D173" s="9" t="s">
        <v>22</v>
      </c>
      <c r="E173" s="9" t="s">
        <v>14</v>
      </c>
      <c r="F173" s="10">
        <v>2973</v>
      </c>
      <c r="G173" s="11">
        <v>44182</v>
      </c>
      <c r="H173" s="14">
        <f t="shared" si="4"/>
        <v>2020</v>
      </c>
      <c r="I173" s="12">
        <f>374.5*51029</f>
        <v>19110360.5</v>
      </c>
      <c r="J173" s="10">
        <v>2126</v>
      </c>
      <c r="K173" s="11">
        <v>44760</v>
      </c>
      <c r="L173" s="14">
        <f t="shared" si="5"/>
        <v>2022</v>
      </c>
      <c r="M173" s="12">
        <v>21813880</v>
      </c>
    </row>
    <row r="174" spans="1:13" ht="15.75" customHeight="1" x14ac:dyDescent="0.25">
      <c r="A174" s="9" t="s">
        <v>15</v>
      </c>
      <c r="B174" s="9" t="s">
        <v>45</v>
      </c>
      <c r="C174" s="10" t="s">
        <v>21</v>
      </c>
      <c r="D174" s="9" t="s">
        <v>22</v>
      </c>
      <c r="E174" s="9" t="s">
        <v>47</v>
      </c>
      <c r="F174" s="10">
        <v>121</v>
      </c>
      <c r="G174" s="11">
        <v>44210</v>
      </c>
      <c r="H174" s="14">
        <f t="shared" si="4"/>
        <v>2021</v>
      </c>
      <c r="I174" s="12">
        <f>10.5*50978</f>
        <v>535269</v>
      </c>
      <c r="J174" s="10">
        <v>2959</v>
      </c>
      <c r="K174" s="11">
        <v>44834</v>
      </c>
      <c r="L174" s="14">
        <f t="shared" si="5"/>
        <v>2022</v>
      </c>
      <c r="M174" s="12">
        <v>625748</v>
      </c>
    </row>
    <row r="175" spans="1:13" ht="15.75" customHeight="1" x14ac:dyDescent="0.25">
      <c r="A175" s="9" t="s">
        <v>15</v>
      </c>
      <c r="B175" s="9" t="s">
        <v>45</v>
      </c>
      <c r="C175" s="10" t="s">
        <v>21</v>
      </c>
      <c r="D175" s="9" t="s">
        <v>22</v>
      </c>
      <c r="E175" s="9" t="s">
        <v>19</v>
      </c>
      <c r="F175" s="10">
        <v>2337</v>
      </c>
      <c r="G175" s="11">
        <v>44770</v>
      </c>
      <c r="H175" s="14">
        <f t="shared" si="4"/>
        <v>2022</v>
      </c>
      <c r="I175" s="12">
        <v>4991689</v>
      </c>
      <c r="J175" s="10">
        <v>3137</v>
      </c>
      <c r="K175" s="11">
        <v>44852</v>
      </c>
      <c r="L175" s="14">
        <f t="shared" si="5"/>
        <v>2022</v>
      </c>
      <c r="M175" s="12">
        <v>4991689</v>
      </c>
    </row>
    <row r="176" spans="1:13" ht="15.75" customHeight="1" x14ac:dyDescent="0.25">
      <c r="A176" s="9" t="s">
        <v>15</v>
      </c>
      <c r="B176" s="9" t="s">
        <v>45</v>
      </c>
      <c r="C176" s="10" t="s">
        <v>21</v>
      </c>
      <c r="D176" s="9" t="s">
        <v>22</v>
      </c>
      <c r="E176" s="9" t="s">
        <v>47</v>
      </c>
      <c r="F176" s="10">
        <v>161</v>
      </c>
      <c r="G176" s="11">
        <v>44211</v>
      </c>
      <c r="H176" s="14">
        <f t="shared" si="4"/>
        <v>2021</v>
      </c>
      <c r="I176" s="12">
        <f>391.3*50978</f>
        <v>19947691.400000002</v>
      </c>
      <c r="J176" s="10">
        <v>3838</v>
      </c>
      <c r="K176" s="11">
        <v>44911</v>
      </c>
      <c r="L176" s="14">
        <f t="shared" si="5"/>
        <v>2022</v>
      </c>
      <c r="M176" s="12">
        <v>23930734</v>
      </c>
    </row>
    <row r="177" spans="1:13" ht="15.75" customHeight="1" x14ac:dyDescent="0.25">
      <c r="A177" s="9" t="s">
        <v>15</v>
      </c>
      <c r="B177" s="9" t="s">
        <v>45</v>
      </c>
      <c r="C177" s="10" t="s">
        <v>21</v>
      </c>
      <c r="D177" s="9" t="s">
        <v>22</v>
      </c>
      <c r="E177" s="9" t="s">
        <v>47</v>
      </c>
      <c r="F177" s="10">
        <v>165</v>
      </c>
      <c r="G177" s="11">
        <v>44211</v>
      </c>
      <c r="H177" s="14">
        <f t="shared" si="4"/>
        <v>2021</v>
      </c>
      <c r="I177" s="12">
        <f>382.55*50978</f>
        <v>19501633.900000002</v>
      </c>
      <c r="J177" s="10">
        <v>2973</v>
      </c>
      <c r="K177" s="11">
        <v>44834</v>
      </c>
      <c r="L177" s="14">
        <f t="shared" si="5"/>
        <v>2022</v>
      </c>
      <c r="M177" s="12">
        <v>22130605</v>
      </c>
    </row>
    <row r="178" spans="1:13" ht="15.75" customHeight="1" x14ac:dyDescent="0.25">
      <c r="A178" s="9" t="s">
        <v>15</v>
      </c>
      <c r="B178" s="9" t="s">
        <v>45</v>
      </c>
      <c r="C178" s="10" t="s">
        <v>21</v>
      </c>
      <c r="D178" s="9" t="s">
        <v>22</v>
      </c>
      <c r="E178" s="9" t="s">
        <v>47</v>
      </c>
      <c r="F178" s="10">
        <v>163</v>
      </c>
      <c r="G178" s="11">
        <v>44211</v>
      </c>
      <c r="H178" s="14">
        <f t="shared" si="4"/>
        <v>2021</v>
      </c>
      <c r="I178" s="12">
        <f>336.7*50978</f>
        <v>17164292.599999998</v>
      </c>
      <c r="J178" s="10">
        <v>2950</v>
      </c>
      <c r="K178" s="11">
        <v>44834</v>
      </c>
      <c r="L178" s="14">
        <f t="shared" si="5"/>
        <v>2022</v>
      </c>
      <c r="M178" s="12">
        <v>19669331</v>
      </c>
    </row>
    <row r="179" spans="1:13" ht="15.75" customHeight="1" x14ac:dyDescent="0.25">
      <c r="A179" s="9" t="s">
        <v>15</v>
      </c>
      <c r="B179" s="9" t="s">
        <v>45</v>
      </c>
      <c r="C179" s="10" t="s">
        <v>21</v>
      </c>
      <c r="D179" s="9" t="s">
        <v>22</v>
      </c>
      <c r="E179" s="9" t="s">
        <v>14</v>
      </c>
      <c r="F179" s="10">
        <v>220</v>
      </c>
      <c r="G179" s="11">
        <v>44215</v>
      </c>
      <c r="H179" s="14">
        <f t="shared" si="4"/>
        <v>2021</v>
      </c>
      <c r="I179" s="12">
        <f>133*50978</f>
        <v>6780074</v>
      </c>
      <c r="J179" s="10">
        <v>2954</v>
      </c>
      <c r="K179" s="11">
        <v>44834</v>
      </c>
      <c r="L179" s="14">
        <f t="shared" si="5"/>
        <v>2022</v>
      </c>
      <c r="M179" s="12">
        <v>6966656</v>
      </c>
    </row>
    <row r="180" spans="1:13" ht="15.75" customHeight="1" x14ac:dyDescent="0.25">
      <c r="A180" s="9" t="s">
        <v>15</v>
      </c>
      <c r="B180" s="9" t="s">
        <v>45</v>
      </c>
      <c r="C180" s="10" t="s">
        <v>21</v>
      </c>
      <c r="D180" s="9" t="s">
        <v>22</v>
      </c>
      <c r="E180" s="9" t="s">
        <v>14</v>
      </c>
      <c r="F180" s="10">
        <v>223</v>
      </c>
      <c r="G180" s="11">
        <v>44215</v>
      </c>
      <c r="H180" s="14">
        <f t="shared" si="4"/>
        <v>2021</v>
      </c>
      <c r="I180" s="12">
        <f>53.2*50978</f>
        <v>2712029.6</v>
      </c>
      <c r="J180" s="10">
        <v>2956</v>
      </c>
      <c r="K180" s="11">
        <v>44834</v>
      </c>
      <c r="L180" s="14">
        <f t="shared" si="5"/>
        <v>2022</v>
      </c>
      <c r="M180" s="12">
        <v>3170454</v>
      </c>
    </row>
    <row r="181" spans="1:13" ht="15.75" customHeight="1" x14ac:dyDescent="0.25">
      <c r="A181" s="9" t="s">
        <v>15</v>
      </c>
      <c r="B181" s="9" t="s">
        <v>45</v>
      </c>
      <c r="C181" s="10" t="s">
        <v>21</v>
      </c>
      <c r="D181" s="9" t="s">
        <v>22</v>
      </c>
      <c r="E181" s="9" t="s">
        <v>14</v>
      </c>
      <c r="F181" s="10">
        <v>224</v>
      </c>
      <c r="G181" s="11">
        <v>44215</v>
      </c>
      <c r="H181" s="14">
        <f t="shared" si="4"/>
        <v>2021</v>
      </c>
      <c r="I181" s="12">
        <f>242.9*50978</f>
        <v>12382556.200000001</v>
      </c>
      <c r="J181" s="10">
        <v>3007</v>
      </c>
      <c r="K181" s="11">
        <v>44834</v>
      </c>
      <c r="L181" s="14">
        <f t="shared" si="5"/>
        <v>2022</v>
      </c>
      <c r="M181" s="12">
        <v>13849879</v>
      </c>
    </row>
    <row r="182" spans="1:13" ht="15.75" customHeight="1" x14ac:dyDescent="0.25">
      <c r="A182" s="9" t="s">
        <v>15</v>
      </c>
      <c r="B182" s="9" t="s">
        <v>45</v>
      </c>
      <c r="C182" s="10" t="s">
        <v>21</v>
      </c>
      <c r="D182" s="9" t="s">
        <v>13</v>
      </c>
      <c r="E182" s="9" t="s">
        <v>14</v>
      </c>
      <c r="F182" s="10">
        <v>225</v>
      </c>
      <c r="G182" s="11">
        <v>44215</v>
      </c>
      <c r="H182" s="14">
        <f t="shared" si="4"/>
        <v>2021</v>
      </c>
      <c r="I182" s="12">
        <f>10.5*50978</f>
        <v>535269</v>
      </c>
      <c r="J182" s="10">
        <v>2828</v>
      </c>
      <c r="K182" s="11">
        <v>44831</v>
      </c>
      <c r="L182" s="14">
        <f t="shared" si="5"/>
        <v>2022</v>
      </c>
      <c r="M182" s="12">
        <v>625748</v>
      </c>
    </row>
    <row r="183" spans="1:13" ht="15.75" customHeight="1" x14ac:dyDescent="0.25">
      <c r="A183" s="9" t="s">
        <v>15</v>
      </c>
      <c r="B183" s="9" t="s">
        <v>45</v>
      </c>
      <c r="C183" s="10" t="s">
        <v>21</v>
      </c>
      <c r="D183" s="9" t="s">
        <v>13</v>
      </c>
      <c r="E183" s="9" t="s">
        <v>14</v>
      </c>
      <c r="F183" s="10">
        <v>222</v>
      </c>
      <c r="G183" s="11">
        <v>44215</v>
      </c>
      <c r="H183" s="14">
        <f t="shared" si="4"/>
        <v>2021</v>
      </c>
      <c r="I183" s="12">
        <f>5.25*50978</f>
        <v>267634.5</v>
      </c>
      <c r="J183" s="10">
        <v>2958</v>
      </c>
      <c r="K183" s="11">
        <v>44834</v>
      </c>
      <c r="L183" s="14">
        <f t="shared" si="5"/>
        <v>2022</v>
      </c>
      <c r="M183" s="12">
        <v>312874</v>
      </c>
    </row>
    <row r="184" spans="1:13" ht="15.75" customHeight="1" x14ac:dyDescent="0.25">
      <c r="A184" s="9" t="s">
        <v>15</v>
      </c>
      <c r="B184" s="9" t="s">
        <v>45</v>
      </c>
      <c r="C184" s="10" t="s">
        <v>21</v>
      </c>
      <c r="D184" s="9" t="s">
        <v>22</v>
      </c>
      <c r="E184" s="9" t="s">
        <v>14</v>
      </c>
      <c r="F184" s="10">
        <v>1080</v>
      </c>
      <c r="G184" s="11">
        <v>44302</v>
      </c>
      <c r="H184" s="14">
        <f t="shared" si="4"/>
        <v>2021</v>
      </c>
      <c r="I184" s="12">
        <f>15.75*50978</f>
        <v>802903.5</v>
      </c>
      <c r="J184" s="10">
        <v>2957</v>
      </c>
      <c r="K184" s="11">
        <v>44834</v>
      </c>
      <c r="L184" s="14">
        <f t="shared" si="5"/>
        <v>2022</v>
      </c>
      <c r="M184" s="12">
        <v>938621</v>
      </c>
    </row>
    <row r="185" spans="1:13" ht="15.75" customHeight="1" x14ac:dyDescent="0.25">
      <c r="A185" s="9" t="s">
        <v>15</v>
      </c>
      <c r="B185" s="9" t="s">
        <v>45</v>
      </c>
      <c r="C185" s="10" t="s">
        <v>21</v>
      </c>
      <c r="D185" s="9" t="s">
        <v>13</v>
      </c>
      <c r="E185" s="9" t="s">
        <v>14</v>
      </c>
      <c r="F185" s="10">
        <v>1081</v>
      </c>
      <c r="G185" s="11">
        <v>44302</v>
      </c>
      <c r="H185" s="14">
        <f t="shared" si="4"/>
        <v>2021</v>
      </c>
      <c r="I185" s="12">
        <f>105*50978</f>
        <v>5352690</v>
      </c>
      <c r="J185" s="10">
        <v>2953</v>
      </c>
      <c r="K185" s="11">
        <v>44834</v>
      </c>
      <c r="L185" s="14">
        <f t="shared" si="5"/>
        <v>2022</v>
      </c>
      <c r="M185" s="12">
        <v>5944602</v>
      </c>
    </row>
    <row r="186" spans="1:13" ht="15.75" customHeight="1" x14ac:dyDescent="0.25">
      <c r="A186" s="9" t="s">
        <v>15</v>
      </c>
      <c r="B186" s="9" t="s">
        <v>45</v>
      </c>
      <c r="C186" s="10" t="s">
        <v>21</v>
      </c>
      <c r="D186" s="9" t="s">
        <v>22</v>
      </c>
      <c r="E186" s="9" t="s">
        <v>14</v>
      </c>
      <c r="F186" s="10">
        <v>1082</v>
      </c>
      <c r="G186" s="11">
        <v>44302</v>
      </c>
      <c r="H186" s="14">
        <f t="shared" si="4"/>
        <v>2021</v>
      </c>
      <c r="I186" s="12">
        <f>194.95*50978</f>
        <v>9938161.0999999996</v>
      </c>
      <c r="J186" s="10">
        <v>2951</v>
      </c>
      <c r="K186" s="11">
        <v>44834</v>
      </c>
      <c r="L186" s="14">
        <f t="shared" si="5"/>
        <v>2022</v>
      </c>
      <c r="M186" s="12">
        <v>11618048</v>
      </c>
    </row>
    <row r="187" spans="1:13" ht="15.75" customHeight="1" x14ac:dyDescent="0.25">
      <c r="A187" s="9" t="s">
        <v>15</v>
      </c>
      <c r="B187" s="9" t="s">
        <v>45</v>
      </c>
      <c r="C187" s="10" t="s">
        <v>21</v>
      </c>
      <c r="D187" s="9" t="s">
        <v>13</v>
      </c>
      <c r="E187" s="9" t="s">
        <v>47</v>
      </c>
      <c r="F187" s="10">
        <v>1356</v>
      </c>
      <c r="G187" s="11">
        <v>44326</v>
      </c>
      <c r="H187" s="14">
        <f t="shared" si="4"/>
        <v>2021</v>
      </c>
      <c r="I187" s="12">
        <f>42*51798</f>
        <v>2175516</v>
      </c>
      <c r="J187" s="10">
        <v>2955</v>
      </c>
      <c r="K187" s="11">
        <v>44834</v>
      </c>
      <c r="L187" s="14">
        <f t="shared" si="5"/>
        <v>2022</v>
      </c>
      <c r="M187" s="12">
        <v>2502991</v>
      </c>
    </row>
    <row r="188" spans="1:13" ht="15.75" customHeight="1" x14ac:dyDescent="0.25">
      <c r="A188" s="9" t="s">
        <v>15</v>
      </c>
      <c r="B188" s="9" t="s">
        <v>45</v>
      </c>
      <c r="C188" s="10" t="s">
        <v>21</v>
      </c>
      <c r="D188" s="9" t="s">
        <v>22</v>
      </c>
      <c r="E188" s="9" t="s">
        <v>47</v>
      </c>
      <c r="F188" s="10">
        <v>1357</v>
      </c>
      <c r="G188" s="11">
        <v>44326</v>
      </c>
      <c r="H188" s="14">
        <f t="shared" si="4"/>
        <v>2021</v>
      </c>
      <c r="I188" s="12">
        <f>185.15*51798</f>
        <v>9590399.7000000011</v>
      </c>
      <c r="J188" s="10">
        <v>2952</v>
      </c>
      <c r="K188" s="11">
        <v>44834</v>
      </c>
      <c r="L188" s="14">
        <f t="shared" si="5"/>
        <v>2022</v>
      </c>
      <c r="M188" s="12">
        <v>6945798</v>
      </c>
    </row>
    <row r="189" spans="1:13" ht="15.75" customHeight="1" x14ac:dyDescent="0.25">
      <c r="A189" s="9" t="s">
        <v>10</v>
      </c>
      <c r="B189" s="9" t="s">
        <v>45</v>
      </c>
      <c r="C189" s="10" t="s">
        <v>21</v>
      </c>
      <c r="D189" s="9" t="s">
        <v>13</v>
      </c>
      <c r="E189" s="9" t="s">
        <v>69</v>
      </c>
      <c r="F189" s="10">
        <v>2593</v>
      </c>
      <c r="G189" s="11">
        <v>44473</v>
      </c>
      <c r="H189" s="14">
        <f t="shared" si="4"/>
        <v>2021</v>
      </c>
      <c r="I189" s="12">
        <f>3*52842</f>
        <v>158526</v>
      </c>
      <c r="J189" s="10">
        <v>3238</v>
      </c>
      <c r="K189" s="11">
        <v>44861</v>
      </c>
      <c r="L189" s="14">
        <f t="shared" si="5"/>
        <v>2022</v>
      </c>
      <c r="M189" s="12">
        <v>180930</v>
      </c>
    </row>
    <row r="190" spans="1:13" ht="15.75" customHeight="1" x14ac:dyDescent="0.25">
      <c r="A190" s="9" t="s">
        <v>10</v>
      </c>
      <c r="B190" s="9" t="s">
        <v>45</v>
      </c>
      <c r="C190" s="10" t="s">
        <v>21</v>
      </c>
      <c r="D190" s="9" t="s">
        <v>22</v>
      </c>
      <c r="E190" s="9" t="s">
        <v>69</v>
      </c>
      <c r="F190" s="10">
        <v>2594</v>
      </c>
      <c r="G190" s="11">
        <v>44473</v>
      </c>
      <c r="H190" s="14">
        <f t="shared" si="4"/>
        <v>2021</v>
      </c>
      <c r="I190" s="12">
        <f>3*52842</f>
        <v>158526</v>
      </c>
      <c r="J190" s="10">
        <v>3237</v>
      </c>
      <c r="K190" s="11">
        <v>44861</v>
      </c>
      <c r="L190" s="14">
        <f t="shared" si="5"/>
        <v>2022</v>
      </c>
      <c r="M190" s="12">
        <v>180930</v>
      </c>
    </row>
    <row r="191" spans="1:13" ht="15.75" customHeight="1" x14ac:dyDescent="0.25">
      <c r="A191" s="9" t="s">
        <v>59</v>
      </c>
      <c r="B191" s="9" t="s">
        <v>45</v>
      </c>
      <c r="C191" s="10" t="s">
        <v>21</v>
      </c>
      <c r="D191" s="9" t="s">
        <v>22</v>
      </c>
      <c r="E191" s="9" t="s">
        <v>69</v>
      </c>
      <c r="F191" s="10">
        <v>2591</v>
      </c>
      <c r="G191" s="11">
        <v>44473</v>
      </c>
      <c r="H191" s="14">
        <f t="shared" si="4"/>
        <v>2021</v>
      </c>
      <c r="I191" s="12">
        <f>3*52842</f>
        <v>158526</v>
      </c>
      <c r="J191" s="10">
        <v>3239</v>
      </c>
      <c r="K191" s="11">
        <v>44861</v>
      </c>
      <c r="L191" s="14">
        <f t="shared" si="5"/>
        <v>2022</v>
      </c>
      <c r="M191" s="12">
        <v>180930</v>
      </c>
    </row>
    <row r="192" spans="1:13" ht="15.75" customHeight="1" x14ac:dyDescent="0.25">
      <c r="A192" s="9" t="s">
        <v>59</v>
      </c>
      <c r="B192" s="9" t="s">
        <v>45</v>
      </c>
      <c r="C192" s="10" t="s">
        <v>21</v>
      </c>
      <c r="D192" s="9" t="s">
        <v>13</v>
      </c>
      <c r="E192" s="9" t="s">
        <v>69</v>
      </c>
      <c r="F192" s="10">
        <v>2592</v>
      </c>
      <c r="G192" s="11">
        <v>44473</v>
      </c>
      <c r="H192" s="14">
        <f t="shared" si="4"/>
        <v>2021</v>
      </c>
      <c r="I192" s="12">
        <f>3*52842</f>
        <v>158526</v>
      </c>
      <c r="J192" s="10">
        <v>3240</v>
      </c>
      <c r="K192" s="11">
        <v>44861</v>
      </c>
      <c r="L192" s="14">
        <f t="shared" si="5"/>
        <v>2022</v>
      </c>
      <c r="M192" s="12">
        <v>180930</v>
      </c>
    </row>
    <row r="193" spans="1:13" ht="15.75" customHeight="1" x14ac:dyDescent="0.25">
      <c r="A193" s="9" t="s">
        <v>15</v>
      </c>
      <c r="B193" s="9" t="s">
        <v>45</v>
      </c>
      <c r="C193" s="10" t="s">
        <v>21</v>
      </c>
      <c r="D193" s="9" t="s">
        <v>13</v>
      </c>
      <c r="E193" s="9" t="s">
        <v>14</v>
      </c>
      <c r="F193" s="10">
        <v>3429</v>
      </c>
      <c r="G193" s="11">
        <v>44554</v>
      </c>
      <c r="H193" s="14">
        <f t="shared" si="4"/>
        <v>2021</v>
      </c>
      <c r="I193" s="12">
        <f>184.1*52842</f>
        <v>9728212.1999999993</v>
      </c>
      <c r="J193" s="10">
        <v>2127</v>
      </c>
      <c r="K193" s="11">
        <v>44760</v>
      </c>
      <c r="L193" s="14">
        <f t="shared" si="5"/>
        <v>2022</v>
      </c>
      <c r="M193" s="12">
        <v>10723457</v>
      </c>
    </row>
    <row r="194" spans="1:13" ht="15.75" customHeight="1" x14ac:dyDescent="0.25">
      <c r="A194" s="9" t="s">
        <v>15</v>
      </c>
      <c r="B194" s="9" t="s">
        <v>45</v>
      </c>
      <c r="C194" s="10" t="s">
        <v>21</v>
      </c>
      <c r="D194" s="9" t="s">
        <v>13</v>
      </c>
      <c r="E194" s="9" t="s">
        <v>47</v>
      </c>
      <c r="F194" s="10">
        <v>157</v>
      </c>
      <c r="G194" s="11">
        <v>44580</v>
      </c>
      <c r="H194" s="14">
        <f t="shared" si="4"/>
        <v>2022</v>
      </c>
      <c r="I194" s="12">
        <f>47.25*54445</f>
        <v>2572526.25</v>
      </c>
      <c r="J194" s="10">
        <v>3213</v>
      </c>
      <c r="K194" s="11">
        <v>44861</v>
      </c>
      <c r="L194" s="14">
        <f t="shared" si="5"/>
        <v>2022</v>
      </c>
      <c r="M194" s="12">
        <v>2849648</v>
      </c>
    </row>
    <row r="195" spans="1:13" ht="15.75" customHeight="1" x14ac:dyDescent="0.25">
      <c r="A195" s="9" t="s">
        <v>15</v>
      </c>
      <c r="B195" s="9" t="s">
        <v>45</v>
      </c>
      <c r="C195" s="10" t="s">
        <v>21</v>
      </c>
      <c r="D195" s="9" t="s">
        <v>22</v>
      </c>
      <c r="E195" s="9" t="s">
        <v>47</v>
      </c>
      <c r="F195" s="10">
        <v>158</v>
      </c>
      <c r="G195" s="11">
        <v>44580</v>
      </c>
      <c r="H195" s="14">
        <f t="shared" si="4"/>
        <v>2022</v>
      </c>
      <c r="I195" s="12">
        <f>317.1*54445</f>
        <v>17264509.5</v>
      </c>
      <c r="J195" s="10">
        <v>3215</v>
      </c>
      <c r="K195" s="11">
        <v>44861</v>
      </c>
      <c r="L195" s="14">
        <f t="shared" si="5"/>
        <v>2022</v>
      </c>
      <c r="M195" s="12">
        <v>19124301</v>
      </c>
    </row>
    <row r="196" spans="1:13" ht="15.75" customHeight="1" x14ac:dyDescent="0.25">
      <c r="A196" s="9" t="s">
        <v>15</v>
      </c>
      <c r="B196" s="9" t="s">
        <v>45</v>
      </c>
      <c r="C196" s="10" t="s">
        <v>21</v>
      </c>
      <c r="D196" s="9" t="s">
        <v>13</v>
      </c>
      <c r="E196" s="9" t="s">
        <v>47</v>
      </c>
      <c r="F196" s="10">
        <v>159</v>
      </c>
      <c r="G196" s="11">
        <v>44580</v>
      </c>
      <c r="H196" s="14">
        <f t="shared" ref="H196:H259" si="6">YEAR(G196)</f>
        <v>2022</v>
      </c>
      <c r="I196" s="12">
        <f>302.05*54445</f>
        <v>16445112.25</v>
      </c>
      <c r="J196" s="10">
        <v>3224</v>
      </c>
      <c r="K196" s="11">
        <v>44861</v>
      </c>
      <c r="L196" s="14">
        <f t="shared" ref="L196:L259" si="7">YEAR(K196)</f>
        <v>2022</v>
      </c>
      <c r="M196" s="12">
        <v>18216636</v>
      </c>
    </row>
    <row r="197" spans="1:13" ht="15.75" customHeight="1" x14ac:dyDescent="0.25">
      <c r="A197" s="9" t="s">
        <v>15</v>
      </c>
      <c r="B197" s="9" t="s">
        <v>45</v>
      </c>
      <c r="C197" s="10" t="s">
        <v>21</v>
      </c>
      <c r="D197" s="9" t="s">
        <v>22</v>
      </c>
      <c r="E197" s="9" t="s">
        <v>14</v>
      </c>
      <c r="F197" s="10">
        <v>160</v>
      </c>
      <c r="G197" s="11">
        <v>44580</v>
      </c>
      <c r="H197" s="14">
        <f t="shared" si="6"/>
        <v>2022</v>
      </c>
      <c r="I197" s="12">
        <f>63*54445</f>
        <v>3430035</v>
      </c>
      <c r="J197" s="10">
        <v>3223</v>
      </c>
      <c r="K197" s="11">
        <v>44861</v>
      </c>
      <c r="L197" s="14">
        <f t="shared" si="7"/>
        <v>2022</v>
      </c>
      <c r="M197" s="12">
        <v>3799530</v>
      </c>
    </row>
    <row r="198" spans="1:13" ht="15.75" customHeight="1" x14ac:dyDescent="0.25">
      <c r="A198" s="9" t="s">
        <v>15</v>
      </c>
      <c r="B198" s="9" t="s">
        <v>45</v>
      </c>
      <c r="C198" s="10" t="s">
        <v>21</v>
      </c>
      <c r="D198" s="9" t="s">
        <v>13</v>
      </c>
      <c r="E198" s="9" t="s">
        <v>47</v>
      </c>
      <c r="F198" s="10">
        <v>161</v>
      </c>
      <c r="G198" s="11">
        <v>44580</v>
      </c>
      <c r="H198" s="14">
        <f t="shared" si="6"/>
        <v>2022</v>
      </c>
      <c r="I198" s="12">
        <f>58.1*54445</f>
        <v>3163254.5</v>
      </c>
      <c r="J198" s="10">
        <v>3220</v>
      </c>
      <c r="K198" s="11">
        <v>44861</v>
      </c>
      <c r="L198" s="14">
        <f t="shared" si="7"/>
        <v>2022</v>
      </c>
      <c r="M198" s="12">
        <v>3504011</v>
      </c>
    </row>
    <row r="199" spans="1:13" ht="15.75" customHeight="1" x14ac:dyDescent="0.25">
      <c r="A199" s="9" t="s">
        <v>15</v>
      </c>
      <c r="B199" s="9" t="s">
        <v>45</v>
      </c>
      <c r="C199" s="10" t="s">
        <v>21</v>
      </c>
      <c r="D199" s="9" t="s">
        <v>22</v>
      </c>
      <c r="E199" s="9" t="s">
        <v>14</v>
      </c>
      <c r="F199" s="10">
        <v>162</v>
      </c>
      <c r="G199" s="11">
        <v>44580</v>
      </c>
      <c r="H199" s="14">
        <f t="shared" si="6"/>
        <v>2022</v>
      </c>
      <c r="I199" s="12">
        <f>26.25*54445</f>
        <v>1429181.25</v>
      </c>
      <c r="J199" s="10">
        <v>3218</v>
      </c>
      <c r="K199" s="11">
        <v>44861</v>
      </c>
      <c r="L199" s="14">
        <f t="shared" si="7"/>
        <v>2022</v>
      </c>
      <c r="M199" s="12">
        <v>1583138</v>
      </c>
    </row>
    <row r="200" spans="1:13" ht="15.75" customHeight="1" x14ac:dyDescent="0.25">
      <c r="A200" s="9" t="s">
        <v>15</v>
      </c>
      <c r="B200" s="9" t="s">
        <v>45</v>
      </c>
      <c r="C200" s="10" t="s">
        <v>21</v>
      </c>
      <c r="D200" s="9" t="s">
        <v>13</v>
      </c>
      <c r="E200" s="9" t="s">
        <v>14</v>
      </c>
      <c r="F200" s="10">
        <v>163</v>
      </c>
      <c r="G200" s="11">
        <v>44580</v>
      </c>
      <c r="H200" s="14">
        <f t="shared" si="6"/>
        <v>2022</v>
      </c>
      <c r="I200" s="12">
        <f>37.45*54445</f>
        <v>2038965.2500000002</v>
      </c>
      <c r="J200" s="10">
        <v>3207</v>
      </c>
      <c r="K200" s="11">
        <v>44861</v>
      </c>
      <c r="L200" s="14">
        <f t="shared" si="7"/>
        <v>2022</v>
      </c>
      <c r="M200" s="12">
        <v>2258610</v>
      </c>
    </row>
    <row r="201" spans="1:13" ht="15.75" customHeight="1" x14ac:dyDescent="0.25">
      <c r="A201" s="9" t="s">
        <v>15</v>
      </c>
      <c r="B201" s="9" t="s">
        <v>45</v>
      </c>
      <c r="C201" s="10" t="s">
        <v>21</v>
      </c>
      <c r="D201" s="9" t="s">
        <v>22</v>
      </c>
      <c r="E201" s="9" t="s">
        <v>14</v>
      </c>
      <c r="F201" s="10">
        <v>3428</v>
      </c>
      <c r="G201" s="11">
        <v>44554</v>
      </c>
      <c r="H201" s="14">
        <f t="shared" si="6"/>
        <v>2021</v>
      </c>
      <c r="I201" s="12">
        <f>147.7*52842</f>
        <v>7804763.3999999994</v>
      </c>
      <c r="J201" s="10">
        <v>2350</v>
      </c>
      <c r="K201" s="11">
        <v>44771</v>
      </c>
      <c r="L201" s="14">
        <f t="shared" si="7"/>
        <v>2022</v>
      </c>
      <c r="M201" s="12">
        <v>8603230</v>
      </c>
    </row>
    <row r="202" spans="1:13" ht="15.75" customHeight="1" x14ac:dyDescent="0.25">
      <c r="A202" s="9" t="s">
        <v>10</v>
      </c>
      <c r="B202" s="9" t="s">
        <v>45</v>
      </c>
      <c r="C202" s="10" t="s">
        <v>21</v>
      </c>
      <c r="D202" s="9" t="s">
        <v>22</v>
      </c>
      <c r="E202" s="9" t="s">
        <v>14</v>
      </c>
      <c r="F202" s="10">
        <v>1902</v>
      </c>
      <c r="G202" s="11">
        <v>44748</v>
      </c>
      <c r="H202" s="14">
        <f t="shared" si="6"/>
        <v>2022</v>
      </c>
      <c r="I202" s="12">
        <f>5.39*58248</f>
        <v>313956.71999999997</v>
      </c>
      <c r="J202" s="10">
        <v>3639</v>
      </c>
      <c r="K202" s="11">
        <v>44901</v>
      </c>
      <c r="L202" s="14">
        <f t="shared" si="7"/>
        <v>2022</v>
      </c>
      <c r="M202" s="12">
        <v>329636</v>
      </c>
    </row>
    <row r="203" spans="1:13" ht="15.75" customHeight="1" x14ac:dyDescent="0.25">
      <c r="A203" s="9" t="s">
        <v>10</v>
      </c>
      <c r="B203" s="9" t="s">
        <v>45</v>
      </c>
      <c r="C203" s="10" t="s">
        <v>21</v>
      </c>
      <c r="D203" s="9" t="s">
        <v>13</v>
      </c>
      <c r="E203" s="9" t="s">
        <v>14</v>
      </c>
      <c r="F203" s="10">
        <v>1903</v>
      </c>
      <c r="G203" s="11">
        <v>44748</v>
      </c>
      <c r="H203" s="14">
        <f t="shared" si="6"/>
        <v>2022</v>
      </c>
      <c r="I203" s="12">
        <f>48.1*58248</f>
        <v>2801728.8000000003</v>
      </c>
      <c r="J203" s="10">
        <v>3638</v>
      </c>
      <c r="K203" s="11">
        <v>44901</v>
      </c>
      <c r="L203" s="14">
        <f t="shared" si="7"/>
        <v>2022</v>
      </c>
      <c r="M203" s="12">
        <v>2941652</v>
      </c>
    </row>
    <row r="204" spans="1:13" ht="15.75" customHeight="1" x14ac:dyDescent="0.25">
      <c r="A204" s="9" t="s">
        <v>15</v>
      </c>
      <c r="B204" s="9" t="s">
        <v>45</v>
      </c>
      <c r="C204" s="10" t="s">
        <v>21</v>
      </c>
      <c r="D204" s="9" t="s">
        <v>22</v>
      </c>
      <c r="E204" s="9" t="s">
        <v>23</v>
      </c>
      <c r="F204" s="10">
        <v>2332</v>
      </c>
      <c r="G204" s="11">
        <v>44770</v>
      </c>
      <c r="H204" s="14">
        <f t="shared" si="6"/>
        <v>2022</v>
      </c>
      <c r="I204" s="12">
        <v>1800606</v>
      </c>
      <c r="J204" s="10">
        <v>3136</v>
      </c>
      <c r="K204" s="11">
        <v>44852</v>
      </c>
      <c r="L204" s="14">
        <f t="shared" si="7"/>
        <v>2022</v>
      </c>
      <c r="M204" s="12">
        <v>1800606</v>
      </c>
    </row>
    <row r="205" spans="1:13" ht="15.75" customHeight="1" x14ac:dyDescent="0.25">
      <c r="A205" s="9" t="s">
        <v>15</v>
      </c>
      <c r="B205" s="9" t="s">
        <v>45</v>
      </c>
      <c r="C205" s="10" t="s">
        <v>21</v>
      </c>
      <c r="D205" s="9" t="s">
        <v>13</v>
      </c>
      <c r="E205" s="9" t="s">
        <v>23</v>
      </c>
      <c r="F205" s="10">
        <v>2317</v>
      </c>
      <c r="G205" s="11">
        <v>44770</v>
      </c>
      <c r="H205" s="14">
        <f t="shared" si="6"/>
        <v>2022</v>
      </c>
      <c r="I205" s="12">
        <v>14685336</v>
      </c>
      <c r="J205" s="10">
        <v>3138</v>
      </c>
      <c r="K205" s="11">
        <v>44852</v>
      </c>
      <c r="L205" s="14">
        <f t="shared" si="7"/>
        <v>2022</v>
      </c>
      <c r="M205" s="12">
        <v>14685336</v>
      </c>
    </row>
    <row r="206" spans="1:13" ht="15.75" customHeight="1" x14ac:dyDescent="0.25">
      <c r="A206" s="9" t="s">
        <v>15</v>
      </c>
      <c r="B206" s="9" t="s">
        <v>45</v>
      </c>
      <c r="C206" s="10" t="s">
        <v>21</v>
      </c>
      <c r="D206" s="9" t="s">
        <v>83</v>
      </c>
      <c r="E206" s="9" t="s">
        <v>72</v>
      </c>
      <c r="F206" s="10">
        <v>2124</v>
      </c>
      <c r="G206" s="11">
        <v>44791</v>
      </c>
      <c r="H206" s="14">
        <f t="shared" si="6"/>
        <v>2022</v>
      </c>
      <c r="I206" s="12">
        <f>3978*58772</f>
        <v>233795016</v>
      </c>
      <c r="J206" s="10">
        <v>3641</v>
      </c>
      <c r="K206" s="11">
        <v>44901</v>
      </c>
      <c r="L206" s="14">
        <f t="shared" si="7"/>
        <v>2022</v>
      </c>
      <c r="M206" s="12">
        <v>242282546</v>
      </c>
    </row>
    <row r="207" spans="1:13" ht="15.75" customHeight="1" x14ac:dyDescent="0.25">
      <c r="A207" s="9" t="s">
        <v>15</v>
      </c>
      <c r="B207" s="9" t="s">
        <v>45</v>
      </c>
      <c r="C207" s="10" t="s">
        <v>21</v>
      </c>
      <c r="D207" s="9" t="s">
        <v>22</v>
      </c>
      <c r="E207" s="9" t="s">
        <v>19</v>
      </c>
      <c r="F207" s="10">
        <v>1904</v>
      </c>
      <c r="G207" s="11">
        <v>44748</v>
      </c>
      <c r="H207" s="14">
        <f t="shared" si="6"/>
        <v>2022</v>
      </c>
      <c r="I207" s="12">
        <v>2340683</v>
      </c>
      <c r="J207" s="10">
        <v>3693</v>
      </c>
      <c r="K207" s="11">
        <v>44904</v>
      </c>
      <c r="L207" s="14">
        <f t="shared" si="7"/>
        <v>2022</v>
      </c>
      <c r="M207" s="12">
        <v>2340683</v>
      </c>
    </row>
    <row r="208" spans="1:13" ht="15.75" customHeight="1" x14ac:dyDescent="0.25">
      <c r="A208" s="9" t="s">
        <v>59</v>
      </c>
      <c r="B208" s="9" t="s">
        <v>45</v>
      </c>
      <c r="C208" s="10" t="s">
        <v>21</v>
      </c>
      <c r="D208" s="9" t="s">
        <v>13</v>
      </c>
      <c r="E208" s="9" t="s">
        <v>14</v>
      </c>
      <c r="F208" s="10">
        <v>2351</v>
      </c>
      <c r="G208" s="11">
        <v>44771</v>
      </c>
      <c r="H208" s="14">
        <f t="shared" si="6"/>
        <v>2022</v>
      </c>
      <c r="I208" s="12">
        <f>110.95*58248</f>
        <v>6462615.6000000006</v>
      </c>
      <c r="J208" s="10">
        <v>3637</v>
      </c>
      <c r="K208" s="11">
        <v>44901</v>
      </c>
      <c r="L208" s="14">
        <f t="shared" si="7"/>
        <v>2022</v>
      </c>
      <c r="M208" s="12">
        <v>6785369</v>
      </c>
    </row>
    <row r="209" spans="1:13" ht="15.75" customHeight="1" x14ac:dyDescent="0.25">
      <c r="A209" s="9" t="s">
        <v>59</v>
      </c>
      <c r="B209" s="9" t="s">
        <v>45</v>
      </c>
      <c r="C209" s="10" t="s">
        <v>21</v>
      </c>
      <c r="D209" s="9" t="s">
        <v>83</v>
      </c>
      <c r="E209" s="9" t="s">
        <v>72</v>
      </c>
      <c r="F209" s="10">
        <v>1907</v>
      </c>
      <c r="G209" s="11">
        <v>44748</v>
      </c>
      <c r="H209" s="14">
        <f t="shared" si="6"/>
        <v>2022</v>
      </c>
      <c r="I209" s="12">
        <f>1320.24*58248</f>
        <v>76901339.519999996</v>
      </c>
      <c r="J209" s="10">
        <v>3636</v>
      </c>
      <c r="K209" s="11">
        <v>44901</v>
      </c>
      <c r="L209" s="14">
        <f t="shared" si="7"/>
        <v>2022</v>
      </c>
      <c r="M209" s="12">
        <v>80727240</v>
      </c>
    </row>
    <row r="210" spans="1:13" ht="15.75" customHeight="1" x14ac:dyDescent="0.25">
      <c r="A210" s="9" t="s">
        <v>59</v>
      </c>
      <c r="B210" s="9" t="s">
        <v>45</v>
      </c>
      <c r="C210" s="10" t="s">
        <v>21</v>
      </c>
      <c r="D210" s="9" t="s">
        <v>83</v>
      </c>
      <c r="E210" s="9" t="s">
        <v>72</v>
      </c>
      <c r="F210" s="10">
        <v>1906</v>
      </c>
      <c r="G210" s="11">
        <v>44748</v>
      </c>
      <c r="H210" s="14">
        <f t="shared" si="6"/>
        <v>2022</v>
      </c>
      <c r="I210" s="12">
        <f>1052.83*58248</f>
        <v>61325241.839999996</v>
      </c>
      <c r="J210" s="10">
        <v>3640</v>
      </c>
      <c r="K210" s="11">
        <v>44901</v>
      </c>
      <c r="L210" s="14">
        <f t="shared" si="7"/>
        <v>2022</v>
      </c>
      <c r="M210" s="12">
        <v>64387924</v>
      </c>
    </row>
    <row r="211" spans="1:13" ht="15.75" customHeight="1" x14ac:dyDescent="0.25">
      <c r="A211" s="9" t="s">
        <v>10</v>
      </c>
      <c r="B211" s="9" t="s">
        <v>45</v>
      </c>
      <c r="C211" s="10" t="s">
        <v>21</v>
      </c>
      <c r="D211" s="9" t="s">
        <v>83</v>
      </c>
      <c r="E211" s="9" t="s">
        <v>72</v>
      </c>
      <c r="F211" s="10">
        <v>2946</v>
      </c>
      <c r="G211" s="11">
        <v>44834</v>
      </c>
      <c r="H211" s="14">
        <f t="shared" si="6"/>
        <v>2022</v>
      </c>
      <c r="I211" s="12">
        <f>1129.79*59595</f>
        <v>67329835.049999997</v>
      </c>
      <c r="J211" s="10">
        <v>3741</v>
      </c>
      <c r="K211" s="11">
        <v>44908</v>
      </c>
      <c r="L211" s="14">
        <f t="shared" si="7"/>
        <v>2022</v>
      </c>
      <c r="M211" s="12">
        <f>1291.35*61157</f>
        <v>78975091.949999988</v>
      </c>
    </row>
    <row r="212" spans="1:13" ht="15.75" customHeight="1" x14ac:dyDescent="0.25">
      <c r="A212" s="9" t="s">
        <v>10</v>
      </c>
      <c r="B212" s="9" t="s">
        <v>45</v>
      </c>
      <c r="C212" s="10" t="s">
        <v>21</v>
      </c>
      <c r="D212" s="9" t="s">
        <v>83</v>
      </c>
      <c r="E212" s="9" t="s">
        <v>72</v>
      </c>
      <c r="F212" s="10">
        <v>2947</v>
      </c>
      <c r="G212" s="11">
        <v>44834</v>
      </c>
      <c r="H212" s="14">
        <f t="shared" si="6"/>
        <v>2022</v>
      </c>
      <c r="I212" s="12">
        <f>101.08*59595</f>
        <v>6023862.5999999996</v>
      </c>
      <c r="J212" s="10">
        <v>3742</v>
      </c>
      <c r="K212" s="11">
        <v>44908</v>
      </c>
      <c r="L212" s="14">
        <f t="shared" si="7"/>
        <v>2022</v>
      </c>
      <c r="M212" s="12">
        <f>101.08*51157</f>
        <v>5170949.5599999996</v>
      </c>
    </row>
    <row r="213" spans="1:13" ht="15.75" customHeight="1" x14ac:dyDescent="0.25">
      <c r="A213" s="9" t="s">
        <v>15</v>
      </c>
      <c r="B213" s="9" t="s">
        <v>45</v>
      </c>
      <c r="C213" s="10" t="s">
        <v>21</v>
      </c>
      <c r="D213" s="9" t="s">
        <v>13</v>
      </c>
      <c r="E213" s="9" t="s">
        <v>69</v>
      </c>
      <c r="F213" s="10">
        <v>2222</v>
      </c>
      <c r="G213" s="11">
        <v>44768</v>
      </c>
      <c r="H213" s="14">
        <f t="shared" si="6"/>
        <v>2022</v>
      </c>
      <c r="I213" s="12">
        <f>1.6*58248</f>
        <v>93196.800000000003</v>
      </c>
      <c r="J213" s="10">
        <v>3242</v>
      </c>
      <c r="K213" s="11">
        <v>44861</v>
      </c>
      <c r="L213" s="14">
        <f t="shared" si="7"/>
        <v>2022</v>
      </c>
      <c r="M213" s="12">
        <v>96496</v>
      </c>
    </row>
    <row r="214" spans="1:13" ht="15.75" customHeight="1" x14ac:dyDescent="0.25">
      <c r="A214" s="9" t="s">
        <v>15</v>
      </c>
      <c r="B214" s="9" t="s">
        <v>45</v>
      </c>
      <c r="C214" s="10" t="s">
        <v>21</v>
      </c>
      <c r="D214" s="9" t="s">
        <v>22</v>
      </c>
      <c r="E214" s="9" t="s">
        <v>69</v>
      </c>
      <c r="F214" s="10">
        <v>2224</v>
      </c>
      <c r="G214" s="11">
        <v>44768</v>
      </c>
      <c r="H214" s="14">
        <f t="shared" si="6"/>
        <v>2022</v>
      </c>
      <c r="I214" s="12">
        <f>2.6*58248</f>
        <v>151444.80000000002</v>
      </c>
      <c r="J214" s="10">
        <v>3241</v>
      </c>
      <c r="K214" s="11">
        <v>44892</v>
      </c>
      <c r="L214" s="14">
        <f t="shared" si="7"/>
        <v>2022</v>
      </c>
      <c r="M214" s="12">
        <v>156806</v>
      </c>
    </row>
    <row r="215" spans="1:13" ht="15.75" customHeight="1" x14ac:dyDescent="0.25">
      <c r="A215" s="9" t="s">
        <v>59</v>
      </c>
      <c r="B215" s="9" t="s">
        <v>67</v>
      </c>
      <c r="C215" s="10" t="s">
        <v>39</v>
      </c>
      <c r="D215" s="9" t="s">
        <v>40</v>
      </c>
      <c r="E215" s="9" t="s">
        <v>47</v>
      </c>
      <c r="F215" s="10">
        <v>250</v>
      </c>
      <c r="G215" s="11">
        <v>43605</v>
      </c>
      <c r="H215" s="14">
        <f t="shared" si="6"/>
        <v>2019</v>
      </c>
      <c r="I215" s="12">
        <v>6453900</v>
      </c>
      <c r="J215" s="10">
        <v>1751</v>
      </c>
      <c r="K215" s="11">
        <v>44726</v>
      </c>
      <c r="L215" s="14">
        <f t="shared" si="7"/>
        <v>2022</v>
      </c>
      <c r="M215" s="12">
        <v>6309088</v>
      </c>
    </row>
    <row r="216" spans="1:13" ht="15.75" customHeight="1" x14ac:dyDescent="0.25">
      <c r="A216" s="9" t="s">
        <v>10</v>
      </c>
      <c r="B216" s="9" t="s">
        <v>67</v>
      </c>
      <c r="C216" s="10" t="s">
        <v>39</v>
      </c>
      <c r="D216" s="9" t="s">
        <v>40</v>
      </c>
      <c r="E216" s="9" t="s">
        <v>47</v>
      </c>
      <c r="F216" s="10">
        <v>553</v>
      </c>
      <c r="G216" s="11">
        <v>43794</v>
      </c>
      <c r="H216" s="14">
        <f t="shared" si="6"/>
        <v>2019</v>
      </c>
      <c r="I216" s="12">
        <v>1520194</v>
      </c>
      <c r="J216" s="10">
        <v>852</v>
      </c>
      <c r="K216" s="11">
        <v>44636</v>
      </c>
      <c r="L216" s="14">
        <f t="shared" si="7"/>
        <v>2022</v>
      </c>
      <c r="M216" s="12">
        <v>1520194</v>
      </c>
    </row>
    <row r="217" spans="1:13" ht="15.75" customHeight="1" x14ac:dyDescent="0.25">
      <c r="A217" s="9" t="s">
        <v>10</v>
      </c>
      <c r="B217" s="9" t="s">
        <v>67</v>
      </c>
      <c r="C217" s="10" t="s">
        <v>39</v>
      </c>
      <c r="D217" s="9" t="s">
        <v>40</v>
      </c>
      <c r="E217" s="9" t="s">
        <v>47</v>
      </c>
      <c r="F217" s="10">
        <v>554</v>
      </c>
      <c r="G217" s="11">
        <v>43793</v>
      </c>
      <c r="H217" s="14">
        <f t="shared" si="6"/>
        <v>2019</v>
      </c>
      <c r="I217" s="12">
        <v>6141812</v>
      </c>
      <c r="J217" s="10">
        <v>1096</v>
      </c>
      <c r="K217" s="11">
        <v>44659</v>
      </c>
      <c r="L217" s="14">
        <f t="shared" si="7"/>
        <v>2022</v>
      </c>
      <c r="M217" s="12">
        <v>5060252</v>
      </c>
    </row>
    <row r="218" spans="1:13" ht="15.75" customHeight="1" x14ac:dyDescent="0.25">
      <c r="A218" s="9" t="s">
        <v>15</v>
      </c>
      <c r="B218" s="9" t="s">
        <v>67</v>
      </c>
      <c r="C218" s="10" t="s">
        <v>39</v>
      </c>
      <c r="D218" s="9" t="s">
        <v>40</v>
      </c>
      <c r="E218" s="9" t="s">
        <v>36</v>
      </c>
      <c r="F218" s="10">
        <v>609</v>
      </c>
      <c r="G218" s="11">
        <v>43825</v>
      </c>
      <c r="H218" s="14">
        <f t="shared" si="6"/>
        <v>2019</v>
      </c>
      <c r="I218" s="12">
        <v>78832090</v>
      </c>
      <c r="J218" s="10">
        <v>2320</v>
      </c>
      <c r="K218" s="11">
        <v>44770</v>
      </c>
      <c r="L218" s="14">
        <f t="shared" si="7"/>
        <v>2022</v>
      </c>
      <c r="M218" s="12">
        <v>75464667</v>
      </c>
    </row>
    <row r="219" spans="1:13" ht="15.75" customHeight="1" x14ac:dyDescent="0.25">
      <c r="A219" s="9" t="s">
        <v>15</v>
      </c>
      <c r="B219" s="9" t="s">
        <v>67</v>
      </c>
      <c r="C219" s="10" t="s">
        <v>39</v>
      </c>
      <c r="D219" s="9" t="s">
        <v>40</v>
      </c>
      <c r="E219" s="9" t="s">
        <v>36</v>
      </c>
      <c r="F219" s="10">
        <v>610</v>
      </c>
      <c r="G219" s="11">
        <v>43825</v>
      </c>
      <c r="H219" s="14">
        <f t="shared" si="6"/>
        <v>2019</v>
      </c>
      <c r="I219" s="12">
        <v>50792118</v>
      </c>
      <c r="J219" s="10">
        <v>2119</v>
      </c>
      <c r="K219" s="11">
        <v>44760</v>
      </c>
      <c r="L219" s="14">
        <f t="shared" si="7"/>
        <v>2022</v>
      </c>
      <c r="M219" s="12">
        <v>49543595</v>
      </c>
    </row>
    <row r="220" spans="1:13" ht="15.75" customHeight="1" x14ac:dyDescent="0.25">
      <c r="A220" s="9" t="s">
        <v>10</v>
      </c>
      <c r="B220" s="9" t="s">
        <v>67</v>
      </c>
      <c r="C220" s="10" t="s">
        <v>39</v>
      </c>
      <c r="D220" s="9" t="s">
        <v>40</v>
      </c>
      <c r="E220" s="9" t="s">
        <v>72</v>
      </c>
      <c r="F220" s="10">
        <v>14</v>
      </c>
      <c r="G220" s="11">
        <v>44214</v>
      </c>
      <c r="H220" s="14">
        <f t="shared" si="6"/>
        <v>2021</v>
      </c>
      <c r="I220" s="12">
        <v>124619</v>
      </c>
      <c r="J220" s="10">
        <v>851</v>
      </c>
      <c r="K220" s="11">
        <v>44636</v>
      </c>
      <c r="L220" s="14">
        <f t="shared" si="7"/>
        <v>2022</v>
      </c>
      <c r="M220" s="12">
        <v>124619</v>
      </c>
    </row>
    <row r="221" spans="1:13" ht="15.75" customHeight="1" x14ac:dyDescent="0.25">
      <c r="A221" s="9" t="s">
        <v>10</v>
      </c>
      <c r="B221" s="9" t="s">
        <v>67</v>
      </c>
      <c r="C221" s="10" t="s">
        <v>39</v>
      </c>
      <c r="D221" s="9" t="s">
        <v>40</v>
      </c>
      <c r="E221" s="9" t="s">
        <v>72</v>
      </c>
      <c r="F221" s="10">
        <v>17</v>
      </c>
      <c r="G221" s="11">
        <v>44214</v>
      </c>
      <c r="H221" s="14">
        <f t="shared" si="6"/>
        <v>2021</v>
      </c>
      <c r="I221" s="12">
        <v>841667</v>
      </c>
      <c r="J221" s="10">
        <v>151</v>
      </c>
      <c r="K221" s="11">
        <v>44580</v>
      </c>
      <c r="L221" s="14">
        <f t="shared" si="7"/>
        <v>2022</v>
      </c>
      <c r="M221" s="12">
        <v>21468</v>
      </c>
    </row>
    <row r="222" spans="1:13" ht="15.75" customHeight="1" x14ac:dyDescent="0.25">
      <c r="A222" s="9" t="s">
        <v>15</v>
      </c>
      <c r="B222" s="9" t="s">
        <v>67</v>
      </c>
      <c r="C222" s="10" t="s">
        <v>39</v>
      </c>
      <c r="D222" s="9" t="s">
        <v>40</v>
      </c>
      <c r="E222" s="9" t="s">
        <v>74</v>
      </c>
      <c r="F222" s="10">
        <v>309</v>
      </c>
      <c r="G222" s="11">
        <v>44432</v>
      </c>
      <c r="H222" s="14">
        <f t="shared" si="6"/>
        <v>2021</v>
      </c>
      <c r="I222" s="12">
        <v>1733466</v>
      </c>
      <c r="J222" s="10">
        <v>849</v>
      </c>
      <c r="K222" s="11">
        <v>44636</v>
      </c>
      <c r="L222" s="14">
        <f t="shared" si="7"/>
        <v>2022</v>
      </c>
      <c r="M222" s="12">
        <v>1733466</v>
      </c>
    </row>
    <row r="223" spans="1:13" ht="15.75" customHeight="1" x14ac:dyDescent="0.25">
      <c r="A223" s="9" t="s">
        <v>10</v>
      </c>
      <c r="B223" s="9" t="s">
        <v>67</v>
      </c>
      <c r="C223" s="10" t="s">
        <v>39</v>
      </c>
      <c r="D223" s="9" t="s">
        <v>40</v>
      </c>
      <c r="E223" s="9" t="s">
        <v>74</v>
      </c>
      <c r="F223" s="10">
        <v>306</v>
      </c>
      <c r="G223" s="11">
        <v>44432</v>
      </c>
      <c r="H223" s="14">
        <f t="shared" si="6"/>
        <v>2021</v>
      </c>
      <c r="I223" s="12">
        <v>924168</v>
      </c>
      <c r="J223" s="10">
        <v>850</v>
      </c>
      <c r="K223" s="11">
        <v>44636</v>
      </c>
      <c r="L223" s="14">
        <f t="shared" si="7"/>
        <v>2022</v>
      </c>
      <c r="M223" s="12">
        <v>924168</v>
      </c>
    </row>
    <row r="224" spans="1:13" ht="15.75" customHeight="1" x14ac:dyDescent="0.25">
      <c r="A224" s="9" t="s">
        <v>59</v>
      </c>
      <c r="B224" s="9" t="s">
        <v>67</v>
      </c>
      <c r="C224" s="10" t="s">
        <v>39</v>
      </c>
      <c r="D224" s="9" t="s">
        <v>40</v>
      </c>
      <c r="E224" s="9" t="s">
        <v>74</v>
      </c>
      <c r="F224" s="10">
        <v>340</v>
      </c>
      <c r="G224" s="11">
        <v>44482</v>
      </c>
      <c r="H224" s="14">
        <f t="shared" si="6"/>
        <v>2021</v>
      </c>
      <c r="I224" s="12">
        <v>496716</v>
      </c>
      <c r="J224" s="10">
        <v>848</v>
      </c>
      <c r="K224" s="11">
        <v>44636</v>
      </c>
      <c r="L224" s="14">
        <f t="shared" si="7"/>
        <v>2022</v>
      </c>
      <c r="M224" s="12">
        <v>496716</v>
      </c>
    </row>
    <row r="225" spans="1:15" ht="15.75" customHeight="1" x14ac:dyDescent="0.25">
      <c r="A225" s="9" t="s">
        <v>57</v>
      </c>
      <c r="B225" s="9" t="s">
        <v>85</v>
      </c>
      <c r="C225" s="10" t="s">
        <v>82</v>
      </c>
      <c r="D225" s="9" t="s">
        <v>83</v>
      </c>
      <c r="E225" s="9" t="s">
        <v>84</v>
      </c>
      <c r="F225" s="10">
        <v>3611</v>
      </c>
      <c r="G225" s="11">
        <v>44561</v>
      </c>
      <c r="H225" s="14">
        <f t="shared" si="6"/>
        <v>2021</v>
      </c>
      <c r="I225" s="12">
        <v>1040100</v>
      </c>
      <c r="J225" s="10">
        <v>1628</v>
      </c>
      <c r="K225" s="11">
        <v>44713</v>
      </c>
      <c r="L225" s="14">
        <f t="shared" si="7"/>
        <v>2022</v>
      </c>
      <c r="M225" s="12">
        <v>1040100</v>
      </c>
    </row>
    <row r="226" spans="1:15" ht="15.75" customHeight="1" x14ac:dyDescent="0.25">
      <c r="A226" s="9" t="s">
        <v>15</v>
      </c>
      <c r="B226" s="9" t="s">
        <v>85</v>
      </c>
      <c r="C226" s="10" t="s">
        <v>82</v>
      </c>
      <c r="D226" s="9" t="s">
        <v>83</v>
      </c>
      <c r="E226" s="9" t="s">
        <v>84</v>
      </c>
      <c r="F226" s="10">
        <v>2118</v>
      </c>
      <c r="G226" s="11">
        <v>44407</v>
      </c>
      <c r="H226" s="14">
        <f t="shared" si="6"/>
        <v>2021</v>
      </c>
      <c r="I226" s="12">
        <v>11350240</v>
      </c>
      <c r="J226" s="10">
        <v>2345</v>
      </c>
      <c r="K226" s="11">
        <v>44771</v>
      </c>
      <c r="L226" s="14">
        <f t="shared" si="7"/>
        <v>2022</v>
      </c>
      <c r="M226" s="12">
        <v>11350240</v>
      </c>
    </row>
    <row r="227" spans="1:15" ht="15.75" customHeight="1" x14ac:dyDescent="0.25">
      <c r="A227" s="9" t="s">
        <v>59</v>
      </c>
      <c r="B227" s="9" t="s">
        <v>11</v>
      </c>
      <c r="C227" s="10" t="s">
        <v>12</v>
      </c>
      <c r="D227" s="9" t="s">
        <v>13</v>
      </c>
      <c r="E227" s="9" t="s">
        <v>47</v>
      </c>
      <c r="F227" s="10">
        <v>395</v>
      </c>
      <c r="G227" s="11">
        <v>43608</v>
      </c>
      <c r="H227" s="14">
        <f t="shared" si="6"/>
        <v>2019</v>
      </c>
      <c r="I227" s="12">
        <v>5353712</v>
      </c>
      <c r="J227" s="10">
        <v>1559</v>
      </c>
      <c r="K227" s="11">
        <v>44707</v>
      </c>
      <c r="L227" s="14">
        <f t="shared" si="7"/>
        <v>2022</v>
      </c>
      <c r="M227" s="12">
        <v>4747732</v>
      </c>
      <c r="O227" s="8"/>
    </row>
    <row r="228" spans="1:15" ht="15.75" customHeight="1" x14ac:dyDescent="0.25">
      <c r="A228" s="9" t="s">
        <v>59</v>
      </c>
      <c r="B228" s="9" t="s">
        <v>11</v>
      </c>
      <c r="C228" s="10" t="s">
        <v>12</v>
      </c>
      <c r="D228" s="9" t="s">
        <v>13</v>
      </c>
      <c r="E228" s="9" t="s">
        <v>47</v>
      </c>
      <c r="F228" s="10">
        <v>385</v>
      </c>
      <c r="G228" s="11">
        <v>43608</v>
      </c>
      <c r="H228" s="14">
        <f t="shared" si="6"/>
        <v>2019</v>
      </c>
      <c r="I228" s="12">
        <v>8826797</v>
      </c>
      <c r="J228" s="10">
        <v>846</v>
      </c>
      <c r="K228" s="11">
        <v>44636</v>
      </c>
      <c r="L228" s="14">
        <f t="shared" si="7"/>
        <v>2022</v>
      </c>
      <c r="M228" s="12">
        <v>8416170</v>
      </c>
    </row>
    <row r="229" spans="1:15" ht="15.75" customHeight="1" x14ac:dyDescent="0.25">
      <c r="A229" s="9" t="s">
        <v>59</v>
      </c>
      <c r="B229" s="9" t="s">
        <v>11</v>
      </c>
      <c r="C229" s="10" t="s">
        <v>12</v>
      </c>
      <c r="D229" s="9" t="s">
        <v>13</v>
      </c>
      <c r="E229" s="9" t="s">
        <v>47</v>
      </c>
      <c r="F229" s="10">
        <v>393</v>
      </c>
      <c r="G229" s="11">
        <v>43608</v>
      </c>
      <c r="H229" s="14">
        <f t="shared" si="6"/>
        <v>2019</v>
      </c>
      <c r="I229" s="12">
        <v>12209496</v>
      </c>
      <c r="J229" s="10">
        <v>198</v>
      </c>
      <c r="K229" s="11">
        <v>44580</v>
      </c>
      <c r="L229" s="14">
        <f t="shared" si="7"/>
        <v>2022</v>
      </c>
      <c r="M229" s="12">
        <v>11706053</v>
      </c>
    </row>
    <row r="230" spans="1:15" ht="15.75" customHeight="1" x14ac:dyDescent="0.25">
      <c r="A230" s="9" t="s">
        <v>15</v>
      </c>
      <c r="B230" s="9" t="s">
        <v>11</v>
      </c>
      <c r="C230" s="10" t="s">
        <v>12</v>
      </c>
      <c r="D230" s="9" t="s">
        <v>13</v>
      </c>
      <c r="E230" s="9" t="s">
        <v>36</v>
      </c>
      <c r="F230" s="10">
        <v>361</v>
      </c>
      <c r="G230" s="11">
        <v>43258</v>
      </c>
      <c r="H230" s="14">
        <f t="shared" si="6"/>
        <v>2018</v>
      </c>
      <c r="I230" s="12">
        <v>72303871</v>
      </c>
      <c r="J230" s="10">
        <v>2152</v>
      </c>
      <c r="K230" s="11">
        <v>44760</v>
      </c>
      <c r="L230" s="14">
        <f t="shared" si="7"/>
        <v>2022</v>
      </c>
      <c r="M230" s="12">
        <v>55384614</v>
      </c>
    </row>
    <row r="231" spans="1:15" ht="15.75" customHeight="1" x14ac:dyDescent="0.25">
      <c r="A231" s="9" t="s">
        <v>15</v>
      </c>
      <c r="B231" s="9" t="s">
        <v>60</v>
      </c>
      <c r="C231" s="10" t="s">
        <v>21</v>
      </c>
      <c r="D231" s="9" t="s">
        <v>22</v>
      </c>
      <c r="E231" s="9" t="s">
        <v>14</v>
      </c>
      <c r="F231" s="10">
        <v>1087</v>
      </c>
      <c r="G231" s="11">
        <v>44302</v>
      </c>
      <c r="H231" s="14">
        <f t="shared" si="6"/>
        <v>2021</v>
      </c>
      <c r="I231" s="12">
        <f>26.25*50978</f>
        <v>1338172.5</v>
      </c>
      <c r="J231" s="10">
        <v>2135</v>
      </c>
      <c r="K231" s="11">
        <v>44760</v>
      </c>
      <c r="L231" s="14">
        <f t="shared" si="7"/>
        <v>2022</v>
      </c>
      <c r="M231" s="12">
        <v>1529010</v>
      </c>
    </row>
    <row r="232" spans="1:15" ht="15.75" customHeight="1" x14ac:dyDescent="0.25">
      <c r="A232" s="9" t="s">
        <v>15</v>
      </c>
      <c r="B232" s="9" t="s">
        <v>60</v>
      </c>
      <c r="C232" s="10" t="s">
        <v>21</v>
      </c>
      <c r="D232" s="9" t="s">
        <v>13</v>
      </c>
      <c r="E232" s="9" t="s">
        <v>14</v>
      </c>
      <c r="F232" s="10">
        <v>1089</v>
      </c>
      <c r="G232" s="11">
        <v>44302</v>
      </c>
      <c r="H232" s="14">
        <f t="shared" si="6"/>
        <v>2021</v>
      </c>
      <c r="I232" s="12">
        <f>5.25*50978</f>
        <v>267634.5</v>
      </c>
      <c r="J232" s="10">
        <v>2130</v>
      </c>
      <c r="K232" s="11">
        <v>44760</v>
      </c>
      <c r="L232" s="14">
        <f t="shared" si="7"/>
        <v>2022</v>
      </c>
      <c r="M232" s="12">
        <v>305802</v>
      </c>
    </row>
    <row r="233" spans="1:15" ht="15.75" customHeight="1" x14ac:dyDescent="0.25">
      <c r="A233" s="9" t="s">
        <v>10</v>
      </c>
      <c r="B233" s="9" t="s">
        <v>60</v>
      </c>
      <c r="C233" s="10" t="s">
        <v>21</v>
      </c>
      <c r="D233" s="9" t="s">
        <v>13</v>
      </c>
      <c r="E233" s="9" t="s">
        <v>69</v>
      </c>
      <c r="F233" s="10">
        <v>2589</v>
      </c>
      <c r="G233" s="11">
        <v>44473</v>
      </c>
      <c r="H233" s="14">
        <f t="shared" si="6"/>
        <v>2021</v>
      </c>
      <c r="I233" s="12">
        <f>4.4*52842</f>
        <v>232504.80000000002</v>
      </c>
      <c r="J233" s="10">
        <v>3204</v>
      </c>
      <c r="K233" s="11">
        <v>44861</v>
      </c>
      <c r="L233" s="14">
        <f t="shared" si="7"/>
        <v>2022</v>
      </c>
      <c r="M233" s="12">
        <v>265364</v>
      </c>
    </row>
    <row r="234" spans="1:15" ht="15.75" customHeight="1" x14ac:dyDescent="0.25">
      <c r="A234" s="9" t="s">
        <v>10</v>
      </c>
      <c r="B234" s="9" t="s">
        <v>60</v>
      </c>
      <c r="C234" s="10" t="s">
        <v>21</v>
      </c>
      <c r="D234" s="9" t="s">
        <v>22</v>
      </c>
      <c r="E234" s="9" t="s">
        <v>69</v>
      </c>
      <c r="F234" s="10">
        <v>2590</v>
      </c>
      <c r="G234" s="11">
        <v>44473</v>
      </c>
      <c r="H234" s="14">
        <f t="shared" si="6"/>
        <v>2021</v>
      </c>
      <c r="I234" s="12">
        <f>4.4*52842</f>
        <v>232504.80000000002</v>
      </c>
      <c r="J234" s="10">
        <v>3234</v>
      </c>
      <c r="K234" s="11">
        <v>44861</v>
      </c>
      <c r="L234" s="14">
        <f t="shared" si="7"/>
        <v>2022</v>
      </c>
      <c r="M234" s="12">
        <v>265364</v>
      </c>
    </row>
    <row r="235" spans="1:15" ht="15.75" customHeight="1" x14ac:dyDescent="0.25">
      <c r="A235" s="9" t="s">
        <v>59</v>
      </c>
      <c r="B235" s="9" t="s">
        <v>60</v>
      </c>
      <c r="C235" s="10" t="s">
        <v>21</v>
      </c>
      <c r="D235" s="9" t="s">
        <v>13</v>
      </c>
      <c r="E235" s="9" t="s">
        <v>69</v>
      </c>
      <c r="F235" s="10">
        <v>2588</v>
      </c>
      <c r="G235" s="11">
        <v>44473</v>
      </c>
      <c r="H235" s="14">
        <f t="shared" si="6"/>
        <v>2021</v>
      </c>
      <c r="I235" s="12">
        <f>3.4*52842</f>
        <v>179662.8</v>
      </c>
      <c r="J235" s="10">
        <v>3236</v>
      </c>
      <c r="K235" s="11">
        <v>44861</v>
      </c>
      <c r="L235" s="14">
        <f t="shared" si="7"/>
        <v>2022</v>
      </c>
      <c r="M235" s="12">
        <v>205054</v>
      </c>
    </row>
    <row r="236" spans="1:15" ht="15.75" customHeight="1" x14ac:dyDescent="0.25">
      <c r="A236" s="9" t="s">
        <v>15</v>
      </c>
      <c r="B236" s="9" t="s">
        <v>60</v>
      </c>
      <c r="C236" s="10" t="s">
        <v>21</v>
      </c>
      <c r="D236" s="9" t="s">
        <v>13</v>
      </c>
      <c r="E236" s="9" t="s">
        <v>14</v>
      </c>
      <c r="F236" s="10">
        <v>3425</v>
      </c>
      <c r="G236" s="11">
        <v>44554</v>
      </c>
      <c r="H236" s="14">
        <f t="shared" si="6"/>
        <v>2021</v>
      </c>
      <c r="I236" s="12">
        <f>90.3*52842</f>
        <v>4771632.5999999996</v>
      </c>
      <c r="J236" s="10">
        <v>2131</v>
      </c>
      <c r="K236" s="11">
        <v>44760</v>
      </c>
      <c r="L236" s="14">
        <f t="shared" si="7"/>
        <v>2022</v>
      </c>
      <c r="M236" s="12">
        <v>5259795</v>
      </c>
    </row>
    <row r="237" spans="1:15" ht="15.75" customHeight="1" x14ac:dyDescent="0.25">
      <c r="A237" s="9" t="s">
        <v>15</v>
      </c>
      <c r="B237" s="9" t="s">
        <v>60</v>
      </c>
      <c r="C237" s="10" t="s">
        <v>21</v>
      </c>
      <c r="D237" s="9" t="s">
        <v>22</v>
      </c>
      <c r="E237" s="9" t="s">
        <v>14</v>
      </c>
      <c r="F237" s="10">
        <v>3426</v>
      </c>
      <c r="G237" s="11">
        <v>44554</v>
      </c>
      <c r="H237" s="14">
        <f t="shared" si="6"/>
        <v>2021</v>
      </c>
      <c r="I237" s="12">
        <f>168.35*52842</f>
        <v>8895950.6999999993</v>
      </c>
      <c r="J237" s="10">
        <v>2132</v>
      </c>
      <c r="K237" s="11">
        <v>44760</v>
      </c>
      <c r="L237" s="14">
        <f t="shared" si="7"/>
        <v>2022</v>
      </c>
      <c r="M237" s="12">
        <v>9806051</v>
      </c>
    </row>
    <row r="238" spans="1:15" ht="15.75" customHeight="1" x14ac:dyDescent="0.25">
      <c r="A238" s="9" t="s">
        <v>15</v>
      </c>
      <c r="B238" s="9" t="s">
        <v>60</v>
      </c>
      <c r="C238" s="10" t="s">
        <v>21</v>
      </c>
      <c r="D238" s="9" t="s">
        <v>13</v>
      </c>
      <c r="E238" s="9" t="s">
        <v>47</v>
      </c>
      <c r="F238" s="10">
        <v>170</v>
      </c>
      <c r="G238" s="11">
        <v>44580</v>
      </c>
      <c r="H238" s="14">
        <f t="shared" si="6"/>
        <v>2022</v>
      </c>
      <c r="I238" s="12">
        <f>151.2*54445</f>
        <v>8232083.9999999991</v>
      </c>
      <c r="J238" s="10">
        <v>2129</v>
      </c>
      <c r="K238" s="11">
        <v>44760</v>
      </c>
      <c r="L238" s="14">
        <f t="shared" si="7"/>
        <v>2022</v>
      </c>
      <c r="M238" s="12">
        <v>8807098</v>
      </c>
    </row>
    <row r="239" spans="1:15" ht="15.75" customHeight="1" x14ac:dyDescent="0.25">
      <c r="A239" s="9" t="s">
        <v>15</v>
      </c>
      <c r="B239" s="9" t="s">
        <v>60</v>
      </c>
      <c r="C239" s="10" t="s">
        <v>21</v>
      </c>
      <c r="D239" s="9" t="s">
        <v>22</v>
      </c>
      <c r="E239" s="9" t="s">
        <v>14</v>
      </c>
      <c r="F239" s="10">
        <v>171</v>
      </c>
      <c r="G239" s="11">
        <v>44580</v>
      </c>
      <c r="H239" s="14">
        <f t="shared" si="6"/>
        <v>2022</v>
      </c>
      <c r="I239" s="12">
        <f>15.75*54445</f>
        <v>857508.75</v>
      </c>
      <c r="J239" s="10">
        <v>2128</v>
      </c>
      <c r="K239" s="11">
        <v>44760</v>
      </c>
      <c r="L239" s="14">
        <f t="shared" si="7"/>
        <v>2022</v>
      </c>
      <c r="M239" s="12">
        <v>917406</v>
      </c>
    </row>
    <row r="240" spans="1:15" ht="15.75" customHeight="1" x14ac:dyDescent="0.25">
      <c r="A240" s="9" t="s">
        <v>15</v>
      </c>
      <c r="B240" s="9" t="s">
        <v>60</v>
      </c>
      <c r="C240" s="10" t="s">
        <v>21</v>
      </c>
      <c r="D240" s="9" t="s">
        <v>22</v>
      </c>
      <c r="E240" s="9" t="s">
        <v>47</v>
      </c>
      <c r="F240" s="10">
        <v>172</v>
      </c>
      <c r="G240" s="11">
        <v>44580</v>
      </c>
      <c r="H240" s="14">
        <f t="shared" si="6"/>
        <v>2022</v>
      </c>
      <c r="I240" s="12">
        <f>180.95*54445</f>
        <v>9851822.75</v>
      </c>
      <c r="J240" s="10">
        <v>2133</v>
      </c>
      <c r="K240" s="11">
        <v>44760</v>
      </c>
      <c r="L240" s="14">
        <f t="shared" si="7"/>
        <v>2022</v>
      </c>
      <c r="M240" s="12">
        <v>10539976</v>
      </c>
    </row>
    <row r="241" spans="1:13" ht="15.75" customHeight="1" x14ac:dyDescent="0.25">
      <c r="A241" s="9" t="s">
        <v>15</v>
      </c>
      <c r="B241" s="9" t="s">
        <v>60</v>
      </c>
      <c r="C241" s="10" t="s">
        <v>21</v>
      </c>
      <c r="D241" s="9" t="s">
        <v>22</v>
      </c>
      <c r="E241" s="9" t="s">
        <v>14</v>
      </c>
      <c r="F241" s="10">
        <v>173</v>
      </c>
      <c r="G241" s="11">
        <v>44580</v>
      </c>
      <c r="H241" s="14">
        <f t="shared" si="6"/>
        <v>2022</v>
      </c>
      <c r="I241" s="12">
        <f>5.25*54445</f>
        <v>285836.25</v>
      </c>
      <c r="J241" s="10">
        <v>2134</v>
      </c>
      <c r="K241" s="11">
        <v>44760</v>
      </c>
      <c r="L241" s="14">
        <f t="shared" si="7"/>
        <v>2022</v>
      </c>
      <c r="M241" s="12">
        <v>305802</v>
      </c>
    </row>
    <row r="242" spans="1:13" ht="15.75" customHeight="1" x14ac:dyDescent="0.25">
      <c r="A242" s="9" t="s">
        <v>10</v>
      </c>
      <c r="B242" s="9" t="s">
        <v>60</v>
      </c>
      <c r="C242" s="10" t="s">
        <v>21</v>
      </c>
      <c r="D242" s="9" t="s">
        <v>22</v>
      </c>
      <c r="E242" s="9" t="s">
        <v>14</v>
      </c>
      <c r="F242" s="10">
        <v>1896</v>
      </c>
      <c r="G242" s="11">
        <v>44748</v>
      </c>
      <c r="H242" s="14">
        <f t="shared" si="6"/>
        <v>2022</v>
      </c>
      <c r="I242" s="12">
        <f>8.24*58248</f>
        <v>479963.52</v>
      </c>
      <c r="J242" s="10">
        <v>3642</v>
      </c>
      <c r="K242" s="11">
        <v>44901</v>
      </c>
      <c r="L242" s="14">
        <f t="shared" si="7"/>
        <v>2022</v>
      </c>
      <c r="M242" s="12">
        <v>503934</v>
      </c>
    </row>
    <row r="243" spans="1:13" ht="15.75" customHeight="1" x14ac:dyDescent="0.25">
      <c r="A243" s="9" t="s">
        <v>10</v>
      </c>
      <c r="B243" s="9" t="s">
        <v>60</v>
      </c>
      <c r="C243" s="10" t="s">
        <v>21</v>
      </c>
      <c r="D243" s="9" t="s">
        <v>13</v>
      </c>
      <c r="E243" s="9" t="s">
        <v>14</v>
      </c>
      <c r="F243" s="10">
        <v>1897</v>
      </c>
      <c r="G243" s="11">
        <v>44748</v>
      </c>
      <c r="H243" s="14">
        <f t="shared" si="6"/>
        <v>2022</v>
      </c>
      <c r="I243" s="12">
        <f>8.24*58248</f>
        <v>479963.52</v>
      </c>
      <c r="J243" s="10">
        <v>3754</v>
      </c>
      <c r="K243" s="11">
        <v>44908</v>
      </c>
      <c r="L243" s="14">
        <f t="shared" si="7"/>
        <v>2022</v>
      </c>
      <c r="M243" s="12">
        <v>503934</v>
      </c>
    </row>
    <row r="244" spans="1:13" ht="15.75" customHeight="1" x14ac:dyDescent="0.25">
      <c r="A244" s="9" t="s">
        <v>15</v>
      </c>
      <c r="B244" s="9" t="s">
        <v>60</v>
      </c>
      <c r="C244" s="10" t="s">
        <v>21</v>
      </c>
      <c r="D244" s="9" t="s">
        <v>22</v>
      </c>
      <c r="E244" s="9" t="s">
        <v>23</v>
      </c>
      <c r="F244" s="10">
        <v>2336</v>
      </c>
      <c r="G244" s="11">
        <v>44770</v>
      </c>
      <c r="H244" s="14">
        <f t="shared" si="6"/>
        <v>2022</v>
      </c>
      <c r="I244" s="12">
        <v>7380846</v>
      </c>
      <c r="J244" s="10">
        <v>3142</v>
      </c>
      <c r="K244" s="11">
        <v>44852</v>
      </c>
      <c r="L244" s="14">
        <f t="shared" si="7"/>
        <v>2022</v>
      </c>
      <c r="M244" s="12">
        <v>7380846</v>
      </c>
    </row>
    <row r="245" spans="1:13" ht="15.75" customHeight="1" x14ac:dyDescent="0.25">
      <c r="A245" s="9" t="s">
        <v>15</v>
      </c>
      <c r="B245" s="9" t="s">
        <v>60</v>
      </c>
      <c r="C245" s="10" t="s">
        <v>21</v>
      </c>
      <c r="D245" s="9" t="s">
        <v>83</v>
      </c>
      <c r="E245" s="9" t="s">
        <v>72</v>
      </c>
      <c r="F245" s="10">
        <v>2140</v>
      </c>
      <c r="G245" s="11">
        <v>44760</v>
      </c>
      <c r="H245" s="14">
        <f t="shared" si="6"/>
        <v>2022</v>
      </c>
      <c r="I245" s="12">
        <f>2197*58248</f>
        <v>127970856</v>
      </c>
      <c r="J245" s="10">
        <v>3761</v>
      </c>
      <c r="K245" s="11">
        <v>44908</v>
      </c>
      <c r="L245" s="14">
        <f t="shared" si="7"/>
        <v>2022</v>
      </c>
      <c r="M245" s="12">
        <v>134361929</v>
      </c>
    </row>
    <row r="246" spans="1:13" ht="15.75" customHeight="1" x14ac:dyDescent="0.25">
      <c r="A246" s="9" t="s">
        <v>15</v>
      </c>
      <c r="B246" s="9" t="s">
        <v>60</v>
      </c>
      <c r="C246" s="10" t="s">
        <v>21</v>
      </c>
      <c r="D246" s="9" t="s">
        <v>22</v>
      </c>
      <c r="E246" s="9" t="s">
        <v>19</v>
      </c>
      <c r="F246" s="10">
        <v>1898</v>
      </c>
      <c r="G246" s="11">
        <v>44748</v>
      </c>
      <c r="H246" s="14">
        <f t="shared" si="6"/>
        <v>2022</v>
      </c>
      <c r="I246" s="12">
        <v>488605</v>
      </c>
      <c r="J246" s="10">
        <v>3704</v>
      </c>
      <c r="K246" s="11">
        <v>44904</v>
      </c>
      <c r="L246" s="14">
        <f t="shared" si="7"/>
        <v>2022</v>
      </c>
      <c r="M246" s="12">
        <v>488605</v>
      </c>
    </row>
    <row r="247" spans="1:13" ht="15.75" customHeight="1" x14ac:dyDescent="0.25">
      <c r="A247" s="9" t="s">
        <v>15</v>
      </c>
      <c r="B247" s="9" t="s">
        <v>60</v>
      </c>
      <c r="C247" s="10" t="s">
        <v>21</v>
      </c>
      <c r="D247" s="9" t="s">
        <v>83</v>
      </c>
      <c r="E247" s="9" t="s">
        <v>72</v>
      </c>
      <c r="F247" s="10">
        <v>1622</v>
      </c>
      <c r="G247" s="11">
        <v>44713</v>
      </c>
      <c r="H247" s="14">
        <f t="shared" si="6"/>
        <v>2022</v>
      </c>
      <c r="I247" s="12">
        <f>3286*57557</f>
        <v>189132302</v>
      </c>
      <c r="J247" s="10">
        <v>3959</v>
      </c>
      <c r="K247" s="11">
        <v>44918</v>
      </c>
      <c r="L247" s="14">
        <f t="shared" si="7"/>
        <v>2022</v>
      </c>
      <c r="M247" s="12">
        <v>200961902</v>
      </c>
    </row>
    <row r="248" spans="1:13" ht="15.75" customHeight="1" x14ac:dyDescent="0.25">
      <c r="A248" s="9" t="s">
        <v>15</v>
      </c>
      <c r="B248" s="9" t="s">
        <v>60</v>
      </c>
      <c r="C248" s="10" t="s">
        <v>21</v>
      </c>
      <c r="D248" s="9" t="s">
        <v>83</v>
      </c>
      <c r="E248" s="9" t="s">
        <v>72</v>
      </c>
      <c r="F248" s="10">
        <v>1648</v>
      </c>
      <c r="G248" s="11">
        <v>44714</v>
      </c>
      <c r="H248" s="14">
        <f t="shared" si="6"/>
        <v>2022</v>
      </c>
      <c r="I248" s="12">
        <f>2291*57557</f>
        <v>131863087</v>
      </c>
      <c r="J248" s="10">
        <v>3753</v>
      </c>
      <c r="K248" s="11">
        <v>44908</v>
      </c>
      <c r="L248" s="14">
        <f t="shared" si="7"/>
        <v>2022</v>
      </c>
      <c r="M248" s="12">
        <v>140110687</v>
      </c>
    </row>
    <row r="249" spans="1:13" ht="15.75" customHeight="1" x14ac:dyDescent="0.25">
      <c r="A249" s="9" t="s">
        <v>59</v>
      </c>
      <c r="B249" s="9" t="s">
        <v>60</v>
      </c>
      <c r="C249" s="10" t="s">
        <v>21</v>
      </c>
      <c r="D249" s="9" t="s">
        <v>22</v>
      </c>
      <c r="E249" s="9" t="s">
        <v>14</v>
      </c>
      <c r="F249" s="10">
        <v>2314</v>
      </c>
      <c r="G249" s="11">
        <v>44770</v>
      </c>
      <c r="H249" s="14">
        <f t="shared" si="6"/>
        <v>2022</v>
      </c>
      <c r="I249" s="12">
        <f>15.75*58248</f>
        <v>917406</v>
      </c>
      <c r="J249" s="10">
        <v>3759</v>
      </c>
      <c r="K249" s="11">
        <v>44908</v>
      </c>
      <c r="L249" s="14">
        <f t="shared" si="7"/>
        <v>2022</v>
      </c>
      <c r="M249" s="12">
        <v>963223</v>
      </c>
    </row>
    <row r="250" spans="1:13" ht="15.75" customHeight="1" x14ac:dyDescent="0.25">
      <c r="A250" s="9" t="s">
        <v>59</v>
      </c>
      <c r="B250" s="9" t="s">
        <v>60</v>
      </c>
      <c r="C250" s="10" t="s">
        <v>21</v>
      </c>
      <c r="D250" s="9" t="s">
        <v>13</v>
      </c>
      <c r="E250" s="9" t="s">
        <v>14</v>
      </c>
      <c r="F250" s="10">
        <v>2343</v>
      </c>
      <c r="G250" s="11">
        <v>44771</v>
      </c>
      <c r="H250" s="14">
        <f t="shared" si="6"/>
        <v>2022</v>
      </c>
      <c r="I250" s="12">
        <f>143.85*58248</f>
        <v>8378974.7999999998</v>
      </c>
      <c r="J250" s="10">
        <v>3755</v>
      </c>
      <c r="K250" s="11">
        <v>44908</v>
      </c>
      <c r="L250" s="14">
        <f t="shared" si="7"/>
        <v>2022</v>
      </c>
      <c r="M250" s="12">
        <v>8797434</v>
      </c>
    </row>
    <row r="251" spans="1:13" ht="15.75" customHeight="1" x14ac:dyDescent="0.25">
      <c r="A251" s="9" t="s">
        <v>10</v>
      </c>
      <c r="B251" s="9" t="s">
        <v>60</v>
      </c>
      <c r="C251" s="10" t="s">
        <v>21</v>
      </c>
      <c r="D251" s="9" t="s">
        <v>22</v>
      </c>
      <c r="E251" s="9" t="s">
        <v>14</v>
      </c>
      <c r="F251" s="10">
        <v>2065</v>
      </c>
      <c r="G251" s="11">
        <v>44754</v>
      </c>
      <c r="H251" s="14">
        <f t="shared" si="6"/>
        <v>2022</v>
      </c>
      <c r="I251" s="12">
        <f>339.5*58248</f>
        <v>19775196</v>
      </c>
      <c r="J251" s="10">
        <v>3645</v>
      </c>
      <c r="K251" s="11">
        <v>44901</v>
      </c>
      <c r="L251" s="14">
        <f t="shared" si="7"/>
        <v>2022</v>
      </c>
      <c r="M251" s="12">
        <v>20762802</v>
      </c>
    </row>
    <row r="252" spans="1:13" ht="15.75" customHeight="1" x14ac:dyDescent="0.25">
      <c r="A252" s="9" t="s">
        <v>10</v>
      </c>
      <c r="B252" s="9" t="s">
        <v>60</v>
      </c>
      <c r="C252" s="10" t="s">
        <v>21</v>
      </c>
      <c r="D252" s="9" t="s">
        <v>13</v>
      </c>
      <c r="E252" s="9" t="s">
        <v>14</v>
      </c>
      <c r="F252" s="10">
        <v>2066</v>
      </c>
      <c r="G252" s="11">
        <v>44754</v>
      </c>
      <c r="H252" s="14">
        <f t="shared" si="6"/>
        <v>2022</v>
      </c>
      <c r="I252" s="12">
        <f>100.8*58248</f>
        <v>5871398.3999999994</v>
      </c>
      <c r="J252" s="10">
        <v>3644</v>
      </c>
      <c r="K252" s="11">
        <v>44901</v>
      </c>
      <c r="L252" s="14">
        <f t="shared" si="7"/>
        <v>2022</v>
      </c>
      <c r="M252" s="12">
        <v>6164626</v>
      </c>
    </row>
    <row r="253" spans="1:13" ht="15.75" customHeight="1" x14ac:dyDescent="0.25">
      <c r="A253" s="9" t="s">
        <v>59</v>
      </c>
      <c r="B253" s="9" t="s">
        <v>60</v>
      </c>
      <c r="C253" s="10" t="s">
        <v>21</v>
      </c>
      <c r="D253" s="9" t="s">
        <v>83</v>
      </c>
      <c r="E253" s="9" t="s">
        <v>72</v>
      </c>
      <c r="F253" s="10">
        <v>1899</v>
      </c>
      <c r="G253" s="11">
        <v>44748</v>
      </c>
      <c r="H253" s="14">
        <f t="shared" si="6"/>
        <v>2022</v>
      </c>
      <c r="I253" s="12">
        <f>417.82*58248</f>
        <v>24337179.359999999</v>
      </c>
      <c r="J253" s="10">
        <v>3960</v>
      </c>
      <c r="K253" s="11">
        <v>44918</v>
      </c>
      <c r="L253" s="14">
        <f t="shared" si="7"/>
        <v>2022</v>
      </c>
      <c r="M253" s="12">
        <v>25552618</v>
      </c>
    </row>
    <row r="254" spans="1:13" ht="15.75" customHeight="1" x14ac:dyDescent="0.25">
      <c r="A254" s="9" t="s">
        <v>59</v>
      </c>
      <c r="B254" s="9" t="s">
        <v>60</v>
      </c>
      <c r="C254" s="10" t="s">
        <v>21</v>
      </c>
      <c r="D254" s="9" t="s">
        <v>83</v>
      </c>
      <c r="E254" s="9" t="s">
        <v>72</v>
      </c>
      <c r="F254" s="10">
        <v>1900</v>
      </c>
      <c r="G254" s="11">
        <v>44748</v>
      </c>
      <c r="H254" s="14">
        <f t="shared" si="6"/>
        <v>2022</v>
      </c>
      <c r="I254" s="12">
        <f>100.36*58248</f>
        <v>5845769.2800000003</v>
      </c>
      <c r="J254" s="10">
        <v>3961</v>
      </c>
      <c r="K254" s="11">
        <v>44918</v>
      </c>
      <c r="L254" s="14">
        <f t="shared" si="7"/>
        <v>2022</v>
      </c>
      <c r="M254" s="12">
        <v>6137817.3600000003</v>
      </c>
    </row>
    <row r="255" spans="1:13" ht="15.75" customHeight="1" x14ac:dyDescent="0.25">
      <c r="A255" s="9" t="s">
        <v>59</v>
      </c>
      <c r="B255" s="9" t="s">
        <v>60</v>
      </c>
      <c r="C255" s="10" t="s">
        <v>21</v>
      </c>
      <c r="D255" s="9" t="s">
        <v>83</v>
      </c>
      <c r="E255" s="9" t="s">
        <v>72</v>
      </c>
      <c r="F255" s="10">
        <v>1901</v>
      </c>
      <c r="G255" s="11">
        <v>44748</v>
      </c>
      <c r="H255" s="14">
        <f t="shared" si="6"/>
        <v>2022</v>
      </c>
      <c r="I255" s="12">
        <f>2793.67*58248</f>
        <v>162725690.16</v>
      </c>
      <c r="J255" s="10">
        <v>3756</v>
      </c>
      <c r="K255" s="11">
        <v>44908</v>
      </c>
      <c r="L255" s="14">
        <f t="shared" si="7"/>
        <v>2022</v>
      </c>
      <c r="M255" s="12">
        <v>170852476</v>
      </c>
    </row>
    <row r="256" spans="1:13" ht="15.75" customHeight="1" x14ac:dyDescent="0.25">
      <c r="A256" s="9" t="s">
        <v>10</v>
      </c>
      <c r="B256" s="9" t="s">
        <v>60</v>
      </c>
      <c r="C256" s="10" t="s">
        <v>21</v>
      </c>
      <c r="D256" s="9" t="s">
        <v>83</v>
      </c>
      <c r="E256" s="9" t="s">
        <v>72</v>
      </c>
      <c r="F256" s="10">
        <v>2920</v>
      </c>
      <c r="G256" s="11">
        <v>44834</v>
      </c>
      <c r="H256" s="14">
        <f t="shared" si="6"/>
        <v>2022</v>
      </c>
      <c r="I256" s="12">
        <f>682.35*59595</f>
        <v>40664648.25</v>
      </c>
      <c r="J256" s="10">
        <v>3758</v>
      </c>
      <c r="K256" s="11">
        <v>44908</v>
      </c>
      <c r="L256" s="14">
        <f t="shared" si="7"/>
        <v>2022</v>
      </c>
      <c r="M256" s="12">
        <v>41730479</v>
      </c>
    </row>
    <row r="257" spans="1:13" ht="15.75" customHeight="1" x14ac:dyDescent="0.25">
      <c r="A257" s="9" t="s">
        <v>10</v>
      </c>
      <c r="B257" s="9" t="s">
        <v>60</v>
      </c>
      <c r="C257" s="10" t="s">
        <v>21</v>
      </c>
      <c r="D257" s="9" t="s">
        <v>83</v>
      </c>
      <c r="E257" s="9" t="s">
        <v>72</v>
      </c>
      <c r="F257" s="10">
        <v>2919</v>
      </c>
      <c r="G257" s="11">
        <v>44834</v>
      </c>
      <c r="H257" s="14">
        <f t="shared" si="6"/>
        <v>2022</v>
      </c>
      <c r="I257" s="12">
        <f>910.17*59595</f>
        <v>54241581.149999999</v>
      </c>
      <c r="J257" s="10">
        <v>3757</v>
      </c>
      <c r="K257" s="11">
        <v>44908</v>
      </c>
      <c r="L257" s="14">
        <f t="shared" si="7"/>
        <v>2022</v>
      </c>
      <c r="M257" s="12">
        <v>55663267</v>
      </c>
    </row>
    <row r="258" spans="1:13" ht="15.75" customHeight="1" x14ac:dyDescent="0.25">
      <c r="A258" s="9" t="s">
        <v>10</v>
      </c>
      <c r="B258" s="9" t="s">
        <v>60</v>
      </c>
      <c r="C258" s="10" t="s">
        <v>21</v>
      </c>
      <c r="D258" s="9" t="s">
        <v>83</v>
      </c>
      <c r="E258" s="9" t="s">
        <v>72</v>
      </c>
      <c r="F258" s="10">
        <v>2918</v>
      </c>
      <c r="G258" s="11">
        <v>44834</v>
      </c>
      <c r="H258" s="14">
        <f t="shared" si="6"/>
        <v>2022</v>
      </c>
      <c r="I258" s="12">
        <f>101.62*59595</f>
        <v>6056043.9000000004</v>
      </c>
      <c r="J258" s="10">
        <v>3962</v>
      </c>
      <c r="K258" s="11">
        <v>44918</v>
      </c>
      <c r="L258" s="14">
        <f t="shared" si="7"/>
        <v>2022</v>
      </c>
      <c r="M258" s="12">
        <v>6214774</v>
      </c>
    </row>
    <row r="259" spans="1:13" ht="15.75" customHeight="1" x14ac:dyDescent="0.25">
      <c r="A259" s="9" t="s">
        <v>15</v>
      </c>
      <c r="B259" s="9" t="s">
        <v>60</v>
      </c>
      <c r="C259" s="10" t="s">
        <v>21</v>
      </c>
      <c r="D259" s="9" t="s">
        <v>22</v>
      </c>
      <c r="E259" s="9" t="s">
        <v>69</v>
      </c>
      <c r="F259" s="10">
        <v>2246</v>
      </c>
      <c r="G259" s="11">
        <v>44768</v>
      </c>
      <c r="H259" s="14">
        <f t="shared" si="6"/>
        <v>2022</v>
      </c>
      <c r="I259" s="12">
        <f>1*58248</f>
        <v>58248</v>
      </c>
      <c r="J259" s="10">
        <v>3235</v>
      </c>
      <c r="K259" s="11">
        <v>44861</v>
      </c>
      <c r="L259" s="14">
        <f t="shared" si="7"/>
        <v>2022</v>
      </c>
      <c r="M259" s="12">
        <v>60310</v>
      </c>
    </row>
    <row r="260" spans="1:13" ht="15.75" customHeight="1" x14ac:dyDescent="0.25">
      <c r="A260" s="9" t="s">
        <v>15</v>
      </c>
      <c r="B260" s="9" t="s">
        <v>60</v>
      </c>
      <c r="C260" s="10" t="s">
        <v>21</v>
      </c>
      <c r="D260" s="9" t="s">
        <v>22</v>
      </c>
      <c r="E260" s="9" t="s">
        <v>65</v>
      </c>
      <c r="F260" s="10">
        <v>2574</v>
      </c>
      <c r="G260" s="11">
        <v>44795</v>
      </c>
      <c r="H260" s="14">
        <f t="shared" ref="H260:H323" si="8">YEAR(G260)</f>
        <v>2022</v>
      </c>
      <c r="I260" s="12">
        <f>7.6*58772</f>
        <v>446667.19999999995</v>
      </c>
      <c r="J260" s="10">
        <v>3763</v>
      </c>
      <c r="K260" s="11">
        <v>44908</v>
      </c>
      <c r="L260" s="14">
        <f t="shared" ref="L260:L323" si="9">YEAR(K260)</f>
        <v>2022</v>
      </c>
      <c r="M260" s="12">
        <v>464793</v>
      </c>
    </row>
    <row r="261" spans="1:13" ht="15.75" customHeight="1" x14ac:dyDescent="0.25">
      <c r="A261" s="9" t="s">
        <v>15</v>
      </c>
      <c r="B261" s="9" t="s">
        <v>60</v>
      </c>
      <c r="C261" s="10" t="s">
        <v>21</v>
      </c>
      <c r="D261" s="9" t="s">
        <v>13</v>
      </c>
      <c r="E261" s="9" t="s">
        <v>65</v>
      </c>
      <c r="F261" s="10">
        <v>2573</v>
      </c>
      <c r="G261" s="11">
        <v>44795</v>
      </c>
      <c r="H261" s="14">
        <f t="shared" si="8"/>
        <v>2022</v>
      </c>
      <c r="I261" s="12">
        <f>7.6*58772</f>
        <v>446667.19999999995</v>
      </c>
      <c r="J261" s="10">
        <v>3760</v>
      </c>
      <c r="K261" s="11">
        <v>44908</v>
      </c>
      <c r="L261" s="14">
        <f t="shared" si="9"/>
        <v>2022</v>
      </c>
      <c r="M261" s="12">
        <v>464793</v>
      </c>
    </row>
    <row r="262" spans="1:13" ht="15.75" customHeight="1" x14ac:dyDescent="0.25">
      <c r="A262" s="9" t="s">
        <v>15</v>
      </c>
      <c r="B262" s="9" t="s">
        <v>60</v>
      </c>
      <c r="C262" s="10" t="s">
        <v>21</v>
      </c>
      <c r="D262" s="9" t="s">
        <v>13</v>
      </c>
      <c r="E262" s="9" t="s">
        <v>65</v>
      </c>
      <c r="F262" s="10">
        <v>2817</v>
      </c>
      <c r="G262" s="11">
        <v>44830</v>
      </c>
      <c r="H262" s="14">
        <f t="shared" si="8"/>
        <v>2022</v>
      </c>
      <c r="I262" s="12">
        <f>10.8*59595</f>
        <v>643626</v>
      </c>
      <c r="J262" s="10">
        <v>3643</v>
      </c>
      <c r="K262" s="11">
        <v>44901</v>
      </c>
      <c r="L262" s="14">
        <f t="shared" si="9"/>
        <v>2022</v>
      </c>
      <c r="M262" s="12">
        <v>660496</v>
      </c>
    </row>
    <row r="263" spans="1:13" ht="15.75" customHeight="1" x14ac:dyDescent="0.25">
      <c r="A263" s="9" t="s">
        <v>15</v>
      </c>
      <c r="B263" s="9" t="s">
        <v>61</v>
      </c>
      <c r="C263" s="10" t="s">
        <v>21</v>
      </c>
      <c r="D263" s="9" t="s">
        <v>22</v>
      </c>
      <c r="E263" s="9" t="s">
        <v>47</v>
      </c>
      <c r="F263" s="10">
        <v>182</v>
      </c>
      <c r="G263" s="11">
        <v>44211</v>
      </c>
      <c r="H263" s="14">
        <f t="shared" si="8"/>
        <v>2021</v>
      </c>
      <c r="I263" s="12">
        <f>37.8*50978</f>
        <v>1926968.4</v>
      </c>
      <c r="J263" s="10">
        <v>3874</v>
      </c>
      <c r="K263" s="11">
        <v>44915</v>
      </c>
      <c r="L263" s="14">
        <f t="shared" si="9"/>
        <v>2022</v>
      </c>
      <c r="M263" s="12">
        <v>2311735</v>
      </c>
    </row>
    <row r="264" spans="1:13" ht="15.75" customHeight="1" x14ac:dyDescent="0.25">
      <c r="A264" s="9" t="s">
        <v>15</v>
      </c>
      <c r="B264" s="9" t="s">
        <v>61</v>
      </c>
      <c r="C264" s="10" t="s">
        <v>21</v>
      </c>
      <c r="D264" s="9" t="s">
        <v>13</v>
      </c>
      <c r="E264" s="9" t="s">
        <v>47</v>
      </c>
      <c r="F264" s="10">
        <v>183</v>
      </c>
      <c r="G264" s="11">
        <v>44211</v>
      </c>
      <c r="H264" s="14">
        <f t="shared" si="8"/>
        <v>2021</v>
      </c>
      <c r="I264" s="12">
        <f>287*50978</f>
        <v>14630686</v>
      </c>
      <c r="J264" s="10">
        <v>3834</v>
      </c>
      <c r="K264" s="11">
        <v>44911</v>
      </c>
      <c r="L264" s="14">
        <f t="shared" si="9"/>
        <v>2022</v>
      </c>
      <c r="M264" s="12">
        <v>15539994</v>
      </c>
    </row>
    <row r="265" spans="1:13" ht="15.75" customHeight="1" x14ac:dyDescent="0.25">
      <c r="A265" s="9" t="s">
        <v>15</v>
      </c>
      <c r="B265" s="9" t="s">
        <v>61</v>
      </c>
      <c r="C265" s="10" t="s">
        <v>21</v>
      </c>
      <c r="D265" s="9" t="s">
        <v>22</v>
      </c>
      <c r="E265" s="9" t="s">
        <v>14</v>
      </c>
      <c r="F265" s="10">
        <v>226</v>
      </c>
      <c r="G265" s="11">
        <v>44215</v>
      </c>
      <c r="H265" s="14">
        <f t="shared" si="8"/>
        <v>2021</v>
      </c>
      <c r="I265" s="12">
        <f>163.45*50978</f>
        <v>8332354.0999999996</v>
      </c>
      <c r="J265" s="10">
        <v>4014</v>
      </c>
      <c r="K265" s="11">
        <v>44922</v>
      </c>
      <c r="L265" s="14">
        <f t="shared" si="9"/>
        <v>2022</v>
      </c>
      <c r="M265" s="12">
        <v>8369336</v>
      </c>
    </row>
    <row r="266" spans="1:13" ht="15.75" customHeight="1" x14ac:dyDescent="0.25">
      <c r="A266" s="9" t="s">
        <v>15</v>
      </c>
      <c r="B266" s="9" t="s">
        <v>61</v>
      </c>
      <c r="C266" s="10" t="s">
        <v>21</v>
      </c>
      <c r="D266" s="9" t="s">
        <v>13</v>
      </c>
      <c r="E266" s="9" t="s">
        <v>14</v>
      </c>
      <c r="F266" s="10">
        <v>229</v>
      </c>
      <c r="G266" s="11">
        <v>44215</v>
      </c>
      <c r="H266" s="14">
        <f t="shared" si="8"/>
        <v>2021</v>
      </c>
      <c r="I266" s="12">
        <f>15.75*50978</f>
        <v>802903.5</v>
      </c>
      <c r="J266" s="10">
        <v>2239</v>
      </c>
      <c r="K266" s="11">
        <v>44830</v>
      </c>
      <c r="L266" s="14">
        <f t="shared" si="9"/>
        <v>2022</v>
      </c>
      <c r="M266" s="12">
        <v>917406</v>
      </c>
    </row>
    <row r="267" spans="1:13" ht="15.75" customHeight="1" x14ac:dyDescent="0.25">
      <c r="A267" s="9" t="s">
        <v>15</v>
      </c>
      <c r="B267" s="9" t="s">
        <v>61</v>
      </c>
      <c r="C267" s="10" t="s">
        <v>21</v>
      </c>
      <c r="D267" s="9" t="s">
        <v>22</v>
      </c>
      <c r="E267" s="9" t="s">
        <v>14</v>
      </c>
      <c r="F267" s="10">
        <v>231</v>
      </c>
      <c r="G267" s="11">
        <v>44215</v>
      </c>
      <c r="H267" s="14">
        <f t="shared" si="8"/>
        <v>2021</v>
      </c>
      <c r="I267" s="12">
        <f>68.95*50978</f>
        <v>3514933.1</v>
      </c>
      <c r="J267" s="10">
        <v>2901</v>
      </c>
      <c r="K267" s="11">
        <v>44834</v>
      </c>
      <c r="L267" s="14">
        <f t="shared" si="9"/>
        <v>2022</v>
      </c>
      <c r="M267" s="12">
        <v>2544775.9500000002</v>
      </c>
    </row>
    <row r="268" spans="1:13" ht="15.75" customHeight="1" x14ac:dyDescent="0.25">
      <c r="A268" s="9" t="s">
        <v>15</v>
      </c>
      <c r="B268" s="9" t="s">
        <v>61</v>
      </c>
      <c r="C268" s="10" t="s">
        <v>21</v>
      </c>
      <c r="D268" s="9" t="s">
        <v>22</v>
      </c>
      <c r="E268" s="9" t="s">
        <v>47</v>
      </c>
      <c r="F268" s="10">
        <v>117</v>
      </c>
      <c r="G268" s="11">
        <v>44210</v>
      </c>
      <c r="H268" s="14">
        <f t="shared" si="8"/>
        <v>2021</v>
      </c>
      <c r="I268" s="12">
        <f>87.15*50978</f>
        <v>4442732.7</v>
      </c>
      <c r="J268" s="10">
        <v>3832</v>
      </c>
      <c r="K268" s="11">
        <v>44911</v>
      </c>
      <c r="L268" s="14">
        <f t="shared" si="9"/>
        <v>2022</v>
      </c>
      <c r="M268" s="12">
        <v>4280990</v>
      </c>
    </row>
    <row r="269" spans="1:13" ht="15.75" customHeight="1" x14ac:dyDescent="0.25">
      <c r="A269" s="9" t="s">
        <v>15</v>
      </c>
      <c r="B269" s="9" t="s">
        <v>61</v>
      </c>
      <c r="C269" s="10" t="s">
        <v>21</v>
      </c>
      <c r="D269" s="9" t="s">
        <v>13</v>
      </c>
      <c r="E269" s="9" t="s">
        <v>14</v>
      </c>
      <c r="F269" s="10">
        <v>57</v>
      </c>
      <c r="G269" s="11">
        <v>44207</v>
      </c>
      <c r="H269" s="14">
        <f t="shared" si="8"/>
        <v>2021</v>
      </c>
      <c r="I269" s="12">
        <f>5.25*50978</f>
        <v>267634.5</v>
      </c>
      <c r="J269" s="10">
        <v>2827</v>
      </c>
      <c r="K269" s="11">
        <v>44831</v>
      </c>
      <c r="L269" s="14">
        <f t="shared" si="9"/>
        <v>2022</v>
      </c>
      <c r="M269" s="12">
        <v>312874</v>
      </c>
    </row>
    <row r="270" spans="1:13" ht="15.75" customHeight="1" x14ac:dyDescent="0.25">
      <c r="A270" s="9" t="s">
        <v>15</v>
      </c>
      <c r="B270" s="9" t="s">
        <v>61</v>
      </c>
      <c r="C270" s="10" t="s">
        <v>21</v>
      </c>
      <c r="D270" s="9" t="s">
        <v>22</v>
      </c>
      <c r="E270" s="9" t="s">
        <v>14</v>
      </c>
      <c r="F270" s="10">
        <v>1092</v>
      </c>
      <c r="G270" s="11">
        <v>44302</v>
      </c>
      <c r="H270" s="14">
        <f t="shared" si="8"/>
        <v>2021</v>
      </c>
      <c r="I270" s="12">
        <f>31.5*50978</f>
        <v>1605807</v>
      </c>
      <c r="J270" s="10">
        <v>2242</v>
      </c>
      <c r="K270" s="11">
        <v>44768</v>
      </c>
      <c r="L270" s="14">
        <f t="shared" si="9"/>
        <v>2022</v>
      </c>
      <c r="M270" s="12">
        <v>1834812</v>
      </c>
    </row>
    <row r="271" spans="1:13" ht="15.75" customHeight="1" x14ac:dyDescent="0.25">
      <c r="A271" s="9" t="s">
        <v>15</v>
      </c>
      <c r="B271" s="9" t="s">
        <v>61</v>
      </c>
      <c r="C271" s="10" t="s">
        <v>21</v>
      </c>
      <c r="D271" s="9" t="s">
        <v>13</v>
      </c>
      <c r="E271" s="9" t="s">
        <v>14</v>
      </c>
      <c r="F271" s="10">
        <v>1091</v>
      </c>
      <c r="G271" s="11">
        <v>44302</v>
      </c>
      <c r="H271" s="14">
        <f t="shared" si="8"/>
        <v>2021</v>
      </c>
      <c r="I271" s="12">
        <f>10.5*50978</f>
        <v>535269</v>
      </c>
      <c r="J271" s="10">
        <v>2241</v>
      </c>
      <c r="K271" s="11">
        <v>44768</v>
      </c>
      <c r="L271" s="14">
        <f t="shared" si="9"/>
        <v>2022</v>
      </c>
      <c r="M271" s="12">
        <v>611604</v>
      </c>
    </row>
    <row r="272" spans="1:13" ht="15.75" customHeight="1" x14ac:dyDescent="0.25">
      <c r="A272" s="9" t="s">
        <v>10</v>
      </c>
      <c r="B272" s="9" t="s">
        <v>61</v>
      </c>
      <c r="C272" s="10" t="s">
        <v>21</v>
      </c>
      <c r="D272" s="9" t="s">
        <v>22</v>
      </c>
      <c r="E272" s="9" t="s">
        <v>69</v>
      </c>
      <c r="F272" s="10">
        <v>2581</v>
      </c>
      <c r="G272" s="11">
        <v>44473</v>
      </c>
      <c r="H272" s="14">
        <f t="shared" si="8"/>
        <v>2021</v>
      </c>
      <c r="I272" s="12">
        <f>4.2*52842</f>
        <v>221936.40000000002</v>
      </c>
      <c r="J272" s="10">
        <v>3251</v>
      </c>
      <c r="K272" s="11">
        <v>44862</v>
      </c>
      <c r="L272" s="14">
        <f t="shared" si="9"/>
        <v>2022</v>
      </c>
      <c r="M272" s="12">
        <v>253302</v>
      </c>
    </row>
    <row r="273" spans="1:13" ht="15.75" customHeight="1" x14ac:dyDescent="0.25">
      <c r="A273" s="9" t="s">
        <v>15</v>
      </c>
      <c r="B273" s="9" t="s">
        <v>61</v>
      </c>
      <c r="C273" s="10" t="s">
        <v>21</v>
      </c>
      <c r="D273" s="9" t="s">
        <v>13</v>
      </c>
      <c r="E273" s="9" t="s">
        <v>14</v>
      </c>
      <c r="F273" s="10">
        <v>3421</v>
      </c>
      <c r="G273" s="11">
        <v>44554</v>
      </c>
      <c r="H273" s="14">
        <f t="shared" si="8"/>
        <v>2021</v>
      </c>
      <c r="I273" s="12">
        <f>131.25*52842</f>
        <v>6935512.5</v>
      </c>
      <c r="J273" s="10">
        <v>4012</v>
      </c>
      <c r="K273" s="11">
        <v>44922</v>
      </c>
      <c r="L273" s="14">
        <f t="shared" si="9"/>
        <v>2022</v>
      </c>
      <c r="M273" s="12">
        <v>8026986.25</v>
      </c>
    </row>
    <row r="274" spans="1:13" ht="15.75" customHeight="1" x14ac:dyDescent="0.25">
      <c r="A274" s="9" t="s">
        <v>15</v>
      </c>
      <c r="B274" s="9" t="s">
        <v>61</v>
      </c>
      <c r="C274" s="10" t="s">
        <v>21</v>
      </c>
      <c r="D274" s="9" t="s">
        <v>22</v>
      </c>
      <c r="E274" s="9" t="s">
        <v>47</v>
      </c>
      <c r="F274" s="10">
        <v>169</v>
      </c>
      <c r="G274" s="11">
        <v>44580</v>
      </c>
      <c r="H274" s="14">
        <f t="shared" si="8"/>
        <v>2022</v>
      </c>
      <c r="I274" s="12">
        <f>69.65*54445</f>
        <v>3792094.2500000005</v>
      </c>
      <c r="J274" s="10">
        <v>2903</v>
      </c>
      <c r="K274" s="11">
        <v>44834</v>
      </c>
      <c r="L274" s="14">
        <f t="shared" si="9"/>
        <v>2022</v>
      </c>
      <c r="M274" s="12">
        <v>3504187</v>
      </c>
    </row>
    <row r="275" spans="1:13" ht="15.75" customHeight="1" x14ac:dyDescent="0.25">
      <c r="A275" s="9" t="s">
        <v>15</v>
      </c>
      <c r="B275" s="9" t="s">
        <v>61</v>
      </c>
      <c r="C275" s="10" t="s">
        <v>21</v>
      </c>
      <c r="D275" s="9" t="s">
        <v>22</v>
      </c>
      <c r="E275" s="9" t="s">
        <v>14</v>
      </c>
      <c r="F275" s="10">
        <v>182</v>
      </c>
      <c r="G275" s="11">
        <v>44580</v>
      </c>
      <c r="H275" s="14">
        <f t="shared" si="8"/>
        <v>2022</v>
      </c>
      <c r="I275" s="12">
        <f>15.75*54445</f>
        <v>857508.75</v>
      </c>
      <c r="J275" s="10">
        <v>2240</v>
      </c>
      <c r="K275" s="11">
        <v>44768</v>
      </c>
      <c r="L275" s="14">
        <f t="shared" si="9"/>
        <v>2022</v>
      </c>
      <c r="M275" s="12">
        <v>917406</v>
      </c>
    </row>
    <row r="276" spans="1:13" ht="15.75" customHeight="1" x14ac:dyDescent="0.25">
      <c r="A276" s="9" t="s">
        <v>15</v>
      </c>
      <c r="B276" s="9" t="s">
        <v>61</v>
      </c>
      <c r="C276" s="10" t="s">
        <v>21</v>
      </c>
      <c r="D276" s="9" t="s">
        <v>13</v>
      </c>
      <c r="E276" s="9" t="s">
        <v>47</v>
      </c>
      <c r="F276" s="10">
        <v>189</v>
      </c>
      <c r="G276" s="11">
        <v>44580</v>
      </c>
      <c r="H276" s="14">
        <f t="shared" si="8"/>
        <v>2022</v>
      </c>
      <c r="I276" s="12">
        <f>31.5*54445</f>
        <v>1715017.5</v>
      </c>
      <c r="J276" s="10">
        <v>3875</v>
      </c>
      <c r="K276" s="11">
        <v>44915</v>
      </c>
      <c r="L276" s="14">
        <f t="shared" si="9"/>
        <v>2022</v>
      </c>
      <c r="M276" s="12">
        <v>1926446</v>
      </c>
    </row>
    <row r="277" spans="1:13" ht="15.75" customHeight="1" x14ac:dyDescent="0.25">
      <c r="A277" s="9" t="s">
        <v>57</v>
      </c>
      <c r="B277" s="9" t="s">
        <v>61</v>
      </c>
      <c r="C277" s="10" t="s">
        <v>82</v>
      </c>
      <c r="D277" s="9" t="s">
        <v>83</v>
      </c>
      <c r="E277" s="9" t="s">
        <v>84</v>
      </c>
      <c r="F277" s="10">
        <v>3614</v>
      </c>
      <c r="G277" s="11">
        <v>44561</v>
      </c>
      <c r="H277" s="14">
        <f t="shared" si="8"/>
        <v>2021</v>
      </c>
      <c r="I277" s="12">
        <v>7272600</v>
      </c>
      <c r="J277" s="10">
        <v>1688</v>
      </c>
      <c r="K277" s="11">
        <v>44719</v>
      </c>
      <c r="L277" s="14">
        <f t="shared" si="9"/>
        <v>2022</v>
      </c>
      <c r="M277" s="12">
        <v>6215760</v>
      </c>
    </row>
    <row r="278" spans="1:13" ht="15.75" customHeight="1" x14ac:dyDescent="0.25">
      <c r="A278" s="9" t="s">
        <v>10</v>
      </c>
      <c r="B278" s="9" t="s">
        <v>61</v>
      </c>
      <c r="C278" s="10" t="s">
        <v>21</v>
      </c>
      <c r="D278" s="9" t="s">
        <v>22</v>
      </c>
      <c r="E278" s="9" t="s">
        <v>14</v>
      </c>
      <c r="F278" s="10">
        <v>1915</v>
      </c>
      <c r="G278" s="11">
        <v>44748</v>
      </c>
      <c r="H278" s="14">
        <f t="shared" si="8"/>
        <v>2022</v>
      </c>
      <c r="I278" s="12">
        <f>0.33*58248</f>
        <v>19221.84</v>
      </c>
      <c r="J278" s="10">
        <v>3628</v>
      </c>
      <c r="K278" s="11">
        <v>44901</v>
      </c>
      <c r="L278" s="14">
        <f t="shared" si="9"/>
        <v>2022</v>
      </c>
      <c r="M278" s="12">
        <v>20182</v>
      </c>
    </row>
    <row r="279" spans="1:13" ht="15.75" customHeight="1" x14ac:dyDescent="0.25">
      <c r="A279" s="9" t="s">
        <v>15</v>
      </c>
      <c r="B279" s="9" t="s">
        <v>61</v>
      </c>
      <c r="C279" s="10" t="s">
        <v>21</v>
      </c>
      <c r="D279" s="9" t="s">
        <v>22</v>
      </c>
      <c r="E279" s="9" t="s">
        <v>23</v>
      </c>
      <c r="F279" s="10">
        <v>2333</v>
      </c>
      <c r="G279" s="11">
        <v>44770</v>
      </c>
      <c r="H279" s="14">
        <f t="shared" si="8"/>
        <v>2022</v>
      </c>
      <c r="I279" s="12">
        <v>2231584</v>
      </c>
      <c r="J279" s="10">
        <v>3441</v>
      </c>
      <c r="K279" s="11">
        <v>44886</v>
      </c>
      <c r="L279" s="14">
        <f t="shared" si="9"/>
        <v>2022</v>
      </c>
      <c r="M279" s="12">
        <v>2231584</v>
      </c>
    </row>
    <row r="280" spans="1:13" ht="15.75" customHeight="1" x14ac:dyDescent="0.25">
      <c r="A280" s="9" t="s">
        <v>15</v>
      </c>
      <c r="B280" s="9" t="s">
        <v>61</v>
      </c>
      <c r="C280" s="10" t="s">
        <v>21</v>
      </c>
      <c r="D280" s="9" t="s">
        <v>83</v>
      </c>
      <c r="E280" s="9" t="s">
        <v>72</v>
      </c>
      <c r="F280" s="10">
        <v>1625</v>
      </c>
      <c r="G280" s="11">
        <v>44713</v>
      </c>
      <c r="H280" s="14">
        <f t="shared" si="8"/>
        <v>2022</v>
      </c>
      <c r="I280" s="12">
        <f>1579*57557</f>
        <v>90882503</v>
      </c>
      <c r="J280" s="10">
        <v>4127</v>
      </c>
      <c r="K280" s="11">
        <v>44924</v>
      </c>
      <c r="L280" s="14">
        <f t="shared" si="9"/>
        <v>2022</v>
      </c>
      <c r="M280" s="12">
        <v>96566903</v>
      </c>
    </row>
    <row r="281" spans="1:13" ht="15.75" customHeight="1" x14ac:dyDescent="0.25">
      <c r="A281" s="9" t="s">
        <v>10</v>
      </c>
      <c r="B281" s="9" t="s">
        <v>61</v>
      </c>
      <c r="C281" s="10" t="s">
        <v>21</v>
      </c>
      <c r="D281" s="9" t="s">
        <v>22</v>
      </c>
      <c r="E281" s="9" t="s">
        <v>14</v>
      </c>
      <c r="F281" s="10">
        <v>2069</v>
      </c>
      <c r="G281" s="11">
        <v>44754</v>
      </c>
      <c r="H281" s="14">
        <f t="shared" si="8"/>
        <v>2022</v>
      </c>
      <c r="I281" s="12">
        <f>248.85*58248</f>
        <v>14495014.799999999</v>
      </c>
      <c r="J281" s="10">
        <v>4011</v>
      </c>
      <c r="K281" s="11">
        <v>44922</v>
      </c>
      <c r="L281" s="14">
        <f t="shared" si="9"/>
        <v>2022</v>
      </c>
      <c r="M281" s="12">
        <v>9782062</v>
      </c>
    </row>
    <row r="282" spans="1:13" ht="15.75" customHeight="1" x14ac:dyDescent="0.25">
      <c r="A282" s="9" t="s">
        <v>10</v>
      </c>
      <c r="B282" s="9" t="s">
        <v>61</v>
      </c>
      <c r="C282" s="10" t="s">
        <v>21</v>
      </c>
      <c r="D282" s="9" t="s">
        <v>83</v>
      </c>
      <c r="E282" s="9" t="s">
        <v>72</v>
      </c>
      <c r="F282" s="10">
        <v>2904</v>
      </c>
      <c r="G282" s="11">
        <v>44834</v>
      </c>
      <c r="H282" s="14">
        <f t="shared" si="8"/>
        <v>2022</v>
      </c>
      <c r="I282" s="12">
        <f>305.49*59595</f>
        <v>18205676.550000001</v>
      </c>
      <c r="J282" s="10">
        <v>4125</v>
      </c>
      <c r="K282" s="11">
        <v>44924</v>
      </c>
      <c r="L282" s="14">
        <f t="shared" si="9"/>
        <v>2022</v>
      </c>
      <c r="M282" s="12">
        <v>18682852</v>
      </c>
    </row>
    <row r="283" spans="1:13" ht="15.75" customHeight="1" x14ac:dyDescent="0.25">
      <c r="A283" s="9" t="s">
        <v>10</v>
      </c>
      <c r="B283" s="9" t="s">
        <v>61</v>
      </c>
      <c r="C283" s="10" t="s">
        <v>21</v>
      </c>
      <c r="D283" s="9" t="s">
        <v>83</v>
      </c>
      <c r="E283" s="9" t="s">
        <v>72</v>
      </c>
      <c r="F283" s="10">
        <v>2905</v>
      </c>
      <c r="G283" s="11">
        <v>44834</v>
      </c>
      <c r="H283" s="14">
        <f t="shared" si="8"/>
        <v>2022</v>
      </c>
      <c r="I283" s="12">
        <f>101.08*59595</f>
        <v>6023862.5999999996</v>
      </c>
      <c r="J283" s="10">
        <v>4128</v>
      </c>
      <c r="K283" s="11">
        <v>44924</v>
      </c>
      <c r="L283" s="14">
        <f t="shared" si="9"/>
        <v>2022</v>
      </c>
      <c r="M283" s="12">
        <v>6181750</v>
      </c>
    </row>
    <row r="284" spans="1:13" ht="15.75" customHeight="1" x14ac:dyDescent="0.25">
      <c r="A284" s="9" t="s">
        <v>59</v>
      </c>
      <c r="B284" s="9" t="s">
        <v>24</v>
      </c>
      <c r="C284" s="10" t="s">
        <v>12</v>
      </c>
      <c r="D284" s="9" t="s">
        <v>25</v>
      </c>
      <c r="E284" s="9" t="s">
        <v>47</v>
      </c>
      <c r="F284" s="10">
        <v>248</v>
      </c>
      <c r="G284" s="11">
        <v>43601</v>
      </c>
      <c r="H284" s="14">
        <f t="shared" si="8"/>
        <v>2019</v>
      </c>
      <c r="I284" s="12">
        <v>11951456</v>
      </c>
      <c r="J284" s="10">
        <v>360</v>
      </c>
      <c r="K284" s="11">
        <v>44592</v>
      </c>
      <c r="L284" s="14">
        <f t="shared" si="9"/>
        <v>2022</v>
      </c>
      <c r="M284" s="12">
        <v>11930560</v>
      </c>
    </row>
    <row r="285" spans="1:13" ht="15.75" customHeight="1" x14ac:dyDescent="0.25">
      <c r="A285" s="9" t="s">
        <v>59</v>
      </c>
      <c r="B285" s="9" t="s">
        <v>24</v>
      </c>
      <c r="C285" s="10" t="s">
        <v>12</v>
      </c>
      <c r="D285" s="9" t="s">
        <v>25</v>
      </c>
      <c r="E285" s="9" t="s">
        <v>47</v>
      </c>
      <c r="F285" s="10">
        <v>249</v>
      </c>
      <c r="G285" s="11">
        <v>43601</v>
      </c>
      <c r="H285" s="14">
        <f t="shared" si="8"/>
        <v>2019</v>
      </c>
      <c r="I285" s="12">
        <v>6659460</v>
      </c>
      <c r="J285" s="10">
        <v>358</v>
      </c>
      <c r="K285" s="11">
        <v>44592</v>
      </c>
      <c r="L285" s="14">
        <f t="shared" si="9"/>
        <v>2022</v>
      </c>
      <c r="M285" s="12">
        <v>6434467</v>
      </c>
    </row>
    <row r="286" spans="1:13" ht="15.75" customHeight="1" x14ac:dyDescent="0.25">
      <c r="A286" s="9" t="s">
        <v>10</v>
      </c>
      <c r="B286" s="9" t="s">
        <v>24</v>
      </c>
      <c r="C286" s="10" t="s">
        <v>12</v>
      </c>
      <c r="D286" s="9" t="s">
        <v>25</v>
      </c>
      <c r="E286" s="9" t="s">
        <v>47</v>
      </c>
      <c r="F286" s="10">
        <v>335</v>
      </c>
      <c r="G286" s="11">
        <v>43657</v>
      </c>
      <c r="H286" s="14">
        <f t="shared" si="8"/>
        <v>2019</v>
      </c>
      <c r="I286" s="12">
        <v>22556650</v>
      </c>
      <c r="J286" s="10">
        <v>469</v>
      </c>
      <c r="K286" s="11">
        <v>44606</v>
      </c>
      <c r="L286" s="14">
        <f t="shared" si="9"/>
        <v>2022</v>
      </c>
      <c r="M286" s="12">
        <v>22431127</v>
      </c>
    </row>
    <row r="287" spans="1:13" ht="15.75" customHeight="1" x14ac:dyDescent="0.25">
      <c r="A287" s="9" t="s">
        <v>10</v>
      </c>
      <c r="B287" s="9" t="s">
        <v>24</v>
      </c>
      <c r="C287" s="10" t="s">
        <v>12</v>
      </c>
      <c r="D287" s="9" t="s">
        <v>25</v>
      </c>
      <c r="E287" s="9" t="s">
        <v>47</v>
      </c>
      <c r="F287" s="10">
        <v>336</v>
      </c>
      <c r="G287" s="11">
        <v>43657</v>
      </c>
      <c r="H287" s="14">
        <f t="shared" si="8"/>
        <v>2019</v>
      </c>
      <c r="I287" s="12">
        <v>17927936</v>
      </c>
      <c r="J287" s="10">
        <v>864</v>
      </c>
      <c r="K287" s="11">
        <v>44636</v>
      </c>
      <c r="L287" s="14">
        <f t="shared" si="9"/>
        <v>2022</v>
      </c>
      <c r="M287" s="12">
        <v>17762205</v>
      </c>
    </row>
    <row r="288" spans="1:13" ht="15.75" customHeight="1" x14ac:dyDescent="0.25">
      <c r="A288" s="9" t="s">
        <v>10</v>
      </c>
      <c r="B288" s="9" t="s">
        <v>24</v>
      </c>
      <c r="C288" s="10" t="s">
        <v>12</v>
      </c>
      <c r="D288" s="9" t="s">
        <v>25</v>
      </c>
      <c r="E288" s="9" t="s">
        <v>47</v>
      </c>
      <c r="F288" s="10">
        <v>337</v>
      </c>
      <c r="G288" s="11">
        <v>43657</v>
      </c>
      <c r="H288" s="14">
        <f t="shared" si="8"/>
        <v>2019</v>
      </c>
      <c r="I288" s="12">
        <v>21186669</v>
      </c>
      <c r="J288" s="10">
        <v>1278</v>
      </c>
      <c r="K288" s="11">
        <v>44677</v>
      </c>
      <c r="L288" s="14">
        <f t="shared" si="9"/>
        <v>2022</v>
      </c>
      <c r="M288" s="12">
        <v>21186669</v>
      </c>
    </row>
    <row r="289" spans="1:13" ht="15.75" customHeight="1" x14ac:dyDescent="0.25">
      <c r="A289" s="9" t="s">
        <v>15</v>
      </c>
      <c r="B289" s="9" t="s">
        <v>24</v>
      </c>
      <c r="C289" s="10" t="s">
        <v>12</v>
      </c>
      <c r="D289" s="9" t="s">
        <v>25</v>
      </c>
      <c r="E289" s="9" t="s">
        <v>36</v>
      </c>
      <c r="F289" s="10">
        <v>508</v>
      </c>
      <c r="G289" s="11">
        <v>43797</v>
      </c>
      <c r="H289" s="14">
        <f t="shared" si="8"/>
        <v>2019</v>
      </c>
      <c r="I289" s="12">
        <v>56148921</v>
      </c>
      <c r="J289" s="10">
        <v>1759</v>
      </c>
      <c r="K289" s="11">
        <v>44726</v>
      </c>
      <c r="L289" s="14">
        <f t="shared" si="9"/>
        <v>2022</v>
      </c>
      <c r="M289" s="12">
        <v>52999849</v>
      </c>
    </row>
    <row r="290" spans="1:13" ht="15.75" customHeight="1" x14ac:dyDescent="0.25">
      <c r="A290" s="9" t="s">
        <v>15</v>
      </c>
      <c r="B290" s="9" t="s">
        <v>24</v>
      </c>
      <c r="C290" s="10" t="s">
        <v>12</v>
      </c>
      <c r="D290" s="9" t="s">
        <v>25</v>
      </c>
      <c r="E290" s="9" t="s">
        <v>36</v>
      </c>
      <c r="F290" s="10">
        <v>509</v>
      </c>
      <c r="G290" s="11">
        <v>43797</v>
      </c>
      <c r="H290" s="14">
        <f t="shared" si="8"/>
        <v>2019</v>
      </c>
      <c r="I290" s="12">
        <v>56670955</v>
      </c>
      <c r="J290" s="10">
        <v>1421</v>
      </c>
      <c r="K290" s="11">
        <v>44692</v>
      </c>
      <c r="L290" s="14">
        <f t="shared" si="9"/>
        <v>2022</v>
      </c>
      <c r="M290" s="12">
        <v>53166578</v>
      </c>
    </row>
    <row r="291" spans="1:13" ht="15.75" customHeight="1" x14ac:dyDescent="0.25">
      <c r="A291" s="9" t="s">
        <v>15</v>
      </c>
      <c r="B291" s="9" t="s">
        <v>24</v>
      </c>
      <c r="C291" s="10" t="s">
        <v>12</v>
      </c>
      <c r="D291" s="9" t="s">
        <v>25</v>
      </c>
      <c r="E291" s="9" t="s">
        <v>36</v>
      </c>
      <c r="F291" s="10">
        <v>527</v>
      </c>
      <c r="G291" s="11">
        <v>43805</v>
      </c>
      <c r="H291" s="14">
        <f t="shared" si="8"/>
        <v>2019</v>
      </c>
      <c r="I291" s="12">
        <v>49420042</v>
      </c>
      <c r="J291" s="10">
        <v>2008</v>
      </c>
      <c r="K291" s="11">
        <v>44749</v>
      </c>
      <c r="L291" s="14">
        <f t="shared" si="9"/>
        <v>2022</v>
      </c>
      <c r="M291" s="12">
        <v>43552622</v>
      </c>
    </row>
    <row r="292" spans="1:13" ht="15.75" customHeight="1" x14ac:dyDescent="0.25">
      <c r="A292" s="9" t="s">
        <v>15</v>
      </c>
      <c r="B292" s="9" t="s">
        <v>24</v>
      </c>
      <c r="C292" s="10" t="s">
        <v>12</v>
      </c>
      <c r="D292" s="9" t="s">
        <v>25</v>
      </c>
      <c r="E292" s="9" t="s">
        <v>72</v>
      </c>
      <c r="F292" s="10">
        <v>340</v>
      </c>
      <c r="G292" s="11">
        <v>44175</v>
      </c>
      <c r="H292" s="14">
        <f t="shared" si="8"/>
        <v>2020</v>
      </c>
      <c r="I292" s="12">
        <v>295308150</v>
      </c>
      <c r="J292" s="10">
        <v>289</v>
      </c>
      <c r="K292" s="11">
        <v>44586</v>
      </c>
      <c r="L292" s="14">
        <f t="shared" si="9"/>
        <v>2022</v>
      </c>
      <c r="M292" s="12">
        <v>295308150</v>
      </c>
    </row>
    <row r="293" spans="1:13" ht="15.75" customHeight="1" x14ac:dyDescent="0.25">
      <c r="A293" s="9" t="s">
        <v>10</v>
      </c>
      <c r="B293" s="9" t="s">
        <v>24</v>
      </c>
      <c r="C293" s="10" t="s">
        <v>12</v>
      </c>
      <c r="D293" s="9" t="s">
        <v>25</v>
      </c>
      <c r="E293" s="9" t="s">
        <v>72</v>
      </c>
      <c r="F293" s="10">
        <v>51</v>
      </c>
      <c r="G293" s="11">
        <v>44209</v>
      </c>
      <c r="H293" s="14">
        <f t="shared" si="8"/>
        <v>2021</v>
      </c>
      <c r="I293" s="12">
        <v>29265512</v>
      </c>
      <c r="J293" s="10">
        <v>202</v>
      </c>
      <c r="K293" s="11">
        <v>44580</v>
      </c>
      <c r="L293" s="14">
        <f t="shared" si="9"/>
        <v>2022</v>
      </c>
      <c r="M293" s="12">
        <v>29265512</v>
      </c>
    </row>
    <row r="294" spans="1:13" ht="15.75" customHeight="1" x14ac:dyDescent="0.25">
      <c r="A294" s="9" t="s">
        <v>15</v>
      </c>
      <c r="B294" s="9" t="s">
        <v>24</v>
      </c>
      <c r="C294" s="10" t="s">
        <v>12</v>
      </c>
      <c r="D294" s="9" t="s">
        <v>25</v>
      </c>
      <c r="E294" s="9" t="s">
        <v>74</v>
      </c>
      <c r="F294" s="10">
        <v>218</v>
      </c>
      <c r="G294" s="11">
        <v>44427</v>
      </c>
      <c r="H294" s="14">
        <f t="shared" si="8"/>
        <v>2021</v>
      </c>
      <c r="I294" s="12">
        <v>4344106</v>
      </c>
      <c r="J294" s="10">
        <v>508</v>
      </c>
      <c r="K294" s="11">
        <v>44607</v>
      </c>
      <c r="L294" s="14">
        <f t="shared" si="9"/>
        <v>2022</v>
      </c>
      <c r="M294" s="12">
        <v>4344106</v>
      </c>
    </row>
    <row r="295" spans="1:13" ht="15.75" customHeight="1" x14ac:dyDescent="0.25">
      <c r="A295" s="9" t="s">
        <v>10</v>
      </c>
      <c r="B295" s="9" t="s">
        <v>24</v>
      </c>
      <c r="C295" s="10" t="s">
        <v>12</v>
      </c>
      <c r="D295" s="9" t="s">
        <v>25</v>
      </c>
      <c r="E295" s="9" t="s">
        <v>74</v>
      </c>
      <c r="F295" s="10">
        <v>219</v>
      </c>
      <c r="G295" s="11">
        <v>44427</v>
      </c>
      <c r="H295" s="14">
        <f t="shared" si="8"/>
        <v>2021</v>
      </c>
      <c r="I295" s="12">
        <v>819742</v>
      </c>
      <c r="J295" s="10">
        <v>468</v>
      </c>
      <c r="K295" s="11">
        <v>44606</v>
      </c>
      <c r="L295" s="14">
        <f t="shared" si="9"/>
        <v>2022</v>
      </c>
      <c r="M295" s="12">
        <v>819742</v>
      </c>
    </row>
    <row r="296" spans="1:13" ht="15.75" customHeight="1" x14ac:dyDescent="0.25">
      <c r="A296" s="9" t="s">
        <v>59</v>
      </c>
      <c r="B296" s="9" t="s">
        <v>24</v>
      </c>
      <c r="C296" s="10" t="s">
        <v>12</v>
      </c>
      <c r="D296" s="9" t="s">
        <v>25</v>
      </c>
      <c r="E296" s="9" t="s">
        <v>74</v>
      </c>
      <c r="F296" s="10">
        <v>257</v>
      </c>
      <c r="G296" s="11">
        <v>44474</v>
      </c>
      <c r="H296" s="14">
        <f t="shared" si="8"/>
        <v>2021</v>
      </c>
      <c r="I296" s="12">
        <v>295916</v>
      </c>
      <c r="J296" s="10">
        <v>359</v>
      </c>
      <c r="K296" s="11">
        <v>44592</v>
      </c>
      <c r="L296" s="14">
        <f t="shared" si="9"/>
        <v>2022</v>
      </c>
      <c r="M296" s="12">
        <v>295916</v>
      </c>
    </row>
    <row r="297" spans="1:13" ht="15.75" customHeight="1" x14ac:dyDescent="0.25">
      <c r="A297" s="9" t="s">
        <v>10</v>
      </c>
      <c r="B297" s="9" t="s">
        <v>86</v>
      </c>
      <c r="C297" s="10" t="s">
        <v>79</v>
      </c>
      <c r="D297" s="9" t="s">
        <v>13</v>
      </c>
      <c r="E297" s="9" t="s">
        <v>65</v>
      </c>
      <c r="F297" s="10">
        <v>1864</v>
      </c>
      <c r="G297" s="11">
        <v>44371</v>
      </c>
      <c r="H297" s="14">
        <f t="shared" si="8"/>
        <v>2021</v>
      </c>
      <c r="I297" s="12">
        <f>7.6*52005</f>
        <v>395238</v>
      </c>
      <c r="J297" s="10">
        <v>1111</v>
      </c>
      <c r="K297" s="11">
        <v>44662</v>
      </c>
      <c r="L297" s="14">
        <f t="shared" si="9"/>
        <v>2022</v>
      </c>
      <c r="M297" s="12">
        <v>118150</v>
      </c>
    </row>
    <row r="298" spans="1:13" ht="15.75" customHeight="1" x14ac:dyDescent="0.25">
      <c r="A298" s="9" t="s">
        <v>59</v>
      </c>
      <c r="B298" s="9" t="s">
        <v>86</v>
      </c>
      <c r="C298" s="10" t="s">
        <v>79</v>
      </c>
      <c r="D298" s="9" t="s">
        <v>13</v>
      </c>
      <c r="E298" s="9" t="s">
        <v>65</v>
      </c>
      <c r="F298" s="10">
        <v>1863</v>
      </c>
      <c r="G298" s="11">
        <v>44371</v>
      </c>
      <c r="H298" s="14">
        <f t="shared" si="8"/>
        <v>2021</v>
      </c>
      <c r="I298" s="12">
        <f>2.4*52005</f>
        <v>124812</v>
      </c>
      <c r="J298" s="10">
        <v>1413</v>
      </c>
      <c r="K298" s="11">
        <v>44692</v>
      </c>
      <c r="L298" s="14">
        <f t="shared" si="9"/>
        <v>2022</v>
      </c>
      <c r="M298" s="12">
        <v>118150</v>
      </c>
    </row>
    <row r="299" spans="1:13" ht="15.75" customHeight="1" x14ac:dyDescent="0.25">
      <c r="A299" s="9" t="s">
        <v>15</v>
      </c>
      <c r="B299" s="9" t="s">
        <v>30</v>
      </c>
      <c r="C299" s="10" t="s">
        <v>12</v>
      </c>
      <c r="D299" s="9" t="s">
        <v>35</v>
      </c>
      <c r="E299" s="9" t="s">
        <v>36</v>
      </c>
      <c r="F299" s="10">
        <v>29</v>
      </c>
      <c r="G299" s="11">
        <v>42752</v>
      </c>
      <c r="H299" s="14">
        <f t="shared" si="8"/>
        <v>2017</v>
      </c>
      <c r="I299" s="12">
        <v>3872145</v>
      </c>
      <c r="J299" s="10">
        <v>1113</v>
      </c>
      <c r="K299" s="11">
        <v>44662</v>
      </c>
      <c r="L299" s="14">
        <f t="shared" si="9"/>
        <v>2022</v>
      </c>
      <c r="M299" s="12">
        <v>3754723</v>
      </c>
    </row>
    <row r="300" spans="1:13" ht="15.75" customHeight="1" x14ac:dyDescent="0.25">
      <c r="A300" s="9" t="s">
        <v>15</v>
      </c>
      <c r="B300" s="9" t="s">
        <v>30</v>
      </c>
      <c r="C300" s="10" t="s">
        <v>12</v>
      </c>
      <c r="D300" s="9" t="s">
        <v>31</v>
      </c>
      <c r="E300" s="9" t="s">
        <v>36</v>
      </c>
      <c r="F300" s="10">
        <v>47</v>
      </c>
      <c r="G300" s="11">
        <v>42758</v>
      </c>
      <c r="H300" s="14">
        <f t="shared" si="8"/>
        <v>2017</v>
      </c>
      <c r="I300" s="12">
        <v>10010893</v>
      </c>
      <c r="J300" s="10">
        <v>472</v>
      </c>
      <c r="K300" s="11">
        <v>44606</v>
      </c>
      <c r="L300" s="14">
        <f t="shared" si="9"/>
        <v>2022</v>
      </c>
      <c r="M300" s="12">
        <v>10010893</v>
      </c>
    </row>
    <row r="301" spans="1:13" ht="15.75" customHeight="1" x14ac:dyDescent="0.25">
      <c r="A301" s="9" t="s">
        <v>15</v>
      </c>
      <c r="B301" s="9" t="s">
        <v>30</v>
      </c>
      <c r="C301" s="10" t="s">
        <v>12</v>
      </c>
      <c r="D301" s="9" t="s">
        <v>31</v>
      </c>
      <c r="E301" s="9" t="s">
        <v>36</v>
      </c>
      <c r="F301" s="10">
        <v>533</v>
      </c>
      <c r="G301" s="11">
        <v>43028</v>
      </c>
      <c r="H301" s="14">
        <f t="shared" si="8"/>
        <v>2017</v>
      </c>
      <c r="I301" s="12">
        <v>2759906</v>
      </c>
      <c r="J301" s="10">
        <v>1279</v>
      </c>
      <c r="K301" s="11">
        <v>44677</v>
      </c>
      <c r="L301" s="14">
        <f t="shared" si="9"/>
        <v>2022</v>
      </c>
      <c r="M301" s="12">
        <v>2759906</v>
      </c>
    </row>
    <row r="302" spans="1:13" ht="15.75" customHeight="1" x14ac:dyDescent="0.25">
      <c r="A302" s="9" t="s">
        <v>15</v>
      </c>
      <c r="B302" s="9" t="s">
        <v>30</v>
      </c>
      <c r="C302" s="10" t="s">
        <v>12</v>
      </c>
      <c r="D302" s="9" t="s">
        <v>44</v>
      </c>
      <c r="E302" s="9" t="s">
        <v>36</v>
      </c>
      <c r="F302" s="10">
        <v>568</v>
      </c>
      <c r="G302" s="11">
        <v>43066</v>
      </c>
      <c r="H302" s="14">
        <f t="shared" si="8"/>
        <v>2017</v>
      </c>
      <c r="I302" s="12">
        <v>7188234</v>
      </c>
      <c r="J302" s="10">
        <v>2150</v>
      </c>
      <c r="K302" s="11">
        <v>44760</v>
      </c>
      <c r="L302" s="14">
        <f t="shared" si="9"/>
        <v>2022</v>
      </c>
      <c r="M302" s="12">
        <v>6536413</v>
      </c>
    </row>
    <row r="303" spans="1:13" ht="15.75" customHeight="1" x14ac:dyDescent="0.25">
      <c r="A303" s="9" t="s">
        <v>59</v>
      </c>
      <c r="B303" s="9" t="s">
        <v>30</v>
      </c>
      <c r="C303" s="10" t="s">
        <v>12</v>
      </c>
      <c r="D303" s="9" t="s">
        <v>31</v>
      </c>
      <c r="E303" s="9" t="s">
        <v>47</v>
      </c>
      <c r="F303" s="10">
        <v>124</v>
      </c>
      <c r="G303" s="11">
        <v>43602</v>
      </c>
      <c r="H303" s="14">
        <f t="shared" si="8"/>
        <v>2019</v>
      </c>
      <c r="I303" s="12">
        <v>8416656</v>
      </c>
      <c r="J303" s="10">
        <v>470</v>
      </c>
      <c r="K303" s="11">
        <v>44606</v>
      </c>
      <c r="L303" s="14">
        <f t="shared" si="9"/>
        <v>2022</v>
      </c>
      <c r="M303" s="12">
        <v>8416656</v>
      </c>
    </row>
    <row r="304" spans="1:13" ht="15.75" customHeight="1" x14ac:dyDescent="0.25">
      <c r="A304" s="9" t="s">
        <v>59</v>
      </c>
      <c r="B304" s="9" t="s">
        <v>30</v>
      </c>
      <c r="C304" s="10" t="s">
        <v>12</v>
      </c>
      <c r="D304" s="9" t="s">
        <v>31</v>
      </c>
      <c r="E304" s="9" t="s">
        <v>47</v>
      </c>
      <c r="F304" s="10">
        <v>125</v>
      </c>
      <c r="G304" s="11">
        <v>43602</v>
      </c>
      <c r="H304" s="14">
        <f t="shared" si="8"/>
        <v>2019</v>
      </c>
      <c r="I304" s="12">
        <v>10298253</v>
      </c>
      <c r="J304" s="10">
        <v>1690</v>
      </c>
      <c r="K304" s="11">
        <v>44719</v>
      </c>
      <c r="L304" s="14">
        <f t="shared" si="9"/>
        <v>2022</v>
      </c>
      <c r="M304" s="12">
        <v>9969751</v>
      </c>
    </row>
    <row r="305" spans="1:13" ht="15.75" customHeight="1" x14ac:dyDescent="0.25">
      <c r="A305" s="9" t="s">
        <v>59</v>
      </c>
      <c r="B305" s="9" t="s">
        <v>30</v>
      </c>
      <c r="C305" s="10" t="s">
        <v>12</v>
      </c>
      <c r="D305" s="9" t="s">
        <v>31</v>
      </c>
      <c r="E305" s="9" t="s">
        <v>47</v>
      </c>
      <c r="F305" s="10">
        <v>126</v>
      </c>
      <c r="G305" s="11">
        <v>43602</v>
      </c>
      <c r="H305" s="14">
        <f t="shared" si="8"/>
        <v>2019</v>
      </c>
      <c r="I305" s="12">
        <v>8817562</v>
      </c>
      <c r="J305" s="10">
        <v>1691</v>
      </c>
      <c r="K305" s="11">
        <v>44719</v>
      </c>
      <c r="L305" s="14">
        <f t="shared" si="9"/>
        <v>2022</v>
      </c>
      <c r="M305" s="12">
        <v>7181857</v>
      </c>
    </row>
    <row r="306" spans="1:13" ht="15.75" customHeight="1" x14ac:dyDescent="0.25">
      <c r="A306" s="9" t="s">
        <v>59</v>
      </c>
      <c r="B306" s="9" t="s">
        <v>30</v>
      </c>
      <c r="C306" s="10" t="s">
        <v>12</v>
      </c>
      <c r="D306" s="9" t="s">
        <v>35</v>
      </c>
      <c r="E306" s="9" t="s">
        <v>47</v>
      </c>
      <c r="F306" s="10">
        <v>90</v>
      </c>
      <c r="G306" s="11">
        <v>43607</v>
      </c>
      <c r="H306" s="14">
        <f t="shared" si="8"/>
        <v>2019</v>
      </c>
      <c r="I306" s="12">
        <v>14624179</v>
      </c>
      <c r="J306" s="10">
        <v>1982</v>
      </c>
      <c r="K306" s="11">
        <v>44749</v>
      </c>
      <c r="L306" s="14">
        <f t="shared" si="9"/>
        <v>2022</v>
      </c>
      <c r="M306" s="12">
        <v>14202862</v>
      </c>
    </row>
    <row r="307" spans="1:13" ht="15.75" customHeight="1" x14ac:dyDescent="0.25">
      <c r="A307" s="9" t="s">
        <v>59</v>
      </c>
      <c r="B307" s="9" t="s">
        <v>30</v>
      </c>
      <c r="C307" s="10" t="s">
        <v>12</v>
      </c>
      <c r="D307" s="9" t="s">
        <v>35</v>
      </c>
      <c r="E307" s="9" t="s">
        <v>47</v>
      </c>
      <c r="F307" s="10">
        <v>91</v>
      </c>
      <c r="G307" s="11">
        <v>43607</v>
      </c>
      <c r="H307" s="14">
        <f t="shared" si="8"/>
        <v>2019</v>
      </c>
      <c r="I307" s="12">
        <v>10215641</v>
      </c>
      <c r="J307" s="10">
        <v>2839</v>
      </c>
      <c r="K307" s="11">
        <v>44831</v>
      </c>
      <c r="L307" s="14">
        <f t="shared" si="9"/>
        <v>2022</v>
      </c>
      <c r="M307" s="12">
        <v>9814734</v>
      </c>
    </row>
    <row r="308" spans="1:13" ht="15.75" customHeight="1" x14ac:dyDescent="0.25">
      <c r="A308" s="9" t="s">
        <v>59</v>
      </c>
      <c r="B308" s="9" t="s">
        <v>30</v>
      </c>
      <c r="C308" s="10" t="s">
        <v>12</v>
      </c>
      <c r="D308" s="9" t="s">
        <v>35</v>
      </c>
      <c r="E308" s="9" t="s">
        <v>47</v>
      </c>
      <c r="F308" s="10">
        <v>92</v>
      </c>
      <c r="G308" s="11">
        <v>43607</v>
      </c>
      <c r="H308" s="14">
        <f t="shared" si="8"/>
        <v>2019</v>
      </c>
      <c r="I308" s="12">
        <v>10934849</v>
      </c>
      <c r="J308" s="10">
        <v>1756</v>
      </c>
      <c r="K308" s="11">
        <v>44726</v>
      </c>
      <c r="L308" s="14">
        <f t="shared" si="9"/>
        <v>2022</v>
      </c>
      <c r="M308" s="12">
        <v>9785090</v>
      </c>
    </row>
    <row r="309" spans="1:13" ht="15.75" customHeight="1" x14ac:dyDescent="0.25">
      <c r="A309" s="9" t="s">
        <v>59</v>
      </c>
      <c r="B309" s="9" t="s">
        <v>30</v>
      </c>
      <c r="C309" s="10" t="s">
        <v>12</v>
      </c>
      <c r="D309" s="9" t="s">
        <v>44</v>
      </c>
      <c r="E309" s="9" t="s">
        <v>47</v>
      </c>
      <c r="F309" s="10">
        <v>168</v>
      </c>
      <c r="G309" s="11">
        <v>43602</v>
      </c>
      <c r="H309" s="14">
        <f t="shared" si="8"/>
        <v>2019</v>
      </c>
      <c r="I309" s="12">
        <v>10175306</v>
      </c>
      <c r="J309" s="10">
        <v>1098</v>
      </c>
      <c r="K309" s="11">
        <v>44659</v>
      </c>
      <c r="L309" s="14">
        <f t="shared" si="9"/>
        <v>2022</v>
      </c>
      <c r="M309" s="12">
        <v>9568839</v>
      </c>
    </row>
    <row r="310" spans="1:13" ht="15.75" customHeight="1" x14ac:dyDescent="0.25">
      <c r="A310" s="9" t="s">
        <v>10</v>
      </c>
      <c r="B310" s="9" t="s">
        <v>30</v>
      </c>
      <c r="C310" s="10" t="s">
        <v>12</v>
      </c>
      <c r="D310" s="9" t="s">
        <v>31</v>
      </c>
      <c r="E310" s="9" t="s">
        <v>47</v>
      </c>
      <c r="F310" s="10">
        <v>179</v>
      </c>
      <c r="G310" s="11">
        <v>43663</v>
      </c>
      <c r="H310" s="14">
        <f t="shared" si="8"/>
        <v>2019</v>
      </c>
      <c r="I310" s="12">
        <v>8057591</v>
      </c>
      <c r="J310" s="10">
        <v>868</v>
      </c>
      <c r="K310" s="11">
        <v>44636</v>
      </c>
      <c r="L310" s="14">
        <f t="shared" si="9"/>
        <v>2022</v>
      </c>
      <c r="M310" s="12">
        <v>7082324</v>
      </c>
    </row>
    <row r="311" spans="1:13" ht="15.75" customHeight="1" x14ac:dyDescent="0.25">
      <c r="A311" s="9" t="s">
        <v>10</v>
      </c>
      <c r="B311" s="9" t="s">
        <v>30</v>
      </c>
      <c r="C311" s="10" t="s">
        <v>12</v>
      </c>
      <c r="D311" s="9" t="s">
        <v>31</v>
      </c>
      <c r="E311" s="9" t="s">
        <v>47</v>
      </c>
      <c r="F311" s="10">
        <v>180</v>
      </c>
      <c r="G311" s="11">
        <v>43663</v>
      </c>
      <c r="H311" s="14">
        <f t="shared" si="8"/>
        <v>2019</v>
      </c>
      <c r="I311" s="12">
        <v>22719441</v>
      </c>
      <c r="J311" s="10">
        <v>438</v>
      </c>
      <c r="K311" s="11">
        <v>44602</v>
      </c>
      <c r="L311" s="14">
        <f t="shared" si="9"/>
        <v>2022</v>
      </c>
      <c r="M311" s="12">
        <v>21081250</v>
      </c>
    </row>
    <row r="312" spans="1:13" ht="15.75" customHeight="1" x14ac:dyDescent="0.25">
      <c r="A312" s="9" t="s">
        <v>10</v>
      </c>
      <c r="B312" s="9" t="s">
        <v>30</v>
      </c>
      <c r="C312" s="10" t="s">
        <v>12</v>
      </c>
      <c r="D312" s="9" t="s">
        <v>35</v>
      </c>
      <c r="E312" s="9" t="s">
        <v>47</v>
      </c>
      <c r="F312" s="10">
        <v>133</v>
      </c>
      <c r="G312" s="11">
        <v>43663</v>
      </c>
      <c r="H312" s="14">
        <f t="shared" si="8"/>
        <v>2019</v>
      </c>
      <c r="I312" s="12">
        <v>49192847</v>
      </c>
      <c r="J312" s="10">
        <v>1281</v>
      </c>
      <c r="K312" s="11">
        <v>44677</v>
      </c>
      <c r="L312" s="14">
        <f t="shared" si="9"/>
        <v>2022</v>
      </c>
      <c r="M312" s="12">
        <v>47855719</v>
      </c>
    </row>
    <row r="313" spans="1:13" ht="15.75" customHeight="1" x14ac:dyDescent="0.25">
      <c r="A313" s="9" t="s">
        <v>10</v>
      </c>
      <c r="B313" s="9" t="s">
        <v>30</v>
      </c>
      <c r="C313" s="10" t="s">
        <v>12</v>
      </c>
      <c r="D313" s="9" t="s">
        <v>35</v>
      </c>
      <c r="E313" s="9" t="s">
        <v>47</v>
      </c>
      <c r="F313" s="10">
        <v>134</v>
      </c>
      <c r="G313" s="11">
        <v>43663</v>
      </c>
      <c r="H313" s="14">
        <f t="shared" si="8"/>
        <v>2019</v>
      </c>
      <c r="I313" s="12">
        <v>35951976</v>
      </c>
      <c r="J313" s="10">
        <v>1631</v>
      </c>
      <c r="K313" s="11">
        <v>44713</v>
      </c>
      <c r="L313" s="14">
        <f t="shared" si="9"/>
        <v>2022</v>
      </c>
      <c r="M313" s="12">
        <v>31262463</v>
      </c>
    </row>
    <row r="314" spans="1:13" ht="15.75" customHeight="1" x14ac:dyDescent="0.25">
      <c r="A314" s="9" t="s">
        <v>59</v>
      </c>
      <c r="B314" s="9" t="s">
        <v>30</v>
      </c>
      <c r="C314" s="10" t="s">
        <v>12</v>
      </c>
      <c r="D314" s="9" t="s">
        <v>44</v>
      </c>
      <c r="E314" s="9" t="s">
        <v>19</v>
      </c>
      <c r="F314" s="10">
        <v>224</v>
      </c>
      <c r="G314" s="11">
        <v>44529</v>
      </c>
      <c r="H314" s="14">
        <f t="shared" si="8"/>
        <v>2021</v>
      </c>
      <c r="I314" s="12">
        <v>3456053</v>
      </c>
      <c r="J314" s="10">
        <v>351</v>
      </c>
      <c r="K314" s="11">
        <v>44592</v>
      </c>
      <c r="L314" s="14">
        <f t="shared" si="9"/>
        <v>2022</v>
      </c>
      <c r="M314" s="12">
        <v>3456053</v>
      </c>
    </row>
    <row r="315" spans="1:13" ht="15.75" customHeight="1" x14ac:dyDescent="0.25">
      <c r="A315" s="9" t="s">
        <v>10</v>
      </c>
      <c r="B315" s="9" t="s">
        <v>30</v>
      </c>
      <c r="C315" s="10" t="s">
        <v>12</v>
      </c>
      <c r="D315" s="9" t="s">
        <v>44</v>
      </c>
      <c r="E315" s="9" t="s">
        <v>19</v>
      </c>
      <c r="F315" s="10">
        <v>225</v>
      </c>
      <c r="G315" s="11">
        <v>44529</v>
      </c>
      <c r="H315" s="14">
        <f t="shared" si="8"/>
        <v>2021</v>
      </c>
      <c r="I315" s="12">
        <v>1938013</v>
      </c>
      <c r="J315" s="10">
        <v>352</v>
      </c>
      <c r="K315" s="11">
        <v>44592</v>
      </c>
      <c r="L315" s="14">
        <f t="shared" si="9"/>
        <v>2022</v>
      </c>
      <c r="M315" s="12">
        <v>1938013</v>
      </c>
    </row>
    <row r="316" spans="1:13" ht="15.75" customHeight="1" x14ac:dyDescent="0.25">
      <c r="A316" s="9" t="s">
        <v>15</v>
      </c>
      <c r="B316" s="9" t="s">
        <v>30</v>
      </c>
      <c r="C316" s="10" t="s">
        <v>12</v>
      </c>
      <c r="D316" s="9" t="s">
        <v>35</v>
      </c>
      <c r="E316" s="9" t="s">
        <v>19</v>
      </c>
      <c r="F316" s="10">
        <v>127</v>
      </c>
      <c r="G316" s="11">
        <v>44526</v>
      </c>
      <c r="H316" s="14">
        <f t="shared" si="8"/>
        <v>2021</v>
      </c>
      <c r="I316" s="12">
        <v>23542428</v>
      </c>
      <c r="J316" s="10">
        <v>354</v>
      </c>
      <c r="K316" s="11">
        <v>44592</v>
      </c>
      <c r="L316" s="14">
        <f t="shared" si="9"/>
        <v>2022</v>
      </c>
      <c r="M316" s="12">
        <v>23542428</v>
      </c>
    </row>
    <row r="317" spans="1:13" ht="15.75" customHeight="1" x14ac:dyDescent="0.25">
      <c r="A317" s="9" t="s">
        <v>59</v>
      </c>
      <c r="B317" s="9" t="s">
        <v>30</v>
      </c>
      <c r="C317" s="10" t="s">
        <v>12</v>
      </c>
      <c r="D317" s="9" t="s">
        <v>35</v>
      </c>
      <c r="E317" s="9" t="s">
        <v>19</v>
      </c>
      <c r="F317" s="10">
        <v>128</v>
      </c>
      <c r="G317" s="11">
        <v>44526</v>
      </c>
      <c r="H317" s="14">
        <f t="shared" si="8"/>
        <v>2021</v>
      </c>
      <c r="I317" s="12">
        <v>3820391</v>
      </c>
      <c r="J317" s="10">
        <v>355</v>
      </c>
      <c r="K317" s="11">
        <v>44592</v>
      </c>
      <c r="L317" s="14">
        <f t="shared" si="9"/>
        <v>2022</v>
      </c>
      <c r="M317" s="12">
        <v>3820391</v>
      </c>
    </row>
    <row r="318" spans="1:13" ht="15.75" customHeight="1" x14ac:dyDescent="0.25">
      <c r="A318" s="9" t="s">
        <v>10</v>
      </c>
      <c r="B318" s="9" t="s">
        <v>30</v>
      </c>
      <c r="C318" s="10" t="s">
        <v>12</v>
      </c>
      <c r="D318" s="9" t="s">
        <v>35</v>
      </c>
      <c r="E318" s="9" t="s">
        <v>19</v>
      </c>
      <c r="F318" s="10">
        <v>129</v>
      </c>
      <c r="G318" s="11">
        <v>44526</v>
      </c>
      <c r="H318" s="14">
        <f t="shared" si="8"/>
        <v>2021</v>
      </c>
      <c r="I318" s="12">
        <v>9147813</v>
      </c>
      <c r="J318" s="10">
        <v>353</v>
      </c>
      <c r="K318" s="11">
        <v>44592</v>
      </c>
      <c r="L318" s="14">
        <f t="shared" si="9"/>
        <v>2022</v>
      </c>
      <c r="M318" s="12">
        <v>9147813</v>
      </c>
    </row>
    <row r="319" spans="1:13" ht="15.75" customHeight="1" x14ac:dyDescent="0.25">
      <c r="A319" s="9" t="s">
        <v>15</v>
      </c>
      <c r="B319" s="9" t="s">
        <v>30</v>
      </c>
      <c r="C319" s="10" t="s">
        <v>12</v>
      </c>
      <c r="D319" s="9" t="s">
        <v>31</v>
      </c>
      <c r="E319" s="9" t="s">
        <v>36</v>
      </c>
      <c r="F319" s="10">
        <v>299</v>
      </c>
      <c r="G319" s="11">
        <v>43804</v>
      </c>
      <c r="H319" s="14">
        <f t="shared" si="8"/>
        <v>2019</v>
      </c>
      <c r="I319" s="12">
        <v>61222878</v>
      </c>
      <c r="J319" s="10">
        <v>2302</v>
      </c>
      <c r="K319" s="11">
        <v>44770</v>
      </c>
      <c r="L319" s="14">
        <f t="shared" si="9"/>
        <v>2022</v>
      </c>
      <c r="M319" s="12">
        <v>57990933</v>
      </c>
    </row>
    <row r="320" spans="1:13" ht="15.75" customHeight="1" x14ac:dyDescent="0.25">
      <c r="A320" s="9" t="s">
        <v>15</v>
      </c>
      <c r="B320" s="9" t="s">
        <v>30</v>
      </c>
      <c r="C320" s="10" t="s">
        <v>12</v>
      </c>
      <c r="D320" s="9" t="s">
        <v>31</v>
      </c>
      <c r="E320" s="9" t="s">
        <v>36</v>
      </c>
      <c r="F320" s="10">
        <v>300</v>
      </c>
      <c r="G320" s="11">
        <v>43804</v>
      </c>
      <c r="H320" s="14">
        <f t="shared" si="8"/>
        <v>2019</v>
      </c>
      <c r="I320" s="12">
        <v>40833777</v>
      </c>
      <c r="J320" s="10">
        <v>1980</v>
      </c>
      <c r="K320" s="11">
        <v>44749</v>
      </c>
      <c r="L320" s="14">
        <f t="shared" si="9"/>
        <v>2022</v>
      </c>
      <c r="M320" s="12">
        <v>40550430</v>
      </c>
    </row>
    <row r="321" spans="1:13" ht="15.75" customHeight="1" x14ac:dyDescent="0.25">
      <c r="A321" s="9" t="s">
        <v>15</v>
      </c>
      <c r="B321" s="9" t="s">
        <v>30</v>
      </c>
      <c r="C321" s="10" t="s">
        <v>12</v>
      </c>
      <c r="D321" s="9" t="s">
        <v>31</v>
      </c>
      <c r="E321" s="9" t="s">
        <v>36</v>
      </c>
      <c r="F321" s="10">
        <v>301</v>
      </c>
      <c r="G321" s="11">
        <v>43804</v>
      </c>
      <c r="H321" s="14">
        <f t="shared" si="8"/>
        <v>2019</v>
      </c>
      <c r="I321" s="12">
        <v>32551695</v>
      </c>
      <c r="J321" s="10">
        <v>2210</v>
      </c>
      <c r="K321" s="11">
        <v>44768</v>
      </c>
      <c r="L321" s="14">
        <f t="shared" si="9"/>
        <v>2022</v>
      </c>
      <c r="M321" s="12">
        <v>30054171</v>
      </c>
    </row>
    <row r="322" spans="1:13" ht="15.75" customHeight="1" x14ac:dyDescent="0.25">
      <c r="A322" s="9" t="s">
        <v>15</v>
      </c>
      <c r="B322" s="9" t="s">
        <v>30</v>
      </c>
      <c r="C322" s="10" t="s">
        <v>12</v>
      </c>
      <c r="D322" s="9" t="s">
        <v>31</v>
      </c>
      <c r="E322" s="9" t="s">
        <v>36</v>
      </c>
      <c r="F322" s="10">
        <v>308</v>
      </c>
      <c r="G322" s="11">
        <v>43811</v>
      </c>
      <c r="H322" s="14">
        <f t="shared" si="8"/>
        <v>2019</v>
      </c>
      <c r="I322" s="12">
        <v>56103269</v>
      </c>
      <c r="J322" s="10">
        <v>1463</v>
      </c>
      <c r="K322" s="11">
        <v>44694</v>
      </c>
      <c r="L322" s="14">
        <f t="shared" si="9"/>
        <v>2022</v>
      </c>
      <c r="M322" s="12">
        <v>56103269</v>
      </c>
    </row>
    <row r="323" spans="1:13" ht="15.75" customHeight="1" x14ac:dyDescent="0.25">
      <c r="A323" s="9" t="s">
        <v>15</v>
      </c>
      <c r="B323" s="9" t="s">
        <v>30</v>
      </c>
      <c r="C323" s="10" t="s">
        <v>12</v>
      </c>
      <c r="D323" s="9" t="s">
        <v>35</v>
      </c>
      <c r="E323" s="9" t="s">
        <v>36</v>
      </c>
      <c r="F323" s="10">
        <v>201</v>
      </c>
      <c r="G323" s="11">
        <v>43795</v>
      </c>
      <c r="H323" s="14">
        <f t="shared" si="8"/>
        <v>2019</v>
      </c>
      <c r="I323" s="12">
        <v>32765351</v>
      </c>
      <c r="J323" s="10">
        <v>1462</v>
      </c>
      <c r="K323" s="11">
        <v>44694</v>
      </c>
      <c r="L323" s="14">
        <f t="shared" si="9"/>
        <v>2022</v>
      </c>
      <c r="M323" s="12">
        <v>32765351</v>
      </c>
    </row>
    <row r="324" spans="1:13" ht="15.75" customHeight="1" x14ac:dyDescent="0.25">
      <c r="A324" s="9" t="s">
        <v>15</v>
      </c>
      <c r="B324" s="9" t="s">
        <v>30</v>
      </c>
      <c r="C324" s="10" t="s">
        <v>12</v>
      </c>
      <c r="D324" s="9" t="s">
        <v>35</v>
      </c>
      <c r="E324" s="9" t="s">
        <v>36</v>
      </c>
      <c r="F324" s="10">
        <v>202</v>
      </c>
      <c r="G324" s="11">
        <v>43795</v>
      </c>
      <c r="H324" s="14">
        <f t="shared" ref="H324:H387" si="10">YEAR(G324)</f>
        <v>2019</v>
      </c>
      <c r="I324" s="12">
        <v>17645150</v>
      </c>
      <c r="J324" s="10">
        <v>2211</v>
      </c>
      <c r="K324" s="11">
        <v>44768</v>
      </c>
      <c r="L324" s="14">
        <f t="shared" ref="L324:L387" si="11">YEAR(K324)</f>
        <v>2022</v>
      </c>
      <c r="M324" s="12">
        <v>17114465</v>
      </c>
    </row>
    <row r="325" spans="1:13" ht="15.75" customHeight="1" x14ac:dyDescent="0.25">
      <c r="A325" s="9" t="s">
        <v>15</v>
      </c>
      <c r="B325" s="9" t="s">
        <v>30</v>
      </c>
      <c r="C325" s="10" t="s">
        <v>12</v>
      </c>
      <c r="D325" s="9" t="s">
        <v>35</v>
      </c>
      <c r="E325" s="9" t="s">
        <v>36</v>
      </c>
      <c r="F325" s="10">
        <v>203</v>
      </c>
      <c r="G325" s="11">
        <v>43795</v>
      </c>
      <c r="H325" s="14">
        <f t="shared" si="10"/>
        <v>2019</v>
      </c>
      <c r="I325" s="12">
        <v>7403554</v>
      </c>
      <c r="J325" s="10">
        <v>1280</v>
      </c>
      <c r="K325" s="11">
        <v>44677</v>
      </c>
      <c r="L325" s="14">
        <f t="shared" si="11"/>
        <v>2022</v>
      </c>
      <c r="M325" s="12">
        <v>7184977</v>
      </c>
    </row>
    <row r="326" spans="1:13" ht="15.75" customHeight="1" x14ac:dyDescent="0.25">
      <c r="A326" s="9" t="s">
        <v>15</v>
      </c>
      <c r="B326" s="9" t="s">
        <v>30</v>
      </c>
      <c r="C326" s="10" t="s">
        <v>12</v>
      </c>
      <c r="D326" s="9" t="s">
        <v>44</v>
      </c>
      <c r="E326" s="9" t="s">
        <v>36</v>
      </c>
      <c r="F326" s="10">
        <v>365</v>
      </c>
      <c r="G326" s="11">
        <v>43797</v>
      </c>
      <c r="H326" s="14">
        <f t="shared" si="10"/>
        <v>2019</v>
      </c>
      <c r="I326" s="12">
        <v>50835783</v>
      </c>
      <c r="J326" s="10">
        <v>1991</v>
      </c>
      <c r="K326" s="11">
        <v>44749</v>
      </c>
      <c r="L326" s="14">
        <f t="shared" si="11"/>
        <v>2022</v>
      </c>
      <c r="M326" s="12">
        <v>43771456</v>
      </c>
    </row>
    <row r="327" spans="1:13" ht="15.75" customHeight="1" x14ac:dyDescent="0.25">
      <c r="A327" s="9" t="s">
        <v>15</v>
      </c>
      <c r="B327" s="9" t="s">
        <v>30</v>
      </c>
      <c r="C327" s="10" t="s">
        <v>12</v>
      </c>
      <c r="D327" s="9" t="s">
        <v>44</v>
      </c>
      <c r="E327" s="9" t="s">
        <v>36</v>
      </c>
      <c r="F327" s="10">
        <v>369</v>
      </c>
      <c r="G327" s="11">
        <v>43801</v>
      </c>
      <c r="H327" s="14">
        <f t="shared" si="10"/>
        <v>2019</v>
      </c>
      <c r="I327" s="12">
        <v>40015992</v>
      </c>
      <c r="J327" s="10">
        <v>1998</v>
      </c>
      <c r="K327" s="11">
        <v>44749</v>
      </c>
      <c r="L327" s="14">
        <f t="shared" si="11"/>
        <v>2022</v>
      </c>
      <c r="M327" s="12">
        <v>36761215</v>
      </c>
    </row>
    <row r="328" spans="1:13" ht="15.75" customHeight="1" x14ac:dyDescent="0.25">
      <c r="A328" s="9" t="s">
        <v>15</v>
      </c>
      <c r="B328" s="9" t="s">
        <v>30</v>
      </c>
      <c r="C328" s="10" t="s">
        <v>12</v>
      </c>
      <c r="D328" s="9" t="s">
        <v>44</v>
      </c>
      <c r="E328" s="9" t="s">
        <v>36</v>
      </c>
      <c r="F328" s="10">
        <v>370</v>
      </c>
      <c r="G328" s="11">
        <v>43801</v>
      </c>
      <c r="H328" s="14">
        <f t="shared" si="10"/>
        <v>2019</v>
      </c>
      <c r="I328" s="12">
        <v>28017641</v>
      </c>
      <c r="J328" s="10">
        <v>1990</v>
      </c>
      <c r="K328" s="11">
        <v>44749</v>
      </c>
      <c r="L328" s="14">
        <f t="shared" si="11"/>
        <v>2022</v>
      </c>
      <c r="M328" s="12">
        <v>25477438</v>
      </c>
    </row>
    <row r="329" spans="1:13" ht="15.75" customHeight="1" x14ac:dyDescent="0.25">
      <c r="A329" s="9" t="s">
        <v>15</v>
      </c>
      <c r="B329" s="9" t="s">
        <v>30</v>
      </c>
      <c r="C329" s="10" t="s">
        <v>12</v>
      </c>
      <c r="D329" s="9" t="s">
        <v>44</v>
      </c>
      <c r="E329" s="9" t="s">
        <v>36</v>
      </c>
      <c r="F329" s="10">
        <v>379</v>
      </c>
      <c r="G329" s="11">
        <v>43812</v>
      </c>
      <c r="H329" s="14">
        <f t="shared" si="10"/>
        <v>2019</v>
      </c>
      <c r="I329" s="12">
        <v>78888668</v>
      </c>
      <c r="J329" s="10">
        <v>1464</v>
      </c>
      <c r="K329" s="11">
        <v>44694</v>
      </c>
      <c r="L329" s="14">
        <f t="shared" si="11"/>
        <v>2022</v>
      </c>
      <c r="M329" s="12">
        <v>78888668</v>
      </c>
    </row>
    <row r="330" spans="1:13" ht="15.75" customHeight="1" x14ac:dyDescent="0.25">
      <c r="A330" s="9" t="s">
        <v>15</v>
      </c>
      <c r="B330" s="9" t="s">
        <v>30</v>
      </c>
      <c r="C330" s="10" t="s">
        <v>12</v>
      </c>
      <c r="D330" s="9" t="s">
        <v>44</v>
      </c>
      <c r="E330" s="9" t="s">
        <v>72</v>
      </c>
      <c r="F330" s="10">
        <v>242</v>
      </c>
      <c r="G330" s="11">
        <v>44168</v>
      </c>
      <c r="H330" s="14">
        <f t="shared" si="10"/>
        <v>2020</v>
      </c>
      <c r="I330" s="12">
        <v>15336950</v>
      </c>
      <c r="J330" s="10">
        <v>1237</v>
      </c>
      <c r="K330" s="11">
        <v>44672</v>
      </c>
      <c r="L330" s="14">
        <f t="shared" si="11"/>
        <v>2022</v>
      </c>
      <c r="M330" s="12">
        <v>15336950</v>
      </c>
    </row>
    <row r="331" spans="1:13" ht="15.75" customHeight="1" x14ac:dyDescent="0.25">
      <c r="A331" s="9" t="s">
        <v>15</v>
      </c>
      <c r="B331" s="9" t="s">
        <v>30</v>
      </c>
      <c r="C331" s="10" t="s">
        <v>12</v>
      </c>
      <c r="D331" s="9" t="s">
        <v>31</v>
      </c>
      <c r="E331" s="9" t="s">
        <v>72</v>
      </c>
      <c r="F331" s="10">
        <v>46</v>
      </c>
      <c r="G331" s="11">
        <v>44258</v>
      </c>
      <c r="H331" s="14">
        <f t="shared" si="10"/>
        <v>2021</v>
      </c>
      <c r="I331" s="12">
        <v>232904730</v>
      </c>
      <c r="J331" s="10">
        <v>1630</v>
      </c>
      <c r="K331" s="11">
        <v>44713</v>
      </c>
      <c r="L331" s="14">
        <f t="shared" si="11"/>
        <v>2022</v>
      </c>
      <c r="M331" s="12">
        <v>228168837</v>
      </c>
    </row>
    <row r="332" spans="1:13" ht="15.75" customHeight="1" x14ac:dyDescent="0.25">
      <c r="A332" s="9" t="s">
        <v>15</v>
      </c>
      <c r="B332" s="9" t="s">
        <v>30</v>
      </c>
      <c r="C332" s="10" t="s">
        <v>12</v>
      </c>
      <c r="D332" s="9" t="s">
        <v>35</v>
      </c>
      <c r="E332" s="9" t="s">
        <v>72</v>
      </c>
      <c r="F332" s="10">
        <v>119</v>
      </c>
      <c r="G332" s="11">
        <v>44180</v>
      </c>
      <c r="H332" s="14">
        <f t="shared" si="10"/>
        <v>2020</v>
      </c>
      <c r="I332" s="12">
        <v>172959746</v>
      </c>
      <c r="J332" s="10">
        <v>436</v>
      </c>
      <c r="K332" s="11">
        <v>44602</v>
      </c>
      <c r="L332" s="14">
        <f t="shared" si="11"/>
        <v>2022</v>
      </c>
      <c r="M332" s="12">
        <v>168803812</v>
      </c>
    </row>
    <row r="333" spans="1:13" ht="15.75" customHeight="1" x14ac:dyDescent="0.25">
      <c r="A333" s="9" t="s">
        <v>15</v>
      </c>
      <c r="B333" s="9" t="s">
        <v>30</v>
      </c>
      <c r="C333" s="10" t="s">
        <v>12</v>
      </c>
      <c r="D333" s="9" t="s">
        <v>44</v>
      </c>
      <c r="E333" s="9" t="s">
        <v>72</v>
      </c>
      <c r="F333" s="10">
        <v>243</v>
      </c>
      <c r="G333" s="11">
        <v>44168</v>
      </c>
      <c r="H333" s="14">
        <f t="shared" si="10"/>
        <v>2020</v>
      </c>
      <c r="I333" s="12">
        <v>5919239</v>
      </c>
      <c r="J333" s="10">
        <v>869</v>
      </c>
      <c r="K333" s="11">
        <v>44636</v>
      </c>
      <c r="L333" s="14">
        <f t="shared" si="11"/>
        <v>2022</v>
      </c>
      <c r="M333" s="12">
        <v>5916619</v>
      </c>
    </row>
    <row r="334" spans="1:13" ht="15.75" customHeight="1" x14ac:dyDescent="0.25">
      <c r="A334" s="9" t="s">
        <v>15</v>
      </c>
      <c r="B334" s="9" t="s">
        <v>30</v>
      </c>
      <c r="C334" s="10" t="s">
        <v>12</v>
      </c>
      <c r="D334" s="9" t="s">
        <v>44</v>
      </c>
      <c r="E334" s="9" t="s">
        <v>72</v>
      </c>
      <c r="F334" s="10">
        <v>244</v>
      </c>
      <c r="G334" s="11">
        <v>44168</v>
      </c>
      <c r="H334" s="14">
        <f t="shared" si="10"/>
        <v>2020</v>
      </c>
      <c r="I334" s="12">
        <v>4452849</v>
      </c>
      <c r="J334" s="10">
        <v>870</v>
      </c>
      <c r="K334" s="11">
        <v>44636</v>
      </c>
      <c r="L334" s="14">
        <f t="shared" si="11"/>
        <v>2022</v>
      </c>
      <c r="M334" s="12">
        <v>4452849</v>
      </c>
    </row>
    <row r="335" spans="1:13" ht="15.75" customHeight="1" x14ac:dyDescent="0.25">
      <c r="A335" s="9" t="s">
        <v>10</v>
      </c>
      <c r="B335" s="9" t="s">
        <v>30</v>
      </c>
      <c r="C335" s="10" t="s">
        <v>12</v>
      </c>
      <c r="D335" s="9" t="s">
        <v>44</v>
      </c>
      <c r="E335" s="9" t="s">
        <v>72</v>
      </c>
      <c r="F335" s="10">
        <v>5</v>
      </c>
      <c r="G335" s="11">
        <v>44209</v>
      </c>
      <c r="H335" s="14">
        <f t="shared" si="10"/>
        <v>2021</v>
      </c>
      <c r="I335" s="12">
        <v>998363</v>
      </c>
      <c r="J335" s="10">
        <v>690</v>
      </c>
      <c r="K335" s="11">
        <v>44623</v>
      </c>
      <c r="L335" s="14">
        <f t="shared" si="11"/>
        <v>2022</v>
      </c>
      <c r="M335" s="12">
        <v>919292</v>
      </c>
    </row>
    <row r="336" spans="1:13" ht="15.75" customHeight="1" x14ac:dyDescent="0.25">
      <c r="A336" s="9" t="s">
        <v>10</v>
      </c>
      <c r="B336" s="9" t="s">
        <v>30</v>
      </c>
      <c r="C336" s="10" t="s">
        <v>12</v>
      </c>
      <c r="D336" s="9" t="s">
        <v>44</v>
      </c>
      <c r="E336" s="9" t="s">
        <v>72</v>
      </c>
      <c r="F336" s="10">
        <v>6</v>
      </c>
      <c r="G336" s="11">
        <v>44209</v>
      </c>
      <c r="H336" s="14">
        <f t="shared" si="10"/>
        <v>2021</v>
      </c>
      <c r="I336" s="12">
        <v>86045</v>
      </c>
      <c r="J336" s="10">
        <v>692</v>
      </c>
      <c r="K336" s="11">
        <v>44623</v>
      </c>
      <c r="L336" s="14">
        <f t="shared" si="11"/>
        <v>2022</v>
      </c>
      <c r="M336" s="12">
        <v>86045</v>
      </c>
    </row>
    <row r="337" spans="1:13" ht="15.75" customHeight="1" x14ac:dyDescent="0.25">
      <c r="A337" s="9" t="s">
        <v>15</v>
      </c>
      <c r="B337" s="9" t="s">
        <v>30</v>
      </c>
      <c r="C337" s="10" t="s">
        <v>12</v>
      </c>
      <c r="D337" s="9" t="s">
        <v>31</v>
      </c>
      <c r="E337" s="9" t="s">
        <v>72</v>
      </c>
      <c r="F337" s="10">
        <v>240</v>
      </c>
      <c r="G337" s="11">
        <v>44194</v>
      </c>
      <c r="H337" s="14">
        <f t="shared" si="10"/>
        <v>2020</v>
      </c>
      <c r="I337" s="12">
        <v>249635440</v>
      </c>
      <c r="J337" s="10">
        <v>1192</v>
      </c>
      <c r="K337" s="11">
        <v>44665</v>
      </c>
      <c r="L337" s="14">
        <f t="shared" si="11"/>
        <v>2022</v>
      </c>
      <c r="M337" s="12">
        <v>248291173</v>
      </c>
    </row>
    <row r="338" spans="1:13" ht="15.75" customHeight="1" x14ac:dyDescent="0.25">
      <c r="A338" s="9" t="s">
        <v>15</v>
      </c>
      <c r="B338" s="9" t="s">
        <v>30</v>
      </c>
      <c r="C338" s="10" t="s">
        <v>12</v>
      </c>
      <c r="D338" s="9" t="s">
        <v>31</v>
      </c>
      <c r="E338" s="9" t="s">
        <v>72</v>
      </c>
      <c r="F338" s="10">
        <v>241</v>
      </c>
      <c r="G338" s="11">
        <v>44194</v>
      </c>
      <c r="H338" s="14">
        <f t="shared" si="10"/>
        <v>2020</v>
      </c>
      <c r="I338" s="12">
        <v>83159180</v>
      </c>
      <c r="J338" s="10">
        <v>1193</v>
      </c>
      <c r="K338" s="11">
        <v>44665</v>
      </c>
      <c r="L338" s="14">
        <f t="shared" si="11"/>
        <v>2022</v>
      </c>
      <c r="M338" s="12">
        <v>78384391</v>
      </c>
    </row>
    <row r="339" spans="1:13" ht="15.75" customHeight="1" x14ac:dyDescent="0.25">
      <c r="A339" s="9" t="s">
        <v>10</v>
      </c>
      <c r="B339" s="9" t="s">
        <v>30</v>
      </c>
      <c r="C339" s="10" t="s">
        <v>12</v>
      </c>
      <c r="D339" s="9" t="s">
        <v>31</v>
      </c>
      <c r="E339" s="9" t="s">
        <v>72</v>
      </c>
      <c r="F339" s="10">
        <v>12</v>
      </c>
      <c r="G339" s="11">
        <v>44214</v>
      </c>
      <c r="H339" s="14">
        <f t="shared" si="10"/>
        <v>2021</v>
      </c>
      <c r="I339" s="12">
        <v>25508008</v>
      </c>
      <c r="J339" s="10">
        <v>872</v>
      </c>
      <c r="K339" s="11">
        <v>44636</v>
      </c>
      <c r="L339" s="14">
        <f t="shared" si="11"/>
        <v>2022</v>
      </c>
      <c r="M339" s="12">
        <v>25324451</v>
      </c>
    </row>
    <row r="340" spans="1:13" ht="15.75" customHeight="1" x14ac:dyDescent="0.25">
      <c r="A340" s="9" t="s">
        <v>10</v>
      </c>
      <c r="B340" s="9" t="s">
        <v>30</v>
      </c>
      <c r="C340" s="10" t="s">
        <v>12</v>
      </c>
      <c r="D340" s="9" t="s">
        <v>31</v>
      </c>
      <c r="E340" s="9" t="s">
        <v>72</v>
      </c>
      <c r="F340" s="10">
        <v>13</v>
      </c>
      <c r="G340" s="11">
        <v>44214</v>
      </c>
      <c r="H340" s="14">
        <f t="shared" si="10"/>
        <v>2021</v>
      </c>
      <c r="I340" s="12">
        <v>35721081</v>
      </c>
      <c r="J340" s="10">
        <v>873</v>
      </c>
      <c r="K340" s="11">
        <v>44636</v>
      </c>
      <c r="L340" s="14">
        <f t="shared" si="11"/>
        <v>2022</v>
      </c>
      <c r="M340" s="12">
        <v>35658490</v>
      </c>
    </row>
    <row r="341" spans="1:13" ht="15.75" customHeight="1" x14ac:dyDescent="0.25">
      <c r="A341" s="9" t="s">
        <v>10</v>
      </c>
      <c r="B341" s="9" t="s">
        <v>30</v>
      </c>
      <c r="C341" s="10" t="s">
        <v>12</v>
      </c>
      <c r="D341" s="9" t="s">
        <v>31</v>
      </c>
      <c r="E341" s="9" t="s">
        <v>72</v>
      </c>
      <c r="F341" s="10">
        <v>14</v>
      </c>
      <c r="G341" s="11">
        <v>44214</v>
      </c>
      <c r="H341" s="14">
        <f t="shared" si="10"/>
        <v>2021</v>
      </c>
      <c r="I341" s="12">
        <v>118750085</v>
      </c>
      <c r="J341" s="10">
        <v>1236</v>
      </c>
      <c r="K341" s="11">
        <v>44672</v>
      </c>
      <c r="L341" s="14">
        <f t="shared" si="11"/>
        <v>2022</v>
      </c>
      <c r="M341" s="12">
        <v>118605596</v>
      </c>
    </row>
    <row r="342" spans="1:13" ht="15.75" customHeight="1" x14ac:dyDescent="0.25">
      <c r="A342" s="9" t="s">
        <v>15</v>
      </c>
      <c r="B342" s="9" t="s">
        <v>30</v>
      </c>
      <c r="C342" s="10" t="s">
        <v>12</v>
      </c>
      <c r="D342" s="9" t="s">
        <v>35</v>
      </c>
      <c r="E342" s="9" t="s">
        <v>72</v>
      </c>
      <c r="F342" s="10">
        <v>120</v>
      </c>
      <c r="G342" s="11">
        <v>44180</v>
      </c>
      <c r="H342" s="14">
        <f t="shared" si="10"/>
        <v>2020</v>
      </c>
      <c r="I342" s="12">
        <v>50134134</v>
      </c>
      <c r="J342" s="10">
        <v>509</v>
      </c>
      <c r="K342" s="11">
        <v>44607</v>
      </c>
      <c r="L342" s="14">
        <f t="shared" si="11"/>
        <v>2022</v>
      </c>
      <c r="M342" s="12">
        <v>49853496</v>
      </c>
    </row>
    <row r="343" spans="1:13" ht="15.75" customHeight="1" x14ac:dyDescent="0.25">
      <c r="A343" s="9" t="s">
        <v>15</v>
      </c>
      <c r="B343" s="9" t="s">
        <v>30</v>
      </c>
      <c r="C343" s="10" t="s">
        <v>12</v>
      </c>
      <c r="D343" s="9" t="s">
        <v>35</v>
      </c>
      <c r="E343" s="9" t="s">
        <v>72</v>
      </c>
      <c r="F343" s="10">
        <v>121</v>
      </c>
      <c r="G343" s="11">
        <v>44180</v>
      </c>
      <c r="H343" s="14">
        <f t="shared" si="10"/>
        <v>2020</v>
      </c>
      <c r="I343" s="12">
        <v>12828023</v>
      </c>
      <c r="J343" s="10">
        <v>712</v>
      </c>
      <c r="K343" s="11">
        <v>44624</v>
      </c>
      <c r="L343" s="14">
        <f t="shared" si="11"/>
        <v>2022</v>
      </c>
      <c r="M343" s="12">
        <v>12382595</v>
      </c>
    </row>
    <row r="344" spans="1:13" ht="15.75" customHeight="1" x14ac:dyDescent="0.25">
      <c r="A344" s="9" t="s">
        <v>10</v>
      </c>
      <c r="B344" s="9" t="s">
        <v>30</v>
      </c>
      <c r="C344" s="10" t="s">
        <v>12</v>
      </c>
      <c r="D344" s="9" t="s">
        <v>35</v>
      </c>
      <c r="E344" s="9" t="s">
        <v>72</v>
      </c>
      <c r="F344" s="10">
        <v>6</v>
      </c>
      <c r="G344" s="11">
        <v>44228</v>
      </c>
      <c r="H344" s="14">
        <f t="shared" si="10"/>
        <v>2021</v>
      </c>
      <c r="I344" s="12">
        <v>1498412</v>
      </c>
      <c r="J344" s="10">
        <v>691</v>
      </c>
      <c r="K344" s="11">
        <v>44623</v>
      </c>
      <c r="L344" s="14">
        <f t="shared" si="11"/>
        <v>2022</v>
      </c>
      <c r="M344" s="12">
        <v>1482598</v>
      </c>
    </row>
    <row r="345" spans="1:13" ht="15.75" customHeight="1" x14ac:dyDescent="0.25">
      <c r="A345" s="9" t="s">
        <v>10</v>
      </c>
      <c r="B345" s="9" t="s">
        <v>30</v>
      </c>
      <c r="C345" s="10" t="s">
        <v>12</v>
      </c>
      <c r="D345" s="9" t="s">
        <v>35</v>
      </c>
      <c r="E345" s="9" t="s">
        <v>72</v>
      </c>
      <c r="F345" s="10">
        <v>7</v>
      </c>
      <c r="G345" s="11">
        <v>44228</v>
      </c>
      <c r="H345" s="14">
        <f t="shared" si="10"/>
        <v>2021</v>
      </c>
      <c r="I345" s="12">
        <v>2839348</v>
      </c>
      <c r="J345" s="10">
        <v>867</v>
      </c>
      <c r="K345" s="11">
        <v>44636</v>
      </c>
      <c r="L345" s="14">
        <f t="shared" si="11"/>
        <v>2022</v>
      </c>
      <c r="M345" s="12">
        <v>2643096</v>
      </c>
    </row>
    <row r="346" spans="1:13" ht="15.75" customHeight="1" x14ac:dyDescent="0.25">
      <c r="A346" s="9" t="s">
        <v>10</v>
      </c>
      <c r="B346" s="9" t="s">
        <v>30</v>
      </c>
      <c r="C346" s="10" t="s">
        <v>12</v>
      </c>
      <c r="D346" s="9" t="s">
        <v>35</v>
      </c>
      <c r="E346" s="9" t="s">
        <v>72</v>
      </c>
      <c r="F346" s="10">
        <v>5</v>
      </c>
      <c r="G346" s="11">
        <v>44228</v>
      </c>
      <c r="H346" s="14">
        <f t="shared" si="10"/>
        <v>2021</v>
      </c>
      <c r="I346" s="12">
        <v>1858118</v>
      </c>
      <c r="J346" s="10">
        <v>1235</v>
      </c>
      <c r="K346" s="11">
        <v>44672</v>
      </c>
      <c r="L346" s="14">
        <f t="shared" si="11"/>
        <v>2022</v>
      </c>
      <c r="M346" s="12">
        <v>1779136</v>
      </c>
    </row>
    <row r="347" spans="1:13" ht="15.75" customHeight="1" x14ac:dyDescent="0.25">
      <c r="A347" s="9" t="s">
        <v>10</v>
      </c>
      <c r="B347" s="9" t="s">
        <v>30</v>
      </c>
      <c r="C347" s="10" t="s">
        <v>12</v>
      </c>
      <c r="D347" s="9" t="s">
        <v>44</v>
      </c>
      <c r="E347" s="9" t="s">
        <v>72</v>
      </c>
      <c r="F347" s="10">
        <v>7</v>
      </c>
      <c r="G347" s="11">
        <v>44209</v>
      </c>
      <c r="H347" s="14">
        <f t="shared" si="10"/>
        <v>2021</v>
      </c>
      <c r="I347" s="12">
        <v>1896200</v>
      </c>
      <c r="J347" s="10">
        <v>1190</v>
      </c>
      <c r="K347" s="11">
        <v>44665</v>
      </c>
      <c r="L347" s="14">
        <f t="shared" si="11"/>
        <v>2022</v>
      </c>
      <c r="M347" s="12">
        <v>54917</v>
      </c>
    </row>
    <row r="348" spans="1:13" ht="15.75" customHeight="1" x14ac:dyDescent="0.25">
      <c r="A348" s="9" t="s">
        <v>15</v>
      </c>
      <c r="B348" s="9" t="s">
        <v>30</v>
      </c>
      <c r="C348" s="10" t="s">
        <v>82</v>
      </c>
      <c r="D348" s="9" t="s">
        <v>83</v>
      </c>
      <c r="E348" s="9" t="s">
        <v>84</v>
      </c>
      <c r="F348" s="10">
        <v>2116</v>
      </c>
      <c r="G348" s="11">
        <v>44407</v>
      </c>
      <c r="H348" s="14">
        <f t="shared" si="10"/>
        <v>2021</v>
      </c>
      <c r="I348" s="12">
        <v>287883360</v>
      </c>
      <c r="J348" s="10">
        <v>2358</v>
      </c>
      <c r="K348" s="11">
        <v>44771</v>
      </c>
      <c r="L348" s="14">
        <f t="shared" si="11"/>
        <v>2022</v>
      </c>
      <c r="M348" s="12">
        <v>0</v>
      </c>
    </row>
    <row r="349" spans="1:13" ht="15.75" customHeight="1" x14ac:dyDescent="0.25">
      <c r="A349" s="9" t="s">
        <v>15</v>
      </c>
      <c r="B349" s="9" t="s">
        <v>30</v>
      </c>
      <c r="C349" s="10" t="s">
        <v>12</v>
      </c>
      <c r="D349" s="9" t="s">
        <v>31</v>
      </c>
      <c r="E349" s="9" t="s">
        <v>74</v>
      </c>
      <c r="F349" s="10">
        <v>193</v>
      </c>
      <c r="G349" s="11">
        <v>44432</v>
      </c>
      <c r="H349" s="14">
        <f t="shared" si="10"/>
        <v>2021</v>
      </c>
      <c r="I349" s="12">
        <v>1143461</v>
      </c>
      <c r="J349" s="10">
        <v>1086</v>
      </c>
      <c r="K349" s="11">
        <v>44658</v>
      </c>
      <c r="L349" s="14">
        <f t="shared" si="11"/>
        <v>2022</v>
      </c>
      <c r="M349" s="12">
        <v>1143461</v>
      </c>
    </row>
    <row r="350" spans="1:13" ht="15.75" customHeight="1" x14ac:dyDescent="0.25">
      <c r="A350" s="9" t="s">
        <v>10</v>
      </c>
      <c r="B350" s="9" t="s">
        <v>30</v>
      </c>
      <c r="C350" s="10" t="s">
        <v>12</v>
      </c>
      <c r="D350" s="9" t="s">
        <v>31</v>
      </c>
      <c r="E350" s="9" t="s">
        <v>74</v>
      </c>
      <c r="F350" s="10">
        <v>194</v>
      </c>
      <c r="G350" s="11">
        <v>44432</v>
      </c>
      <c r="H350" s="14">
        <f t="shared" si="10"/>
        <v>2021</v>
      </c>
      <c r="I350" s="12">
        <v>924168</v>
      </c>
      <c r="J350" s="10">
        <v>1754</v>
      </c>
      <c r="K350" s="11">
        <v>44726</v>
      </c>
      <c r="L350" s="14">
        <f t="shared" si="11"/>
        <v>2022</v>
      </c>
      <c r="M350" s="12">
        <v>924168</v>
      </c>
    </row>
    <row r="351" spans="1:13" ht="15.75" customHeight="1" x14ac:dyDescent="0.25">
      <c r="A351" s="9" t="s">
        <v>15</v>
      </c>
      <c r="B351" s="9" t="s">
        <v>30</v>
      </c>
      <c r="C351" s="10" t="s">
        <v>12</v>
      </c>
      <c r="D351" s="9" t="s">
        <v>35</v>
      </c>
      <c r="E351" s="9" t="s">
        <v>74</v>
      </c>
      <c r="F351" s="10">
        <v>108</v>
      </c>
      <c r="G351" s="11">
        <v>44428</v>
      </c>
      <c r="H351" s="14">
        <f t="shared" si="10"/>
        <v>2021</v>
      </c>
      <c r="I351" s="12">
        <v>6432662</v>
      </c>
      <c r="J351" s="10">
        <v>688</v>
      </c>
      <c r="K351" s="11">
        <v>44623</v>
      </c>
      <c r="L351" s="14">
        <f t="shared" si="11"/>
        <v>2022</v>
      </c>
      <c r="M351" s="12">
        <v>6432662</v>
      </c>
    </row>
    <row r="352" spans="1:13" ht="15.75" customHeight="1" x14ac:dyDescent="0.25">
      <c r="A352" s="9" t="s">
        <v>10</v>
      </c>
      <c r="B352" s="9" t="s">
        <v>30</v>
      </c>
      <c r="C352" s="10" t="s">
        <v>12</v>
      </c>
      <c r="D352" s="9" t="s">
        <v>35</v>
      </c>
      <c r="E352" s="9" t="s">
        <v>74</v>
      </c>
      <c r="F352" s="10">
        <v>107</v>
      </c>
      <c r="G352" s="11">
        <v>44428</v>
      </c>
      <c r="H352" s="14">
        <f t="shared" si="10"/>
        <v>2021</v>
      </c>
      <c r="I352" s="12">
        <v>924169</v>
      </c>
      <c r="J352" s="10">
        <v>689</v>
      </c>
      <c r="K352" s="11">
        <v>44623</v>
      </c>
      <c r="L352" s="14">
        <f t="shared" si="11"/>
        <v>2022</v>
      </c>
      <c r="M352" s="12">
        <v>924169</v>
      </c>
    </row>
    <row r="353" spans="1:13" ht="15.75" customHeight="1" x14ac:dyDescent="0.25">
      <c r="A353" s="9" t="s">
        <v>15</v>
      </c>
      <c r="B353" s="9" t="s">
        <v>30</v>
      </c>
      <c r="C353" s="10" t="s">
        <v>12</v>
      </c>
      <c r="D353" s="9" t="s">
        <v>44</v>
      </c>
      <c r="E353" s="9" t="s">
        <v>74</v>
      </c>
      <c r="F353" s="10">
        <v>170</v>
      </c>
      <c r="G353" s="11">
        <v>44427</v>
      </c>
      <c r="H353" s="14">
        <f t="shared" si="10"/>
        <v>2021</v>
      </c>
      <c r="I353" s="12">
        <v>4735702</v>
      </c>
      <c r="J353" s="10">
        <v>1191</v>
      </c>
      <c r="K353" s="11">
        <v>44665</v>
      </c>
      <c r="L353" s="14">
        <f t="shared" si="11"/>
        <v>2022</v>
      </c>
      <c r="M353" s="12">
        <v>4735702</v>
      </c>
    </row>
    <row r="354" spans="1:13" ht="15.75" customHeight="1" x14ac:dyDescent="0.25">
      <c r="A354" s="9" t="s">
        <v>10</v>
      </c>
      <c r="B354" s="9" t="s">
        <v>30</v>
      </c>
      <c r="C354" s="10" t="s">
        <v>12</v>
      </c>
      <c r="D354" s="9" t="s">
        <v>44</v>
      </c>
      <c r="E354" s="9" t="s">
        <v>74</v>
      </c>
      <c r="F354" s="10">
        <v>171</v>
      </c>
      <c r="G354" s="11">
        <v>44427</v>
      </c>
      <c r="H354" s="14">
        <f t="shared" si="10"/>
        <v>2021</v>
      </c>
      <c r="I354" s="12">
        <v>924168</v>
      </c>
      <c r="J354" s="10">
        <v>1085</v>
      </c>
      <c r="K354" s="11">
        <v>44658</v>
      </c>
      <c r="L354" s="14">
        <f t="shared" si="11"/>
        <v>2022</v>
      </c>
      <c r="M354" s="12">
        <v>924168</v>
      </c>
    </row>
    <row r="355" spans="1:13" ht="15.75" customHeight="1" x14ac:dyDescent="0.25">
      <c r="A355" s="9" t="s">
        <v>59</v>
      </c>
      <c r="B355" s="9" t="s">
        <v>30</v>
      </c>
      <c r="C355" s="10" t="s">
        <v>12</v>
      </c>
      <c r="D355" s="9" t="s">
        <v>31</v>
      </c>
      <c r="E355" s="9" t="s">
        <v>74</v>
      </c>
      <c r="F355" s="10">
        <v>212</v>
      </c>
      <c r="G355" s="11">
        <v>44474</v>
      </c>
      <c r="H355" s="14">
        <f t="shared" si="10"/>
        <v>2021</v>
      </c>
      <c r="I355" s="12">
        <v>591832</v>
      </c>
      <c r="J355" s="10">
        <v>866</v>
      </c>
      <c r="K355" s="11">
        <v>44636</v>
      </c>
      <c r="L355" s="14">
        <f t="shared" si="11"/>
        <v>2022</v>
      </c>
      <c r="M355" s="12">
        <v>591832</v>
      </c>
    </row>
    <row r="356" spans="1:13" ht="15.75" customHeight="1" x14ac:dyDescent="0.25">
      <c r="A356" s="9" t="s">
        <v>59</v>
      </c>
      <c r="B356" s="9" t="s">
        <v>30</v>
      </c>
      <c r="C356" s="10" t="s">
        <v>12</v>
      </c>
      <c r="D356" s="9" t="s">
        <v>35</v>
      </c>
      <c r="E356" s="9" t="s">
        <v>74</v>
      </c>
      <c r="F356" s="10">
        <v>120</v>
      </c>
      <c r="G356" s="11">
        <v>44481</v>
      </c>
      <c r="H356" s="14">
        <f t="shared" si="10"/>
        <v>2021</v>
      </c>
      <c r="I356" s="12">
        <v>496716</v>
      </c>
      <c r="J356" s="10">
        <v>1188</v>
      </c>
      <c r="K356" s="11">
        <v>44665</v>
      </c>
      <c r="L356" s="14">
        <f t="shared" si="11"/>
        <v>2022</v>
      </c>
      <c r="M356" s="12">
        <v>496716</v>
      </c>
    </row>
    <row r="357" spans="1:13" ht="15.75" customHeight="1" x14ac:dyDescent="0.25">
      <c r="A357" s="9" t="s">
        <v>59</v>
      </c>
      <c r="B357" s="9" t="s">
        <v>30</v>
      </c>
      <c r="C357" s="10" t="s">
        <v>12</v>
      </c>
      <c r="D357" s="9" t="s">
        <v>44</v>
      </c>
      <c r="E357" s="9" t="s">
        <v>74</v>
      </c>
      <c r="F357" s="10">
        <v>200</v>
      </c>
      <c r="G357" s="11">
        <v>44482</v>
      </c>
      <c r="H357" s="14">
        <f t="shared" si="10"/>
        <v>2021</v>
      </c>
      <c r="I357" s="12">
        <v>391032</v>
      </c>
      <c r="J357" s="10">
        <v>865</v>
      </c>
      <c r="K357" s="11">
        <v>44636</v>
      </c>
      <c r="L357" s="14">
        <f t="shared" si="11"/>
        <v>2022</v>
      </c>
      <c r="M357" s="12">
        <v>391032</v>
      </c>
    </row>
    <row r="358" spans="1:13" ht="15.75" customHeight="1" x14ac:dyDescent="0.25">
      <c r="A358" s="9" t="s">
        <v>15</v>
      </c>
      <c r="B358" s="9" t="s">
        <v>51</v>
      </c>
      <c r="C358" s="10" t="s">
        <v>21</v>
      </c>
      <c r="D358" s="9" t="s">
        <v>13</v>
      </c>
      <c r="E358" s="9" t="s">
        <v>47</v>
      </c>
      <c r="F358" s="10">
        <v>81</v>
      </c>
      <c r="G358" s="11">
        <v>44207</v>
      </c>
      <c r="H358" s="14">
        <f t="shared" si="10"/>
        <v>2021</v>
      </c>
      <c r="I358" s="12">
        <f>86.1*50978</f>
        <v>4389205.8</v>
      </c>
      <c r="J358" s="10">
        <v>2234</v>
      </c>
      <c r="K358" s="11">
        <v>44768</v>
      </c>
      <c r="L358" s="14">
        <f t="shared" si="11"/>
        <v>2022</v>
      </c>
      <c r="M358" s="12">
        <v>5015153</v>
      </c>
    </row>
    <row r="359" spans="1:13" ht="15.75" customHeight="1" x14ac:dyDescent="0.25">
      <c r="A359" s="9" t="s">
        <v>15</v>
      </c>
      <c r="B359" s="9" t="s">
        <v>51</v>
      </c>
      <c r="C359" s="10" t="s">
        <v>21</v>
      </c>
      <c r="D359" s="9" t="s">
        <v>13</v>
      </c>
      <c r="E359" s="9" t="s">
        <v>47</v>
      </c>
      <c r="F359" s="10">
        <v>80</v>
      </c>
      <c r="G359" s="11">
        <v>44207</v>
      </c>
      <c r="H359" s="14">
        <f t="shared" si="10"/>
        <v>2021</v>
      </c>
      <c r="I359" s="12">
        <f>141.05*50978</f>
        <v>7190446.9000000004</v>
      </c>
      <c r="J359" s="10">
        <v>2235</v>
      </c>
      <c r="K359" s="11">
        <v>44768</v>
      </c>
      <c r="L359" s="14">
        <f t="shared" si="11"/>
        <v>2022</v>
      </c>
      <c r="M359" s="12">
        <v>8215881</v>
      </c>
    </row>
    <row r="360" spans="1:13" ht="15.75" customHeight="1" x14ac:dyDescent="0.25">
      <c r="A360" s="9" t="s">
        <v>15</v>
      </c>
      <c r="B360" s="9" t="s">
        <v>51</v>
      </c>
      <c r="C360" s="10" t="s">
        <v>21</v>
      </c>
      <c r="D360" s="9" t="s">
        <v>13</v>
      </c>
      <c r="E360" s="9" t="s">
        <v>47</v>
      </c>
      <c r="F360" s="10">
        <v>79</v>
      </c>
      <c r="G360" s="11">
        <v>44207</v>
      </c>
      <c r="H360" s="14">
        <f t="shared" si="10"/>
        <v>2021</v>
      </c>
      <c r="I360" s="12">
        <f>257.6*50978</f>
        <v>13131932.800000001</v>
      </c>
      <c r="J360" s="10">
        <v>2236</v>
      </c>
      <c r="K360" s="11">
        <v>44768</v>
      </c>
      <c r="L360" s="14">
        <f t="shared" si="11"/>
        <v>2022</v>
      </c>
      <c r="M360" s="12">
        <v>15004686</v>
      </c>
    </row>
    <row r="361" spans="1:13" ht="15.75" customHeight="1" x14ac:dyDescent="0.25">
      <c r="A361" s="9" t="s">
        <v>15</v>
      </c>
      <c r="B361" s="9" t="s">
        <v>51</v>
      </c>
      <c r="C361" s="10" t="s">
        <v>21</v>
      </c>
      <c r="D361" s="9" t="s">
        <v>13</v>
      </c>
      <c r="E361" s="9" t="s">
        <v>47</v>
      </c>
      <c r="F361" s="10">
        <v>197</v>
      </c>
      <c r="G361" s="11">
        <v>44211</v>
      </c>
      <c r="H361" s="14">
        <f t="shared" si="10"/>
        <v>2021</v>
      </c>
      <c r="I361" s="12">
        <f>118.65*50978</f>
        <v>6048539.7000000002</v>
      </c>
      <c r="J361" s="10">
        <v>2233</v>
      </c>
      <c r="K361" s="11">
        <v>44768</v>
      </c>
      <c r="L361" s="14">
        <f t="shared" si="11"/>
        <v>2022</v>
      </c>
      <c r="M361" s="12">
        <v>6911125</v>
      </c>
    </row>
    <row r="362" spans="1:13" ht="15.75" customHeight="1" x14ac:dyDescent="0.25">
      <c r="A362" s="9" t="s">
        <v>15</v>
      </c>
      <c r="B362" s="9" t="s">
        <v>51</v>
      </c>
      <c r="C362" s="10" t="s">
        <v>21</v>
      </c>
      <c r="D362" s="9" t="s">
        <v>13</v>
      </c>
      <c r="E362" s="9" t="s">
        <v>47</v>
      </c>
      <c r="F362" s="10">
        <v>195</v>
      </c>
      <c r="G362" s="11">
        <v>44211</v>
      </c>
      <c r="H362" s="14">
        <f t="shared" si="10"/>
        <v>2021</v>
      </c>
      <c r="I362" s="12">
        <f>697.2*50978</f>
        <v>35541861.600000001</v>
      </c>
      <c r="J362" s="10">
        <v>2339</v>
      </c>
      <c r="K362" s="11">
        <v>44771</v>
      </c>
      <c r="L362" s="14">
        <f t="shared" si="11"/>
        <v>2022</v>
      </c>
      <c r="M362" s="12">
        <v>40610506</v>
      </c>
    </row>
    <row r="363" spans="1:13" ht="15.75" customHeight="1" x14ac:dyDescent="0.25">
      <c r="A363" s="9" t="s">
        <v>15</v>
      </c>
      <c r="B363" s="9" t="s">
        <v>51</v>
      </c>
      <c r="C363" s="10" t="s">
        <v>21</v>
      </c>
      <c r="D363" s="9" t="s">
        <v>13</v>
      </c>
      <c r="E363" s="9" t="s">
        <v>47</v>
      </c>
      <c r="F363" s="10">
        <v>196</v>
      </c>
      <c r="G363" s="11">
        <v>44211</v>
      </c>
      <c r="H363" s="14">
        <f t="shared" si="10"/>
        <v>2021</v>
      </c>
      <c r="I363" s="12">
        <f>354.9*50978</f>
        <v>18092092.199999999</v>
      </c>
      <c r="J363" s="10">
        <v>2230</v>
      </c>
      <c r="K363" s="11">
        <v>44768</v>
      </c>
      <c r="L363" s="14">
        <f t="shared" si="11"/>
        <v>2022</v>
      </c>
      <c r="M363" s="12">
        <v>20672215</v>
      </c>
    </row>
    <row r="364" spans="1:13" ht="15.75" customHeight="1" x14ac:dyDescent="0.25">
      <c r="A364" s="9" t="s">
        <v>15</v>
      </c>
      <c r="B364" s="9" t="s">
        <v>51</v>
      </c>
      <c r="C364" s="10" t="s">
        <v>21</v>
      </c>
      <c r="D364" s="9" t="s">
        <v>13</v>
      </c>
      <c r="E364" s="9" t="s">
        <v>14</v>
      </c>
      <c r="F364" s="10">
        <v>246</v>
      </c>
      <c r="G364" s="11">
        <v>44215</v>
      </c>
      <c r="H364" s="14">
        <f t="shared" si="10"/>
        <v>2021</v>
      </c>
      <c r="I364" s="12">
        <f>3865.05*50978</f>
        <v>197032518.90000001</v>
      </c>
      <c r="J364" s="10">
        <v>2229</v>
      </c>
      <c r="K364" s="11">
        <v>44768</v>
      </c>
      <c r="L364" s="14">
        <f t="shared" si="11"/>
        <v>2022</v>
      </c>
      <c r="M364" s="12">
        <v>225131433</v>
      </c>
    </row>
    <row r="365" spans="1:13" ht="15.75" customHeight="1" x14ac:dyDescent="0.25">
      <c r="A365" s="9" t="s">
        <v>15</v>
      </c>
      <c r="B365" s="9" t="s">
        <v>51</v>
      </c>
      <c r="C365" s="10" t="s">
        <v>21</v>
      </c>
      <c r="D365" s="9" t="s">
        <v>13</v>
      </c>
      <c r="E365" s="9" t="s">
        <v>14</v>
      </c>
      <c r="F365" s="10">
        <v>1078</v>
      </c>
      <c r="G365" s="11">
        <v>44302</v>
      </c>
      <c r="H365" s="14">
        <f t="shared" si="10"/>
        <v>2021</v>
      </c>
      <c r="I365" s="12">
        <f>16.1*50978</f>
        <v>820745.8</v>
      </c>
      <c r="J365" s="10">
        <v>2227</v>
      </c>
      <c r="K365" s="11">
        <v>44768</v>
      </c>
      <c r="L365" s="14">
        <f t="shared" si="11"/>
        <v>2022</v>
      </c>
      <c r="M365" s="12">
        <v>937793</v>
      </c>
    </row>
    <row r="366" spans="1:13" ht="15.75" customHeight="1" x14ac:dyDescent="0.25">
      <c r="A366" s="9" t="s">
        <v>15</v>
      </c>
      <c r="B366" s="9" t="s">
        <v>51</v>
      </c>
      <c r="C366" s="10" t="s">
        <v>21</v>
      </c>
      <c r="D366" s="9" t="s">
        <v>13</v>
      </c>
      <c r="E366" s="9" t="s">
        <v>47</v>
      </c>
      <c r="F366" s="10">
        <v>1367</v>
      </c>
      <c r="G366" s="11">
        <v>44326</v>
      </c>
      <c r="H366" s="14">
        <f t="shared" si="10"/>
        <v>2021</v>
      </c>
      <c r="I366" s="12">
        <f>64.75*51798</f>
        <v>3353920.5</v>
      </c>
      <c r="J366" s="10">
        <v>2225</v>
      </c>
      <c r="K366" s="11">
        <v>44768</v>
      </c>
      <c r="L366" s="14">
        <f t="shared" si="11"/>
        <v>2022</v>
      </c>
      <c r="M366" s="12">
        <v>3771558</v>
      </c>
    </row>
    <row r="367" spans="1:13" ht="15.75" customHeight="1" x14ac:dyDescent="0.25">
      <c r="A367" s="9" t="s">
        <v>10</v>
      </c>
      <c r="B367" s="9" t="s">
        <v>51</v>
      </c>
      <c r="C367" s="10" t="s">
        <v>21</v>
      </c>
      <c r="D367" s="9" t="s">
        <v>13</v>
      </c>
      <c r="E367" s="9" t="s">
        <v>69</v>
      </c>
      <c r="F367" s="10">
        <v>2567</v>
      </c>
      <c r="G367" s="11">
        <v>44473</v>
      </c>
      <c r="H367" s="14">
        <f t="shared" si="10"/>
        <v>2021</v>
      </c>
      <c r="I367" s="12">
        <f>3.2*52842</f>
        <v>169094.40000000002</v>
      </c>
      <c r="J367" s="10">
        <v>3257</v>
      </c>
      <c r="K367" s="11">
        <v>44862</v>
      </c>
      <c r="L367" s="14">
        <f t="shared" si="11"/>
        <v>2022</v>
      </c>
      <c r="M367" s="12">
        <v>0</v>
      </c>
    </row>
    <row r="368" spans="1:13" ht="15.75" customHeight="1" x14ac:dyDescent="0.25">
      <c r="A368" s="9" t="s">
        <v>15</v>
      </c>
      <c r="B368" s="9" t="s">
        <v>51</v>
      </c>
      <c r="C368" s="10" t="s">
        <v>21</v>
      </c>
      <c r="D368" s="9" t="s">
        <v>13</v>
      </c>
      <c r="E368" s="9" t="s">
        <v>14</v>
      </c>
      <c r="F368" s="10">
        <v>3419</v>
      </c>
      <c r="G368" s="11">
        <v>44554</v>
      </c>
      <c r="H368" s="14">
        <f t="shared" si="10"/>
        <v>2021</v>
      </c>
      <c r="I368" s="12">
        <f>100.1*52842</f>
        <v>5289484.1999999993</v>
      </c>
      <c r="J368" s="10">
        <v>2321</v>
      </c>
      <c r="K368" s="11">
        <v>44770</v>
      </c>
      <c r="L368" s="14">
        <f t="shared" si="11"/>
        <v>2022</v>
      </c>
      <c r="M368" s="12">
        <v>5830625</v>
      </c>
    </row>
    <row r="369" spans="1:15" ht="15.75" customHeight="1" x14ac:dyDescent="0.25">
      <c r="A369" s="9" t="s">
        <v>15</v>
      </c>
      <c r="B369" s="9" t="s">
        <v>51</v>
      </c>
      <c r="C369" s="10" t="s">
        <v>21</v>
      </c>
      <c r="D369" s="9" t="s">
        <v>13</v>
      </c>
      <c r="E369" s="9" t="s">
        <v>14</v>
      </c>
      <c r="F369" s="10">
        <v>193</v>
      </c>
      <c r="G369" s="11">
        <v>44580</v>
      </c>
      <c r="H369" s="14">
        <f t="shared" si="10"/>
        <v>2022</v>
      </c>
      <c r="I369" s="12">
        <f>10.5*54445</f>
        <v>571672.5</v>
      </c>
      <c r="J369" s="10">
        <v>2237</v>
      </c>
      <c r="K369" s="11">
        <v>44768</v>
      </c>
      <c r="L369" s="14">
        <f t="shared" si="11"/>
        <v>2022</v>
      </c>
      <c r="M369" s="12">
        <v>611604</v>
      </c>
    </row>
    <row r="370" spans="1:15" ht="15.75" customHeight="1" x14ac:dyDescent="0.25">
      <c r="A370" s="9" t="s">
        <v>15</v>
      </c>
      <c r="B370" s="9" t="s">
        <v>51</v>
      </c>
      <c r="C370" s="10" t="s">
        <v>21</v>
      </c>
      <c r="D370" s="9" t="s">
        <v>13</v>
      </c>
      <c r="E370" s="9" t="s">
        <v>47</v>
      </c>
      <c r="F370" s="10">
        <v>195</v>
      </c>
      <c r="G370" s="11">
        <v>44580</v>
      </c>
      <c r="H370" s="14">
        <f t="shared" si="10"/>
        <v>2022</v>
      </c>
      <c r="I370" s="12">
        <f>15.75*54445</f>
        <v>857508.75</v>
      </c>
      <c r="J370" s="10">
        <v>2238</v>
      </c>
      <c r="K370" s="11">
        <v>44768</v>
      </c>
      <c r="L370" s="14">
        <f t="shared" si="11"/>
        <v>2022</v>
      </c>
      <c r="M370" s="12">
        <v>917406</v>
      </c>
    </row>
    <row r="371" spans="1:15" ht="15.75" customHeight="1" x14ac:dyDescent="0.25">
      <c r="A371" s="9" t="s">
        <v>15</v>
      </c>
      <c r="B371" s="9" t="s">
        <v>51</v>
      </c>
      <c r="C371" s="10" t="s">
        <v>21</v>
      </c>
      <c r="D371" s="9" t="s">
        <v>13</v>
      </c>
      <c r="E371" s="9" t="s">
        <v>47</v>
      </c>
      <c r="F371" s="10">
        <v>196</v>
      </c>
      <c r="G371" s="11">
        <v>44580</v>
      </c>
      <c r="H371" s="14">
        <f t="shared" si="10"/>
        <v>2022</v>
      </c>
      <c r="I371" s="12">
        <f>252*54445</f>
        <v>13720140</v>
      </c>
      <c r="J371" s="10">
        <v>2231</v>
      </c>
      <c r="K371" s="11">
        <v>44768</v>
      </c>
      <c r="L371" s="14">
        <f t="shared" si="11"/>
        <v>2022</v>
      </c>
      <c r="M371" s="12">
        <v>14678496</v>
      </c>
    </row>
    <row r="372" spans="1:15" ht="15.75" customHeight="1" x14ac:dyDescent="0.25">
      <c r="A372" s="9" t="s">
        <v>15</v>
      </c>
      <c r="B372" s="9" t="s">
        <v>51</v>
      </c>
      <c r="C372" s="10" t="s">
        <v>21</v>
      </c>
      <c r="D372" s="9" t="s">
        <v>13</v>
      </c>
      <c r="E372" s="9" t="s">
        <v>14</v>
      </c>
      <c r="F372" s="10">
        <v>197</v>
      </c>
      <c r="G372" s="11">
        <v>44580</v>
      </c>
      <c r="H372" s="14">
        <f t="shared" si="10"/>
        <v>2022</v>
      </c>
      <c r="I372" s="12">
        <f>21*54445</f>
        <v>1143345</v>
      </c>
      <c r="J372" s="10">
        <v>2232</v>
      </c>
      <c r="K372" s="11">
        <v>44768</v>
      </c>
      <c r="L372" s="14">
        <f t="shared" si="11"/>
        <v>2022</v>
      </c>
      <c r="M372" s="12">
        <v>1223208</v>
      </c>
    </row>
    <row r="373" spans="1:15" ht="15.75" customHeight="1" x14ac:dyDescent="0.25">
      <c r="A373" s="9" t="s">
        <v>10</v>
      </c>
      <c r="B373" s="9" t="s">
        <v>51</v>
      </c>
      <c r="C373" s="10" t="s">
        <v>21</v>
      </c>
      <c r="D373" s="9" t="s">
        <v>13</v>
      </c>
      <c r="E373" s="9" t="s">
        <v>14</v>
      </c>
      <c r="F373" s="10">
        <v>1887</v>
      </c>
      <c r="G373" s="11">
        <v>44748</v>
      </c>
      <c r="H373" s="14">
        <f t="shared" si="10"/>
        <v>2022</v>
      </c>
      <c r="I373" s="12">
        <f>17.31*58248</f>
        <v>1008272.8799999999</v>
      </c>
      <c r="J373" s="10">
        <v>4083</v>
      </c>
      <c r="K373" s="11">
        <v>44923</v>
      </c>
      <c r="L373" s="14">
        <f t="shared" si="11"/>
        <v>2022</v>
      </c>
      <c r="M373" s="12">
        <v>1058628</v>
      </c>
    </row>
    <row r="374" spans="1:15" ht="15.75" customHeight="1" x14ac:dyDescent="0.25">
      <c r="A374" s="9" t="s">
        <v>15</v>
      </c>
      <c r="B374" s="9" t="s">
        <v>51</v>
      </c>
      <c r="C374" s="10" t="s">
        <v>21</v>
      </c>
      <c r="D374" s="9" t="s">
        <v>83</v>
      </c>
      <c r="E374" s="9" t="s">
        <v>72</v>
      </c>
      <c r="F374" s="10">
        <v>2141</v>
      </c>
      <c r="G374" s="11">
        <v>44760</v>
      </c>
      <c r="H374" s="14">
        <f t="shared" si="10"/>
        <v>2022</v>
      </c>
      <c r="I374" s="12">
        <f>4590*58248</f>
        <v>267358320</v>
      </c>
      <c r="J374" s="10">
        <v>4129</v>
      </c>
      <c r="K374" s="11">
        <v>44924</v>
      </c>
      <c r="L374" s="14">
        <f t="shared" si="11"/>
        <v>2022</v>
      </c>
      <c r="M374" s="12">
        <v>280710630</v>
      </c>
    </row>
    <row r="375" spans="1:15" ht="15.75" customHeight="1" x14ac:dyDescent="0.25">
      <c r="A375" s="9" t="s">
        <v>15</v>
      </c>
      <c r="B375" s="9" t="s">
        <v>51</v>
      </c>
      <c r="C375" s="10" t="s">
        <v>21</v>
      </c>
      <c r="D375" s="9" t="s">
        <v>83</v>
      </c>
      <c r="E375" s="9" t="s">
        <v>72</v>
      </c>
      <c r="F375" s="10">
        <v>1627</v>
      </c>
      <c r="G375" s="11">
        <v>44713</v>
      </c>
      <c r="H375" s="14">
        <f t="shared" si="10"/>
        <v>2022</v>
      </c>
      <c r="I375" s="12">
        <f>204*57557</f>
        <v>11741628</v>
      </c>
      <c r="J375" s="10">
        <v>3745</v>
      </c>
      <c r="K375" s="11">
        <v>44908</v>
      </c>
      <c r="L375" s="14">
        <f t="shared" si="11"/>
        <v>2022</v>
      </c>
      <c r="M375" s="12">
        <v>12476028</v>
      </c>
    </row>
    <row r="376" spans="1:15" ht="15.75" customHeight="1" x14ac:dyDescent="0.25">
      <c r="A376" s="9" t="s">
        <v>15</v>
      </c>
      <c r="B376" s="9" t="s">
        <v>51</v>
      </c>
      <c r="C376" s="10" t="s">
        <v>21</v>
      </c>
      <c r="D376" s="9" t="s">
        <v>83</v>
      </c>
      <c r="E376" s="9" t="s">
        <v>72</v>
      </c>
      <c r="F376" s="10">
        <v>2142</v>
      </c>
      <c r="G376" s="11">
        <v>44760</v>
      </c>
      <c r="H376" s="14">
        <f t="shared" si="10"/>
        <v>2022</v>
      </c>
      <c r="I376" s="12">
        <f>346.26*58248</f>
        <v>20168952.48</v>
      </c>
      <c r="J376" s="10">
        <v>4081</v>
      </c>
      <c r="K376" s="11">
        <v>44915</v>
      </c>
      <c r="L376" s="14">
        <f t="shared" si="11"/>
        <v>2022</v>
      </c>
      <c r="M376" s="12">
        <v>21176223</v>
      </c>
    </row>
    <row r="377" spans="1:15" ht="15.75" customHeight="1" x14ac:dyDescent="0.25">
      <c r="A377" s="9" t="s">
        <v>59</v>
      </c>
      <c r="B377" s="9" t="s">
        <v>51</v>
      </c>
      <c r="C377" s="10" t="s">
        <v>21</v>
      </c>
      <c r="D377" s="9" t="s">
        <v>83</v>
      </c>
      <c r="E377" s="9" t="s">
        <v>72</v>
      </c>
      <c r="F377" s="10">
        <v>1888</v>
      </c>
      <c r="G377" s="11">
        <v>44748</v>
      </c>
      <c r="H377" s="14">
        <f t="shared" si="10"/>
        <v>2022</v>
      </c>
      <c r="I377" s="12">
        <f>424.3*58248</f>
        <v>24714626.400000002</v>
      </c>
      <c r="J377" s="10">
        <v>4130</v>
      </c>
      <c r="K377" s="11">
        <v>44924</v>
      </c>
      <c r="L377" s="14">
        <f t="shared" si="11"/>
        <v>2022</v>
      </c>
      <c r="M377" s="12">
        <v>25948915</v>
      </c>
    </row>
    <row r="378" spans="1:15" ht="15.75" customHeight="1" x14ac:dyDescent="0.25">
      <c r="A378" s="9" t="s">
        <v>15</v>
      </c>
      <c r="B378" s="9" t="s">
        <v>48</v>
      </c>
      <c r="C378" s="10" t="s">
        <v>21</v>
      </c>
      <c r="D378" s="9" t="s">
        <v>13</v>
      </c>
      <c r="E378" s="9" t="s">
        <v>14</v>
      </c>
      <c r="F378" s="10">
        <v>3207</v>
      </c>
      <c r="G378" s="11">
        <v>44195</v>
      </c>
      <c r="H378" s="14">
        <f t="shared" si="10"/>
        <v>2020</v>
      </c>
      <c r="I378" s="12">
        <f>58.1*51029</f>
        <v>2964784.9</v>
      </c>
      <c r="J378" s="10">
        <v>1454</v>
      </c>
      <c r="K378" s="11">
        <v>44700</v>
      </c>
      <c r="L378" s="14">
        <f t="shared" si="11"/>
        <v>2022</v>
      </c>
      <c r="M378" s="12">
        <v>3009464</v>
      </c>
      <c r="O378" s="8"/>
    </row>
    <row r="379" spans="1:15" ht="15.75" customHeight="1" x14ac:dyDescent="0.25">
      <c r="A379" s="9" t="s">
        <v>15</v>
      </c>
      <c r="B379" s="9" t="s">
        <v>48</v>
      </c>
      <c r="C379" s="10" t="s">
        <v>21</v>
      </c>
      <c r="D379" s="9" t="s">
        <v>13</v>
      </c>
      <c r="E379" s="9" t="s">
        <v>47</v>
      </c>
      <c r="F379" s="10">
        <v>155</v>
      </c>
      <c r="G379" s="11">
        <v>44211</v>
      </c>
      <c r="H379" s="14">
        <f t="shared" si="10"/>
        <v>2021</v>
      </c>
      <c r="I379" s="12">
        <f>264.25*50978</f>
        <v>13470936.5</v>
      </c>
      <c r="J379" s="10">
        <v>4000</v>
      </c>
      <c r="K379" s="11">
        <v>44922</v>
      </c>
      <c r="L379" s="14">
        <f t="shared" si="11"/>
        <v>2022</v>
      </c>
      <c r="M379" s="12">
        <v>14127266</v>
      </c>
    </row>
    <row r="380" spans="1:15" ht="15.75" customHeight="1" x14ac:dyDescent="0.25">
      <c r="A380" s="9" t="s">
        <v>15</v>
      </c>
      <c r="B380" s="9" t="s">
        <v>48</v>
      </c>
      <c r="C380" s="10" t="s">
        <v>21</v>
      </c>
      <c r="D380" s="9" t="s">
        <v>13</v>
      </c>
      <c r="E380" s="9" t="s">
        <v>47</v>
      </c>
      <c r="F380" s="10">
        <v>157</v>
      </c>
      <c r="G380" s="11">
        <v>44211</v>
      </c>
      <c r="H380" s="14">
        <f t="shared" si="10"/>
        <v>2021</v>
      </c>
      <c r="I380" s="12">
        <f>36.57*50978</f>
        <v>1864265.46</v>
      </c>
      <c r="J380" s="10">
        <v>3833</v>
      </c>
      <c r="K380" s="11">
        <v>44911</v>
      </c>
      <c r="L380" s="14">
        <f t="shared" si="11"/>
        <v>2022</v>
      </c>
      <c r="M380" s="12">
        <v>1605371</v>
      </c>
    </row>
    <row r="381" spans="1:15" ht="15.75" customHeight="1" x14ac:dyDescent="0.25">
      <c r="A381" s="9" t="s">
        <v>15</v>
      </c>
      <c r="B381" s="9" t="s">
        <v>48</v>
      </c>
      <c r="C381" s="10" t="s">
        <v>21</v>
      </c>
      <c r="D381" s="9" t="s">
        <v>13</v>
      </c>
      <c r="E381" s="9" t="s">
        <v>47</v>
      </c>
      <c r="F381" s="10">
        <v>158</v>
      </c>
      <c r="G381" s="11">
        <v>44211</v>
      </c>
      <c r="H381" s="14">
        <f t="shared" si="10"/>
        <v>2021</v>
      </c>
      <c r="I381" s="12">
        <f>1373.75*50978</f>
        <v>70031027.5</v>
      </c>
      <c r="J381" s="10">
        <v>2945</v>
      </c>
      <c r="K381" s="11">
        <v>44834</v>
      </c>
      <c r="L381" s="14">
        <f t="shared" si="11"/>
        <v>2022</v>
      </c>
      <c r="M381" s="12">
        <v>74547389</v>
      </c>
    </row>
    <row r="382" spans="1:15" ht="15.75" customHeight="1" x14ac:dyDescent="0.25">
      <c r="A382" s="9" t="s">
        <v>15</v>
      </c>
      <c r="B382" s="9" t="s">
        <v>48</v>
      </c>
      <c r="C382" s="10" t="s">
        <v>21</v>
      </c>
      <c r="D382" s="9" t="s">
        <v>13</v>
      </c>
      <c r="E382" s="9" t="s">
        <v>47</v>
      </c>
      <c r="F382" s="10">
        <v>120</v>
      </c>
      <c r="G382" s="11">
        <v>44210</v>
      </c>
      <c r="H382" s="14">
        <f t="shared" si="10"/>
        <v>2021</v>
      </c>
      <c r="I382" s="12">
        <f>10.5*50978</f>
        <v>535269</v>
      </c>
      <c r="J382" s="10">
        <v>3999</v>
      </c>
      <c r="K382" s="11">
        <v>44922</v>
      </c>
      <c r="L382" s="14">
        <f t="shared" si="11"/>
        <v>2022</v>
      </c>
      <c r="M382" s="12">
        <v>642148</v>
      </c>
    </row>
    <row r="383" spans="1:15" ht="15.75" customHeight="1" x14ac:dyDescent="0.25">
      <c r="A383" s="9" t="s">
        <v>59</v>
      </c>
      <c r="B383" s="9" t="s">
        <v>48</v>
      </c>
      <c r="C383" s="10" t="s">
        <v>21</v>
      </c>
      <c r="D383" s="9" t="s">
        <v>13</v>
      </c>
      <c r="E383" s="9" t="s">
        <v>65</v>
      </c>
      <c r="F383" s="10">
        <v>1921</v>
      </c>
      <c r="G383" s="11">
        <v>44371</v>
      </c>
      <c r="H383" s="14">
        <f t="shared" si="10"/>
        <v>2021</v>
      </c>
      <c r="I383" s="12">
        <f>3.2*52005</f>
        <v>166416</v>
      </c>
      <c r="J383" s="10">
        <v>3252</v>
      </c>
      <c r="K383" s="11">
        <v>44862</v>
      </c>
      <c r="L383" s="14">
        <f t="shared" si="11"/>
        <v>2022</v>
      </c>
      <c r="M383" s="12">
        <v>0</v>
      </c>
    </row>
    <row r="384" spans="1:15" ht="15.75" customHeight="1" x14ac:dyDescent="0.25">
      <c r="A384" s="9" t="s">
        <v>10</v>
      </c>
      <c r="B384" s="9" t="s">
        <v>48</v>
      </c>
      <c r="C384" s="10" t="s">
        <v>21</v>
      </c>
      <c r="D384" s="9" t="s">
        <v>13</v>
      </c>
      <c r="E384" s="9" t="s">
        <v>69</v>
      </c>
      <c r="F384" s="10">
        <v>2571</v>
      </c>
      <c r="G384" s="11">
        <v>44473</v>
      </c>
      <c r="H384" s="14">
        <f t="shared" si="10"/>
        <v>2021</v>
      </c>
      <c r="I384" s="12">
        <f>5.8*52842</f>
        <v>306483.59999999998</v>
      </c>
      <c r="J384" s="10">
        <v>3498</v>
      </c>
      <c r="K384" s="11">
        <v>44890</v>
      </c>
      <c r="L384" s="14">
        <f t="shared" si="11"/>
        <v>2022</v>
      </c>
      <c r="M384" s="12">
        <v>352947</v>
      </c>
    </row>
    <row r="385" spans="1:13" ht="15.75" customHeight="1" x14ac:dyDescent="0.25">
      <c r="A385" s="9" t="s">
        <v>15</v>
      </c>
      <c r="B385" s="9" t="s">
        <v>48</v>
      </c>
      <c r="C385" s="10" t="s">
        <v>21</v>
      </c>
      <c r="D385" s="9" t="s">
        <v>13</v>
      </c>
      <c r="E385" s="9" t="s">
        <v>47</v>
      </c>
      <c r="F385" s="10">
        <v>199</v>
      </c>
      <c r="G385" s="11">
        <v>44580</v>
      </c>
      <c r="H385" s="14">
        <f t="shared" si="10"/>
        <v>2022</v>
      </c>
      <c r="I385" s="12">
        <f>68.6*54445</f>
        <v>3734926.9999999995</v>
      </c>
      <c r="J385" s="10">
        <v>2941</v>
      </c>
      <c r="K385" s="11">
        <v>44834</v>
      </c>
      <c r="L385" s="14">
        <f t="shared" si="11"/>
        <v>2022</v>
      </c>
      <c r="M385" s="12">
        <v>2815864</v>
      </c>
    </row>
    <row r="386" spans="1:13" ht="15.75" customHeight="1" x14ac:dyDescent="0.25">
      <c r="A386" s="9" t="s">
        <v>10</v>
      </c>
      <c r="B386" s="9" t="s">
        <v>48</v>
      </c>
      <c r="C386" s="10" t="s">
        <v>21</v>
      </c>
      <c r="D386" s="9" t="s">
        <v>13</v>
      </c>
      <c r="E386" s="9" t="s">
        <v>14</v>
      </c>
      <c r="F386" s="10">
        <v>1891</v>
      </c>
      <c r="G386" s="11">
        <v>44748</v>
      </c>
      <c r="H386" s="14">
        <f t="shared" si="10"/>
        <v>2022</v>
      </c>
      <c r="I386" s="12">
        <f>3.14*58248</f>
        <v>182898.72</v>
      </c>
      <c r="J386" s="10">
        <v>3633</v>
      </c>
      <c r="K386" s="11">
        <v>44901</v>
      </c>
      <c r="L386" s="14">
        <f t="shared" si="11"/>
        <v>2022</v>
      </c>
      <c r="M386" s="12">
        <v>192033</v>
      </c>
    </row>
    <row r="387" spans="1:13" ht="15.75" customHeight="1" x14ac:dyDescent="0.25">
      <c r="A387" s="9" t="s">
        <v>15</v>
      </c>
      <c r="B387" s="9" t="s">
        <v>48</v>
      </c>
      <c r="C387" s="10" t="s">
        <v>21</v>
      </c>
      <c r="D387" s="9" t="s">
        <v>13</v>
      </c>
      <c r="E387" s="9" t="s">
        <v>23</v>
      </c>
      <c r="F387" s="10">
        <v>2319</v>
      </c>
      <c r="G387" s="11">
        <v>44801</v>
      </c>
      <c r="H387" s="14">
        <f t="shared" si="10"/>
        <v>2022</v>
      </c>
      <c r="I387" s="12">
        <v>43311880</v>
      </c>
      <c r="J387" s="10">
        <v>3199</v>
      </c>
      <c r="K387" s="11">
        <v>44860</v>
      </c>
      <c r="L387" s="14">
        <f t="shared" si="11"/>
        <v>2022</v>
      </c>
      <c r="M387" s="12">
        <v>9084228</v>
      </c>
    </row>
    <row r="388" spans="1:13" ht="15.75" customHeight="1" x14ac:dyDescent="0.25">
      <c r="A388" s="9" t="s">
        <v>15</v>
      </c>
      <c r="B388" s="9" t="s">
        <v>48</v>
      </c>
      <c r="C388" s="10" t="s">
        <v>21</v>
      </c>
      <c r="D388" s="9" t="s">
        <v>83</v>
      </c>
      <c r="E388" s="9" t="s">
        <v>72</v>
      </c>
      <c r="F388" s="10">
        <v>2106</v>
      </c>
      <c r="G388" s="11">
        <v>44760</v>
      </c>
      <c r="H388" s="14">
        <f t="shared" ref="H388:H399" si="12">YEAR(G388)</f>
        <v>2022</v>
      </c>
      <c r="I388" s="12">
        <f>145.4*58248</f>
        <v>8469259.2000000011</v>
      </c>
      <c r="J388" s="10">
        <v>3744</v>
      </c>
      <c r="K388" s="11">
        <v>44908</v>
      </c>
      <c r="L388" s="14">
        <f t="shared" ref="L388:L399" si="13">YEAR(K388)</f>
        <v>2022</v>
      </c>
      <c r="M388" s="12">
        <f>145.4*61157</f>
        <v>8892227.8000000007</v>
      </c>
    </row>
    <row r="389" spans="1:13" ht="15.75" customHeight="1" x14ac:dyDescent="0.25">
      <c r="A389" s="9" t="s">
        <v>15</v>
      </c>
      <c r="B389" s="9" t="s">
        <v>48</v>
      </c>
      <c r="C389" s="10" t="s">
        <v>21</v>
      </c>
      <c r="D389" s="9" t="s">
        <v>83</v>
      </c>
      <c r="E389" s="9" t="s">
        <v>72</v>
      </c>
      <c r="F389" s="10">
        <v>1621</v>
      </c>
      <c r="G389" s="11">
        <v>44713</v>
      </c>
      <c r="H389" s="14">
        <f t="shared" si="12"/>
        <v>2022</v>
      </c>
      <c r="I389" s="12">
        <f>212*57557</f>
        <v>12202084</v>
      </c>
      <c r="J389" s="10">
        <v>4132</v>
      </c>
      <c r="K389" s="11">
        <v>44924</v>
      </c>
      <c r="L389" s="14">
        <f t="shared" si="13"/>
        <v>2022</v>
      </c>
      <c r="M389" s="12">
        <v>6360328</v>
      </c>
    </row>
    <row r="390" spans="1:13" ht="15.75" customHeight="1" x14ac:dyDescent="0.25">
      <c r="A390" s="9" t="s">
        <v>15</v>
      </c>
      <c r="B390" s="9" t="s">
        <v>48</v>
      </c>
      <c r="C390" s="10" t="s">
        <v>21</v>
      </c>
      <c r="D390" s="9" t="s">
        <v>83</v>
      </c>
      <c r="E390" s="9" t="s">
        <v>72</v>
      </c>
      <c r="F390" s="10">
        <v>1643</v>
      </c>
      <c r="G390" s="11">
        <v>44714</v>
      </c>
      <c r="H390" s="14">
        <f t="shared" si="12"/>
        <v>2022</v>
      </c>
      <c r="I390" s="12">
        <f>101*57557</f>
        <v>5813257</v>
      </c>
      <c r="J390" s="10">
        <v>3967</v>
      </c>
      <c r="K390" s="11">
        <v>44918</v>
      </c>
      <c r="L390" s="14">
        <f t="shared" si="13"/>
        <v>2022</v>
      </c>
      <c r="M390" s="12">
        <v>6176857</v>
      </c>
    </row>
    <row r="391" spans="1:13" ht="15.75" customHeight="1" x14ac:dyDescent="0.25">
      <c r="A391" s="9" t="s">
        <v>59</v>
      </c>
      <c r="B391" s="9" t="s">
        <v>48</v>
      </c>
      <c r="C391" s="10" t="s">
        <v>21</v>
      </c>
      <c r="D391" s="9" t="s">
        <v>13</v>
      </c>
      <c r="E391" s="9" t="s">
        <v>14</v>
      </c>
      <c r="F391" s="10">
        <v>2344</v>
      </c>
      <c r="G391" s="11">
        <v>44771</v>
      </c>
      <c r="H391" s="14">
        <f t="shared" si="12"/>
        <v>2022</v>
      </c>
      <c r="I391" s="12">
        <f>69.3*58248</f>
        <v>4036586.4</v>
      </c>
      <c r="J391" s="10">
        <v>3634</v>
      </c>
      <c r="K391" s="11">
        <v>44901</v>
      </c>
      <c r="L391" s="14">
        <f t="shared" si="13"/>
        <v>2022</v>
      </c>
      <c r="M391" s="12">
        <v>4238180</v>
      </c>
    </row>
    <row r="392" spans="1:13" ht="15.75" customHeight="1" x14ac:dyDescent="0.25">
      <c r="A392" s="9" t="s">
        <v>10</v>
      </c>
      <c r="B392" s="9" t="s">
        <v>48</v>
      </c>
      <c r="C392" s="10" t="s">
        <v>21</v>
      </c>
      <c r="D392" s="9" t="s">
        <v>13</v>
      </c>
      <c r="E392" s="9" t="s">
        <v>14</v>
      </c>
      <c r="F392" s="10">
        <v>2070</v>
      </c>
      <c r="G392" s="11">
        <v>44754</v>
      </c>
      <c r="H392" s="14">
        <f t="shared" si="12"/>
        <v>2022</v>
      </c>
      <c r="I392" s="12">
        <f>315.7*58248</f>
        <v>18388893.599999998</v>
      </c>
      <c r="J392" s="10">
        <v>3632</v>
      </c>
      <c r="K392" s="11">
        <v>44901</v>
      </c>
      <c r="L392" s="14">
        <f t="shared" si="13"/>
        <v>2022</v>
      </c>
      <c r="M392" s="12">
        <v>19307265</v>
      </c>
    </row>
    <row r="393" spans="1:13" ht="15.75" customHeight="1" x14ac:dyDescent="0.25">
      <c r="A393" s="9" t="s">
        <v>59</v>
      </c>
      <c r="B393" s="9" t="s">
        <v>48</v>
      </c>
      <c r="C393" s="10" t="s">
        <v>21</v>
      </c>
      <c r="D393" s="9" t="s">
        <v>83</v>
      </c>
      <c r="E393" s="9" t="s">
        <v>72</v>
      </c>
      <c r="F393" s="10">
        <v>1894</v>
      </c>
      <c r="G393" s="11">
        <v>44748</v>
      </c>
      <c r="H393" s="14">
        <f t="shared" si="12"/>
        <v>2022</v>
      </c>
      <c r="I393" s="12">
        <f>305.13*58248</f>
        <v>17773212.239999998</v>
      </c>
      <c r="J393" s="10">
        <v>3694</v>
      </c>
      <c r="K393" s="11">
        <v>44918</v>
      </c>
      <c r="L393" s="14">
        <f t="shared" si="13"/>
        <v>2022</v>
      </c>
      <c r="M393" s="12">
        <v>18660835</v>
      </c>
    </row>
    <row r="394" spans="1:13" ht="15.75" customHeight="1" x14ac:dyDescent="0.25">
      <c r="A394" s="9" t="s">
        <v>59</v>
      </c>
      <c r="B394" s="9" t="s">
        <v>48</v>
      </c>
      <c r="C394" s="10" t="s">
        <v>21</v>
      </c>
      <c r="D394" s="9" t="s">
        <v>83</v>
      </c>
      <c r="E394" s="9" t="s">
        <v>72</v>
      </c>
      <c r="F394" s="10">
        <v>1893</v>
      </c>
      <c r="G394" s="11">
        <v>44748</v>
      </c>
      <c r="H394" s="14">
        <f t="shared" si="12"/>
        <v>2022</v>
      </c>
      <c r="I394" s="12">
        <f>201.98*58248</f>
        <v>11764931.039999999</v>
      </c>
      <c r="J394" s="10">
        <v>3968</v>
      </c>
      <c r="K394" s="11">
        <v>44918</v>
      </c>
      <c r="L394" s="14">
        <f t="shared" si="13"/>
        <v>2022</v>
      </c>
      <c r="M394" s="12">
        <v>12352491</v>
      </c>
    </row>
    <row r="395" spans="1:13" ht="15.75" customHeight="1" x14ac:dyDescent="0.25">
      <c r="A395" s="9" t="s">
        <v>59</v>
      </c>
      <c r="B395" s="9" t="s">
        <v>48</v>
      </c>
      <c r="C395" s="10" t="s">
        <v>21</v>
      </c>
      <c r="D395" s="9" t="s">
        <v>83</v>
      </c>
      <c r="E395" s="9" t="s">
        <v>72</v>
      </c>
      <c r="F395" s="10">
        <v>1895</v>
      </c>
      <c r="G395" s="11">
        <v>44748</v>
      </c>
      <c r="H395" s="14">
        <f t="shared" si="12"/>
        <v>2022</v>
      </c>
      <c r="I395" s="12">
        <f>101.98*58248</f>
        <v>5940131.04</v>
      </c>
      <c r="J395" s="10">
        <v>3965</v>
      </c>
      <c r="K395" s="11">
        <v>44918</v>
      </c>
      <c r="L395" s="14">
        <f t="shared" si="13"/>
        <v>2022</v>
      </c>
      <c r="M395" s="12">
        <v>6236791</v>
      </c>
    </row>
    <row r="396" spans="1:13" ht="15.75" customHeight="1" x14ac:dyDescent="0.25">
      <c r="A396" s="9" t="s">
        <v>10</v>
      </c>
      <c r="B396" s="9" t="s">
        <v>48</v>
      </c>
      <c r="C396" s="10" t="s">
        <v>21</v>
      </c>
      <c r="D396" s="9" t="s">
        <v>83</v>
      </c>
      <c r="E396" s="9" t="s">
        <v>72</v>
      </c>
      <c r="F396" s="10">
        <v>2942</v>
      </c>
      <c r="G396" s="11">
        <v>44834</v>
      </c>
      <c r="H396" s="14">
        <f t="shared" si="12"/>
        <v>2022</v>
      </c>
      <c r="I396" s="12">
        <f>202.97*59595</f>
        <v>12095997.15</v>
      </c>
      <c r="J396" s="10">
        <v>3966</v>
      </c>
      <c r="K396" s="11">
        <v>44918</v>
      </c>
      <c r="L396" s="14">
        <f t="shared" si="13"/>
        <v>2022</v>
      </c>
      <c r="M396" s="12">
        <v>12413036</v>
      </c>
    </row>
    <row r="397" spans="1:13" ht="15.75" customHeight="1" x14ac:dyDescent="0.25">
      <c r="A397" s="9" t="s">
        <v>10</v>
      </c>
      <c r="B397" s="9" t="s">
        <v>48</v>
      </c>
      <c r="C397" s="10" t="s">
        <v>21</v>
      </c>
      <c r="D397" s="9" t="s">
        <v>83</v>
      </c>
      <c r="E397" s="9" t="s">
        <v>72</v>
      </c>
      <c r="F397" s="10">
        <v>2944</v>
      </c>
      <c r="G397" s="11">
        <v>44834</v>
      </c>
      <c r="H397" s="14">
        <f t="shared" si="12"/>
        <v>2022</v>
      </c>
      <c r="I397" s="12">
        <f>416.47*59595</f>
        <v>24819529.650000002</v>
      </c>
      <c r="J397" s="10">
        <v>4131</v>
      </c>
      <c r="K397" s="11">
        <v>44924</v>
      </c>
      <c r="L397" s="14">
        <f t="shared" si="13"/>
        <v>2022</v>
      </c>
      <c r="M397" s="12">
        <f>416.47*61157</f>
        <v>25470055.790000003</v>
      </c>
    </row>
    <row r="398" spans="1:13" ht="15.75" customHeight="1" x14ac:dyDescent="0.25">
      <c r="A398" s="9" t="s">
        <v>15</v>
      </c>
      <c r="B398" s="9" t="s">
        <v>48</v>
      </c>
      <c r="C398" s="10" t="s">
        <v>21</v>
      </c>
      <c r="D398" s="9" t="s">
        <v>13</v>
      </c>
      <c r="E398" s="9" t="s">
        <v>65</v>
      </c>
      <c r="F398" s="10">
        <v>2813</v>
      </c>
      <c r="G398" s="11">
        <v>44830</v>
      </c>
      <c r="H398" s="14">
        <f t="shared" si="12"/>
        <v>2022</v>
      </c>
      <c r="I398" s="12">
        <f>2.4*59595</f>
        <v>143028</v>
      </c>
      <c r="J398" s="10">
        <v>3635</v>
      </c>
      <c r="K398" s="11">
        <v>44901</v>
      </c>
      <c r="L398" s="14">
        <f t="shared" si="13"/>
        <v>2022</v>
      </c>
      <c r="M398" s="12">
        <v>146777</v>
      </c>
    </row>
    <row r="399" spans="1:13" ht="15.75" customHeight="1" x14ac:dyDescent="0.25">
      <c r="A399" s="9" t="s">
        <v>15</v>
      </c>
      <c r="B399" s="9" t="s">
        <v>48</v>
      </c>
      <c r="C399" s="10" t="s">
        <v>21</v>
      </c>
      <c r="D399" s="9" t="s">
        <v>13</v>
      </c>
      <c r="E399" s="9" t="s">
        <v>65</v>
      </c>
      <c r="F399" s="10">
        <v>2812</v>
      </c>
      <c r="G399" s="11">
        <v>44830</v>
      </c>
      <c r="H399" s="14">
        <f t="shared" si="12"/>
        <v>2022</v>
      </c>
      <c r="I399" s="12">
        <f>5.6*59595</f>
        <v>333732</v>
      </c>
      <c r="J399" s="10">
        <v>3743</v>
      </c>
      <c r="K399" s="11">
        <v>44908</v>
      </c>
      <c r="L399" s="14">
        <f t="shared" si="13"/>
        <v>2022</v>
      </c>
      <c r="M399" s="12">
        <v>342479</v>
      </c>
    </row>
    <row r="400" spans="1:13" ht="15.75" customHeight="1" x14ac:dyDescent="0.25">
      <c r="A400" s="9" t="s">
        <v>10</v>
      </c>
      <c r="B400" s="9" t="s">
        <v>33</v>
      </c>
      <c r="C400" s="10" t="s">
        <v>12</v>
      </c>
      <c r="D400" s="9" t="s">
        <v>13</v>
      </c>
      <c r="E400" s="9" t="s">
        <v>72</v>
      </c>
      <c r="F400" s="10">
        <v>19</v>
      </c>
      <c r="G400" s="11">
        <v>44210</v>
      </c>
      <c r="H400" s="11"/>
      <c r="I400" s="12">
        <v>3388473</v>
      </c>
      <c r="J400" s="10">
        <v>443</v>
      </c>
      <c r="K400" s="11">
        <v>44602</v>
      </c>
      <c r="L400" s="11"/>
      <c r="M400" s="12">
        <v>3388473</v>
      </c>
    </row>
    <row r="401" spans="1:13" ht="15.75" customHeight="1" x14ac:dyDescent="0.25">
      <c r="A401" s="9" t="s">
        <v>15</v>
      </c>
      <c r="B401" s="9" t="s">
        <v>29</v>
      </c>
      <c r="C401" s="10" t="s">
        <v>21</v>
      </c>
      <c r="D401" s="9" t="s">
        <v>49</v>
      </c>
      <c r="E401" s="9" t="s">
        <v>47</v>
      </c>
      <c r="F401" s="10">
        <v>3068</v>
      </c>
      <c r="G401" s="11">
        <v>44187</v>
      </c>
      <c r="H401" s="14">
        <f t="shared" ref="H401:H464" si="14">YEAR(G401)</f>
        <v>2020</v>
      </c>
      <c r="I401" s="12">
        <v>55417411</v>
      </c>
      <c r="J401" s="10">
        <v>3831</v>
      </c>
      <c r="K401" s="11">
        <v>44911</v>
      </c>
      <c r="L401" s="14">
        <f t="shared" ref="L401:L464" si="15">YEAR(K401)</f>
        <v>2022</v>
      </c>
      <c r="M401" s="12">
        <v>52763195</v>
      </c>
    </row>
    <row r="402" spans="1:13" ht="15.75" customHeight="1" x14ac:dyDescent="0.25">
      <c r="A402" s="9" t="s">
        <v>15</v>
      </c>
      <c r="B402" s="9" t="s">
        <v>29</v>
      </c>
      <c r="C402" s="10" t="s">
        <v>21</v>
      </c>
      <c r="D402" s="9" t="s">
        <v>41</v>
      </c>
      <c r="E402" s="9" t="s">
        <v>47</v>
      </c>
      <c r="F402" s="10">
        <v>127</v>
      </c>
      <c r="G402" s="11">
        <v>44210</v>
      </c>
      <c r="H402" s="14">
        <f t="shared" si="14"/>
        <v>2021</v>
      </c>
      <c r="I402" s="12">
        <f>38.5*50978</f>
        <v>1962653</v>
      </c>
      <c r="J402" s="10">
        <v>3017</v>
      </c>
      <c r="K402" s="11">
        <v>44834</v>
      </c>
      <c r="L402" s="14">
        <f t="shared" si="15"/>
        <v>2022</v>
      </c>
      <c r="M402" s="12">
        <v>1001197</v>
      </c>
    </row>
    <row r="403" spans="1:13" ht="15.75" customHeight="1" x14ac:dyDescent="0.25">
      <c r="A403" s="9" t="s">
        <v>15</v>
      </c>
      <c r="B403" s="9" t="s">
        <v>29</v>
      </c>
      <c r="C403" s="10" t="s">
        <v>21</v>
      </c>
      <c r="D403" s="9" t="s">
        <v>38</v>
      </c>
      <c r="E403" s="9" t="s">
        <v>47</v>
      </c>
      <c r="F403" s="10">
        <v>128</v>
      </c>
      <c r="G403" s="11">
        <v>44210</v>
      </c>
      <c r="H403" s="14">
        <f t="shared" si="14"/>
        <v>2021</v>
      </c>
      <c r="I403" s="12">
        <f>973*50978</f>
        <v>49601594</v>
      </c>
      <c r="J403" s="10">
        <v>3023</v>
      </c>
      <c r="K403" s="11">
        <v>44834</v>
      </c>
      <c r="L403" s="14">
        <f t="shared" si="15"/>
        <v>2022</v>
      </c>
      <c r="M403" s="12">
        <v>53271977</v>
      </c>
    </row>
    <row r="404" spans="1:13" ht="15.75" customHeight="1" x14ac:dyDescent="0.25">
      <c r="A404" s="9" t="s">
        <v>15</v>
      </c>
      <c r="B404" s="9" t="s">
        <v>29</v>
      </c>
      <c r="C404" s="10" t="s">
        <v>21</v>
      </c>
      <c r="D404" s="9" t="s">
        <v>49</v>
      </c>
      <c r="E404" s="9" t="s">
        <v>47</v>
      </c>
      <c r="F404" s="10">
        <v>129</v>
      </c>
      <c r="G404" s="11">
        <v>44210</v>
      </c>
      <c r="H404" s="14">
        <f t="shared" si="14"/>
        <v>2021</v>
      </c>
      <c r="I404" s="12">
        <f>702.45*50978</f>
        <v>35809496.100000001</v>
      </c>
      <c r="J404" s="10">
        <v>3015</v>
      </c>
      <c r="K404" s="11">
        <v>44834</v>
      </c>
      <c r="L404" s="14">
        <f t="shared" si="15"/>
        <v>2022</v>
      </c>
      <c r="M404" s="12">
        <v>39296948</v>
      </c>
    </row>
    <row r="405" spans="1:13" ht="15.75" customHeight="1" x14ac:dyDescent="0.25">
      <c r="A405" s="9" t="s">
        <v>15</v>
      </c>
      <c r="B405" s="9" t="s">
        <v>29</v>
      </c>
      <c r="C405" s="10" t="s">
        <v>21</v>
      </c>
      <c r="D405" s="9" t="s">
        <v>22</v>
      </c>
      <c r="E405" s="9" t="s">
        <v>47</v>
      </c>
      <c r="F405" s="10">
        <v>130</v>
      </c>
      <c r="G405" s="11">
        <v>44210</v>
      </c>
      <c r="H405" s="14">
        <f t="shared" si="14"/>
        <v>2021</v>
      </c>
      <c r="I405" s="12">
        <f>289.45*50978</f>
        <v>14755582.1</v>
      </c>
      <c r="J405" s="10">
        <v>2960</v>
      </c>
      <c r="K405" s="11">
        <v>44834</v>
      </c>
      <c r="L405" s="14">
        <f t="shared" si="15"/>
        <v>2022</v>
      </c>
      <c r="M405" s="12">
        <v>12097787</v>
      </c>
    </row>
    <row r="406" spans="1:13" ht="15.75" customHeight="1" x14ac:dyDescent="0.25">
      <c r="A406" s="9" t="s">
        <v>15</v>
      </c>
      <c r="B406" s="9" t="s">
        <v>29</v>
      </c>
      <c r="C406" s="10" t="s">
        <v>21</v>
      </c>
      <c r="D406" s="9" t="s">
        <v>38</v>
      </c>
      <c r="E406" s="9" t="s">
        <v>14</v>
      </c>
      <c r="F406" s="10">
        <v>205</v>
      </c>
      <c r="G406" s="11">
        <v>44215</v>
      </c>
      <c r="H406" s="14">
        <f t="shared" si="14"/>
        <v>2021</v>
      </c>
      <c r="I406" s="12">
        <f>96.25*50978</f>
        <v>4906632.5</v>
      </c>
      <c r="J406" s="10">
        <v>3014</v>
      </c>
      <c r="K406" s="11">
        <v>44834</v>
      </c>
      <c r="L406" s="14">
        <f t="shared" si="15"/>
        <v>2022</v>
      </c>
      <c r="M406" s="12">
        <v>5423146</v>
      </c>
    </row>
    <row r="407" spans="1:13" ht="15.75" customHeight="1" x14ac:dyDescent="0.25">
      <c r="A407" s="9" t="s">
        <v>59</v>
      </c>
      <c r="B407" s="9" t="s">
        <v>29</v>
      </c>
      <c r="C407" s="10" t="s">
        <v>21</v>
      </c>
      <c r="D407" s="9" t="s">
        <v>38</v>
      </c>
      <c r="E407" s="9" t="s">
        <v>19</v>
      </c>
      <c r="F407" s="10">
        <v>2286</v>
      </c>
      <c r="G407" s="11">
        <v>44770</v>
      </c>
      <c r="H407" s="14">
        <f t="shared" si="14"/>
        <v>2022</v>
      </c>
      <c r="I407" s="12">
        <v>2502976</v>
      </c>
      <c r="J407" s="10">
        <v>3145</v>
      </c>
      <c r="K407" s="11">
        <v>44852</v>
      </c>
      <c r="L407" s="14">
        <f t="shared" si="15"/>
        <v>2022</v>
      </c>
      <c r="M407" s="12">
        <v>2502976</v>
      </c>
    </row>
    <row r="408" spans="1:13" ht="15.75" customHeight="1" x14ac:dyDescent="0.25">
      <c r="A408" s="9" t="s">
        <v>10</v>
      </c>
      <c r="B408" s="9" t="s">
        <v>29</v>
      </c>
      <c r="C408" s="10" t="s">
        <v>21</v>
      </c>
      <c r="D408" s="9" t="s">
        <v>38</v>
      </c>
      <c r="E408" s="9" t="s">
        <v>19</v>
      </c>
      <c r="F408" s="10">
        <v>2288</v>
      </c>
      <c r="G408" s="11">
        <v>44770</v>
      </c>
      <c r="H408" s="14">
        <f t="shared" si="14"/>
        <v>2022</v>
      </c>
      <c r="I408" s="12">
        <v>8469534</v>
      </c>
      <c r="J408" s="10">
        <v>3147</v>
      </c>
      <c r="K408" s="11">
        <v>44852</v>
      </c>
      <c r="L408" s="14">
        <f t="shared" si="15"/>
        <v>2022</v>
      </c>
      <c r="M408" s="12">
        <v>8469534</v>
      </c>
    </row>
    <row r="409" spans="1:13" ht="15.75" customHeight="1" x14ac:dyDescent="0.25">
      <c r="A409" s="9" t="s">
        <v>59</v>
      </c>
      <c r="B409" s="9" t="s">
        <v>29</v>
      </c>
      <c r="C409" s="10" t="s">
        <v>21</v>
      </c>
      <c r="D409" s="9" t="s">
        <v>49</v>
      </c>
      <c r="E409" s="9" t="s">
        <v>19</v>
      </c>
      <c r="F409" s="10">
        <v>2290</v>
      </c>
      <c r="G409" s="11">
        <v>44770</v>
      </c>
      <c r="H409" s="14">
        <f t="shared" si="14"/>
        <v>2022</v>
      </c>
      <c r="I409" s="12">
        <v>984402</v>
      </c>
      <c r="J409" s="10">
        <v>3149</v>
      </c>
      <c r="K409" s="11">
        <v>44852</v>
      </c>
      <c r="L409" s="14">
        <f t="shared" si="15"/>
        <v>2022</v>
      </c>
      <c r="M409" s="12">
        <v>984402</v>
      </c>
    </row>
    <row r="410" spans="1:13" ht="15.75" customHeight="1" x14ac:dyDescent="0.25">
      <c r="A410" s="9" t="s">
        <v>10</v>
      </c>
      <c r="B410" s="9" t="s">
        <v>29</v>
      </c>
      <c r="C410" s="10" t="s">
        <v>21</v>
      </c>
      <c r="D410" s="9" t="s">
        <v>49</v>
      </c>
      <c r="E410" s="9" t="s">
        <v>19</v>
      </c>
      <c r="F410" s="10">
        <v>2287</v>
      </c>
      <c r="G410" s="11">
        <v>44770</v>
      </c>
      <c r="H410" s="14">
        <f t="shared" si="14"/>
        <v>2022</v>
      </c>
      <c r="I410" s="12">
        <v>733291</v>
      </c>
      <c r="J410" s="10">
        <v>3146</v>
      </c>
      <c r="K410" s="11">
        <v>44852</v>
      </c>
      <c r="L410" s="14">
        <f t="shared" si="15"/>
        <v>2022</v>
      </c>
      <c r="M410" s="12">
        <v>733291</v>
      </c>
    </row>
    <row r="411" spans="1:13" ht="15.75" customHeight="1" x14ac:dyDescent="0.25">
      <c r="A411" s="9" t="s">
        <v>15</v>
      </c>
      <c r="B411" s="9" t="s">
        <v>29</v>
      </c>
      <c r="C411" s="10" t="s">
        <v>21</v>
      </c>
      <c r="D411" s="9" t="s">
        <v>38</v>
      </c>
      <c r="E411" s="9" t="s">
        <v>47</v>
      </c>
      <c r="F411" s="10">
        <v>151</v>
      </c>
      <c r="G411" s="11">
        <v>44211</v>
      </c>
      <c r="H411" s="14">
        <f t="shared" si="14"/>
        <v>2021</v>
      </c>
      <c r="I411" s="12">
        <f>263.55*509783</f>
        <v>134353309.65000001</v>
      </c>
      <c r="J411" s="10">
        <v>2999</v>
      </c>
      <c r="K411" s="11">
        <v>44834</v>
      </c>
      <c r="L411" s="14">
        <f t="shared" si="15"/>
        <v>2022</v>
      </c>
      <c r="M411" s="12">
        <v>15685405</v>
      </c>
    </row>
    <row r="412" spans="1:13" ht="15.75" customHeight="1" x14ac:dyDescent="0.25">
      <c r="A412" s="9" t="s">
        <v>15</v>
      </c>
      <c r="B412" s="9" t="s">
        <v>29</v>
      </c>
      <c r="C412" s="10" t="s">
        <v>21</v>
      </c>
      <c r="D412" s="9" t="s">
        <v>49</v>
      </c>
      <c r="E412" s="9" t="s">
        <v>47</v>
      </c>
      <c r="F412" s="10">
        <v>140</v>
      </c>
      <c r="G412" s="11">
        <v>44211</v>
      </c>
      <c r="H412" s="14">
        <f t="shared" si="14"/>
        <v>2021</v>
      </c>
      <c r="I412" s="12">
        <f>273.7*50978</f>
        <v>13952678.6</v>
      </c>
      <c r="J412" s="10">
        <v>2962</v>
      </c>
      <c r="K412" s="11">
        <v>44834</v>
      </c>
      <c r="L412" s="14">
        <f t="shared" si="15"/>
        <v>2022</v>
      </c>
      <c r="M412" s="12">
        <v>37920302</v>
      </c>
    </row>
    <row r="413" spans="1:13" ht="15.75" customHeight="1" x14ac:dyDescent="0.25">
      <c r="A413" s="9" t="s">
        <v>15</v>
      </c>
      <c r="B413" s="9" t="s">
        <v>29</v>
      </c>
      <c r="C413" s="10" t="s">
        <v>21</v>
      </c>
      <c r="D413" s="9" t="s">
        <v>22</v>
      </c>
      <c r="E413" s="9" t="s">
        <v>47</v>
      </c>
      <c r="F413" s="10">
        <v>141</v>
      </c>
      <c r="G413" s="11">
        <v>44211</v>
      </c>
      <c r="H413" s="14">
        <f t="shared" si="14"/>
        <v>2021</v>
      </c>
      <c r="I413" s="12">
        <f>307.65*50978</f>
        <v>15683381.699999999</v>
      </c>
      <c r="J413" s="10">
        <v>2995</v>
      </c>
      <c r="K413" s="11">
        <v>44834</v>
      </c>
      <c r="L413" s="14">
        <f t="shared" si="15"/>
        <v>2022</v>
      </c>
      <c r="M413" s="12">
        <v>14788505</v>
      </c>
    </row>
    <row r="414" spans="1:13" ht="15.75" customHeight="1" x14ac:dyDescent="0.25">
      <c r="A414" s="9" t="s">
        <v>15</v>
      </c>
      <c r="B414" s="9" t="s">
        <v>29</v>
      </c>
      <c r="C414" s="10" t="s">
        <v>21</v>
      </c>
      <c r="D414" s="9" t="s">
        <v>41</v>
      </c>
      <c r="E414" s="9" t="s">
        <v>47</v>
      </c>
      <c r="F414" s="10">
        <v>142</v>
      </c>
      <c r="G414" s="11">
        <v>44211</v>
      </c>
      <c r="H414" s="14">
        <f t="shared" si="14"/>
        <v>2021</v>
      </c>
      <c r="I414" s="12">
        <f>2833.95*50978</f>
        <v>144469103.09999999</v>
      </c>
      <c r="J414" s="10">
        <v>3025</v>
      </c>
      <c r="K414" s="11">
        <v>44834</v>
      </c>
      <c r="L414" s="14">
        <f t="shared" si="15"/>
        <v>2022</v>
      </c>
      <c r="M414" s="12">
        <v>139458268</v>
      </c>
    </row>
    <row r="415" spans="1:13" ht="15.75" customHeight="1" x14ac:dyDescent="0.25">
      <c r="A415" s="9" t="s">
        <v>15</v>
      </c>
      <c r="B415" s="9" t="s">
        <v>29</v>
      </c>
      <c r="C415" s="10" t="s">
        <v>21</v>
      </c>
      <c r="D415" s="9" t="s">
        <v>38</v>
      </c>
      <c r="E415" s="9" t="s">
        <v>47</v>
      </c>
      <c r="F415" s="10">
        <v>144</v>
      </c>
      <c r="G415" s="11">
        <v>44211</v>
      </c>
      <c r="H415" s="14">
        <f t="shared" si="14"/>
        <v>2021</v>
      </c>
      <c r="I415" s="12">
        <f>671.65*50978</f>
        <v>34239373.699999996</v>
      </c>
      <c r="J415" s="10">
        <v>3013</v>
      </c>
      <c r="K415" s="11">
        <v>44834</v>
      </c>
      <c r="L415" s="14">
        <f t="shared" si="15"/>
        <v>2022</v>
      </c>
      <c r="M415" s="12">
        <v>37920302</v>
      </c>
    </row>
    <row r="416" spans="1:13" ht="15.75" customHeight="1" x14ac:dyDescent="0.25">
      <c r="A416" s="9" t="s">
        <v>15</v>
      </c>
      <c r="B416" s="9" t="s">
        <v>29</v>
      </c>
      <c r="C416" s="10" t="s">
        <v>21</v>
      </c>
      <c r="D416" s="9" t="s">
        <v>22</v>
      </c>
      <c r="E416" s="9" t="s">
        <v>47</v>
      </c>
      <c r="F416" s="10">
        <v>145</v>
      </c>
      <c r="G416" s="11">
        <v>44211</v>
      </c>
      <c r="H416" s="14">
        <f t="shared" si="14"/>
        <v>2021</v>
      </c>
      <c r="I416" s="12">
        <f>643.3*50978</f>
        <v>32794147.399999999</v>
      </c>
      <c r="J416" s="10">
        <v>3018</v>
      </c>
      <c r="K416" s="11">
        <v>44834</v>
      </c>
      <c r="L416" s="14">
        <f t="shared" si="15"/>
        <v>2022</v>
      </c>
      <c r="M416" s="12">
        <v>29284987</v>
      </c>
    </row>
    <row r="417" spans="1:13" ht="15.75" customHeight="1" x14ac:dyDescent="0.25">
      <c r="A417" s="9" t="s">
        <v>15</v>
      </c>
      <c r="B417" s="9" t="s">
        <v>29</v>
      </c>
      <c r="C417" s="10" t="s">
        <v>21</v>
      </c>
      <c r="D417" s="9" t="s">
        <v>41</v>
      </c>
      <c r="E417" s="9" t="s">
        <v>47</v>
      </c>
      <c r="F417" s="10">
        <v>146</v>
      </c>
      <c r="G417" s="11">
        <v>44211</v>
      </c>
      <c r="H417" s="14">
        <f t="shared" si="14"/>
        <v>2021</v>
      </c>
      <c r="I417" s="12">
        <f>1122.45*50978</f>
        <v>57220256.100000001</v>
      </c>
      <c r="J417" s="10">
        <v>3022</v>
      </c>
      <c r="K417" s="11">
        <v>44834</v>
      </c>
      <c r="L417" s="14">
        <f t="shared" si="15"/>
        <v>2022</v>
      </c>
      <c r="M417" s="12">
        <v>48432861</v>
      </c>
    </row>
    <row r="418" spans="1:13" ht="15.75" customHeight="1" x14ac:dyDescent="0.25">
      <c r="A418" s="9" t="s">
        <v>15</v>
      </c>
      <c r="B418" s="9" t="s">
        <v>29</v>
      </c>
      <c r="C418" s="10" t="s">
        <v>21</v>
      </c>
      <c r="D418" s="9" t="s">
        <v>41</v>
      </c>
      <c r="E418" s="9" t="s">
        <v>47</v>
      </c>
      <c r="F418" s="10">
        <v>152</v>
      </c>
      <c r="G418" s="11">
        <v>44211</v>
      </c>
      <c r="H418" s="14">
        <f t="shared" si="14"/>
        <v>2021</v>
      </c>
      <c r="I418" s="12">
        <f>595.35*50978</f>
        <v>30349752.300000001</v>
      </c>
      <c r="J418" s="10">
        <v>3016</v>
      </c>
      <c r="K418" s="11">
        <v>44834</v>
      </c>
      <c r="L418" s="14">
        <f t="shared" si="15"/>
        <v>2022</v>
      </c>
      <c r="M418" s="12">
        <v>27449459</v>
      </c>
    </row>
    <row r="419" spans="1:13" ht="15.75" customHeight="1" x14ac:dyDescent="0.25">
      <c r="A419" s="9" t="s">
        <v>15</v>
      </c>
      <c r="B419" s="9" t="s">
        <v>29</v>
      </c>
      <c r="C419" s="10" t="s">
        <v>21</v>
      </c>
      <c r="D419" s="9" t="s">
        <v>49</v>
      </c>
      <c r="E419" s="9" t="s">
        <v>47</v>
      </c>
      <c r="F419" s="10">
        <v>153</v>
      </c>
      <c r="G419" s="11">
        <v>44211</v>
      </c>
      <c r="H419" s="14">
        <f t="shared" si="14"/>
        <v>2021</v>
      </c>
      <c r="I419" s="12">
        <f>33.6*50978</f>
        <v>1712860.8</v>
      </c>
      <c r="J419" s="10">
        <v>3436</v>
      </c>
      <c r="K419" s="11">
        <v>44886</v>
      </c>
      <c r="L419" s="14">
        <f t="shared" si="15"/>
        <v>2022</v>
      </c>
      <c r="M419" s="12">
        <v>2044662</v>
      </c>
    </row>
    <row r="420" spans="1:13" ht="15.75" customHeight="1" x14ac:dyDescent="0.25">
      <c r="A420" s="9" t="s">
        <v>15</v>
      </c>
      <c r="B420" s="9" t="s">
        <v>29</v>
      </c>
      <c r="C420" s="10" t="s">
        <v>21</v>
      </c>
      <c r="D420" s="9" t="s">
        <v>22</v>
      </c>
      <c r="E420" s="9" t="s">
        <v>47</v>
      </c>
      <c r="F420" s="10">
        <v>154</v>
      </c>
      <c r="G420" s="11">
        <v>44211</v>
      </c>
      <c r="H420" s="14">
        <f t="shared" si="14"/>
        <v>2021</v>
      </c>
      <c r="I420" s="12">
        <f>74.55*50978</f>
        <v>3800409.9</v>
      </c>
      <c r="J420" s="10">
        <v>3012</v>
      </c>
      <c r="K420" s="11">
        <v>44834</v>
      </c>
      <c r="L420" s="14">
        <f t="shared" si="15"/>
        <v>2022</v>
      </c>
      <c r="M420" s="12">
        <v>3170455</v>
      </c>
    </row>
    <row r="421" spans="1:13" ht="15.75" customHeight="1" x14ac:dyDescent="0.25">
      <c r="A421" s="9" t="s">
        <v>15</v>
      </c>
      <c r="B421" s="9" t="s">
        <v>29</v>
      </c>
      <c r="C421" s="10" t="s">
        <v>21</v>
      </c>
      <c r="D421" s="9" t="s">
        <v>41</v>
      </c>
      <c r="E421" s="9" t="s">
        <v>14</v>
      </c>
      <c r="F421" s="10">
        <v>207</v>
      </c>
      <c r="G421" s="11">
        <v>44215</v>
      </c>
      <c r="H421" s="14">
        <f t="shared" si="14"/>
        <v>2021</v>
      </c>
      <c r="I421" s="12">
        <f>1286.25*50978</f>
        <v>65570452.5</v>
      </c>
      <c r="J421" s="10">
        <v>3021</v>
      </c>
      <c r="K421" s="11">
        <v>44834</v>
      </c>
      <c r="L421" s="14">
        <f t="shared" si="15"/>
        <v>2022</v>
      </c>
      <c r="M421" s="12">
        <v>70918061</v>
      </c>
    </row>
    <row r="422" spans="1:13" ht="15.75" customHeight="1" x14ac:dyDescent="0.25">
      <c r="A422" s="9" t="s">
        <v>15</v>
      </c>
      <c r="B422" s="9" t="s">
        <v>29</v>
      </c>
      <c r="C422" s="10" t="s">
        <v>21</v>
      </c>
      <c r="D422" s="9" t="s">
        <v>38</v>
      </c>
      <c r="E422" s="9" t="s">
        <v>14</v>
      </c>
      <c r="F422" s="10">
        <v>208</v>
      </c>
      <c r="G422" s="11">
        <v>44215</v>
      </c>
      <c r="H422" s="14">
        <f t="shared" si="14"/>
        <v>2021</v>
      </c>
      <c r="I422" s="12">
        <f>1229.9*50978</f>
        <v>62697842.200000003</v>
      </c>
      <c r="J422" s="10">
        <v>2964</v>
      </c>
      <c r="K422" s="11">
        <v>44834</v>
      </c>
      <c r="L422" s="14">
        <f t="shared" si="15"/>
        <v>2022</v>
      </c>
      <c r="M422" s="12">
        <v>70125444</v>
      </c>
    </row>
    <row r="423" spans="1:13" ht="15.75" customHeight="1" x14ac:dyDescent="0.25">
      <c r="A423" s="9" t="s">
        <v>15</v>
      </c>
      <c r="B423" s="9" t="s">
        <v>29</v>
      </c>
      <c r="C423" s="10" t="s">
        <v>21</v>
      </c>
      <c r="D423" s="9" t="s">
        <v>41</v>
      </c>
      <c r="E423" s="9" t="s">
        <v>14</v>
      </c>
      <c r="F423" s="10">
        <v>209</v>
      </c>
      <c r="G423" s="11">
        <v>44215</v>
      </c>
      <c r="H423" s="14">
        <f t="shared" si="14"/>
        <v>2021</v>
      </c>
      <c r="I423" s="12">
        <f>1472.45*50978</f>
        <v>75062556.100000009</v>
      </c>
      <c r="J423" s="10">
        <v>3020</v>
      </c>
      <c r="K423" s="11">
        <v>44834</v>
      </c>
      <c r="L423" s="14">
        <f t="shared" si="15"/>
        <v>2022</v>
      </c>
      <c r="M423" s="12">
        <v>62971068</v>
      </c>
    </row>
    <row r="424" spans="1:13" ht="15.75" customHeight="1" x14ac:dyDescent="0.25">
      <c r="A424" s="9" t="s">
        <v>15</v>
      </c>
      <c r="B424" s="9" t="s">
        <v>29</v>
      </c>
      <c r="C424" s="10" t="s">
        <v>21</v>
      </c>
      <c r="D424" s="9" t="s">
        <v>22</v>
      </c>
      <c r="E424" s="9" t="s">
        <v>14</v>
      </c>
      <c r="F424" s="10">
        <v>210</v>
      </c>
      <c r="G424" s="11">
        <v>44215</v>
      </c>
      <c r="H424" s="14">
        <f t="shared" si="14"/>
        <v>2021</v>
      </c>
      <c r="I424" s="12">
        <f>1513.05*50978</f>
        <v>77132262.899999991</v>
      </c>
      <c r="J424" s="10">
        <v>4278</v>
      </c>
      <c r="K424" s="11">
        <v>44925</v>
      </c>
      <c r="L424" s="14">
        <f t="shared" si="15"/>
        <v>2022</v>
      </c>
      <c r="M424" s="12">
        <v>83136818</v>
      </c>
    </row>
    <row r="425" spans="1:13" ht="15.75" customHeight="1" x14ac:dyDescent="0.25">
      <c r="A425" s="9" t="s">
        <v>15</v>
      </c>
      <c r="B425" s="9" t="s">
        <v>29</v>
      </c>
      <c r="C425" s="10" t="s">
        <v>21</v>
      </c>
      <c r="D425" s="9" t="s">
        <v>22</v>
      </c>
      <c r="E425" s="9" t="s">
        <v>14</v>
      </c>
      <c r="F425" s="10">
        <v>211</v>
      </c>
      <c r="G425" s="11">
        <v>44215</v>
      </c>
      <c r="H425" s="14">
        <f t="shared" si="14"/>
        <v>2021</v>
      </c>
      <c r="I425" s="12">
        <f>1941.45*50978</f>
        <v>98971238.100000009</v>
      </c>
      <c r="J425" s="10">
        <v>3496</v>
      </c>
      <c r="K425" s="11">
        <v>44890</v>
      </c>
      <c r="L425" s="14">
        <f t="shared" si="15"/>
        <v>2022</v>
      </c>
      <c r="M425" s="12">
        <v>106620538</v>
      </c>
    </row>
    <row r="426" spans="1:13" ht="15.75" customHeight="1" x14ac:dyDescent="0.25">
      <c r="A426" s="9" t="s">
        <v>15</v>
      </c>
      <c r="B426" s="9" t="s">
        <v>29</v>
      </c>
      <c r="C426" s="10" t="s">
        <v>21</v>
      </c>
      <c r="D426" s="9" t="s">
        <v>49</v>
      </c>
      <c r="E426" s="9" t="s">
        <v>14</v>
      </c>
      <c r="F426" s="10">
        <v>212</v>
      </c>
      <c r="G426" s="11">
        <v>44215</v>
      </c>
      <c r="H426" s="14">
        <f t="shared" si="14"/>
        <v>2021</v>
      </c>
      <c r="I426" s="12">
        <f>807.8*50978</f>
        <v>41180028.399999999</v>
      </c>
      <c r="J426" s="10">
        <v>2961</v>
      </c>
      <c r="K426" s="11">
        <v>44834</v>
      </c>
      <c r="L426" s="14">
        <f t="shared" si="15"/>
        <v>2022</v>
      </c>
      <c r="M426" s="12">
        <v>36543659</v>
      </c>
    </row>
    <row r="427" spans="1:13" ht="15.75" customHeight="1" x14ac:dyDescent="0.25">
      <c r="A427" s="9" t="s">
        <v>15</v>
      </c>
      <c r="B427" s="9" t="s">
        <v>29</v>
      </c>
      <c r="C427" s="10" t="s">
        <v>21</v>
      </c>
      <c r="D427" s="9" t="s">
        <v>49</v>
      </c>
      <c r="E427" s="9" t="s">
        <v>14</v>
      </c>
      <c r="F427" s="10">
        <v>213</v>
      </c>
      <c r="G427" s="11">
        <v>44215</v>
      </c>
      <c r="H427" s="14">
        <f t="shared" si="14"/>
        <v>2021</v>
      </c>
      <c r="I427" s="12">
        <f>704.2*50978</f>
        <v>35898707.600000001</v>
      </c>
      <c r="J427" s="10">
        <v>2975</v>
      </c>
      <c r="K427" s="11">
        <v>44834</v>
      </c>
      <c r="L427" s="14">
        <f t="shared" si="15"/>
        <v>2022</v>
      </c>
      <c r="M427" s="12">
        <v>32538876</v>
      </c>
    </row>
    <row r="428" spans="1:13" ht="15.75" customHeight="1" x14ac:dyDescent="0.25">
      <c r="A428" s="9" t="s">
        <v>15</v>
      </c>
      <c r="B428" s="9" t="s">
        <v>29</v>
      </c>
      <c r="C428" s="10" t="s">
        <v>21</v>
      </c>
      <c r="D428" s="9" t="s">
        <v>41</v>
      </c>
      <c r="E428" s="9" t="s">
        <v>14</v>
      </c>
      <c r="F428" s="10">
        <v>43</v>
      </c>
      <c r="G428" s="11">
        <v>44207</v>
      </c>
      <c r="H428" s="14">
        <f t="shared" si="14"/>
        <v>2021</v>
      </c>
      <c r="I428" s="12">
        <v>6785369</v>
      </c>
      <c r="J428" s="10">
        <v>3830</v>
      </c>
      <c r="K428" s="11">
        <v>44911</v>
      </c>
      <c r="L428" s="14">
        <f t="shared" si="15"/>
        <v>2022</v>
      </c>
      <c r="M428" s="12">
        <v>6464295</v>
      </c>
    </row>
    <row r="429" spans="1:13" ht="15.75" customHeight="1" x14ac:dyDescent="0.25">
      <c r="A429" s="9" t="s">
        <v>15</v>
      </c>
      <c r="B429" s="9" t="s">
        <v>29</v>
      </c>
      <c r="C429" s="10" t="s">
        <v>21</v>
      </c>
      <c r="D429" s="9" t="s">
        <v>41</v>
      </c>
      <c r="E429" s="9" t="s">
        <v>14</v>
      </c>
      <c r="F429" s="10">
        <v>44</v>
      </c>
      <c r="G429" s="11">
        <v>44207</v>
      </c>
      <c r="H429" s="14">
        <f t="shared" si="14"/>
        <v>2021</v>
      </c>
      <c r="I429" s="12">
        <f>2977.8*50978</f>
        <v>151802288.40000001</v>
      </c>
      <c r="J429" s="10">
        <v>3024</v>
      </c>
      <c r="K429" s="11">
        <v>44834</v>
      </c>
      <c r="L429" s="14">
        <f t="shared" si="15"/>
        <v>2022</v>
      </c>
      <c r="M429" s="12">
        <v>160170515</v>
      </c>
    </row>
    <row r="430" spans="1:13" ht="15.75" customHeight="1" x14ac:dyDescent="0.25">
      <c r="A430" s="9" t="s">
        <v>15</v>
      </c>
      <c r="B430" s="9" t="s">
        <v>29</v>
      </c>
      <c r="C430" s="10" t="s">
        <v>21</v>
      </c>
      <c r="D430" s="9" t="s">
        <v>22</v>
      </c>
      <c r="E430" s="9" t="s">
        <v>14</v>
      </c>
      <c r="F430" s="10">
        <v>45</v>
      </c>
      <c r="G430" s="11">
        <v>44207</v>
      </c>
      <c r="H430" s="14">
        <f t="shared" si="14"/>
        <v>2021</v>
      </c>
      <c r="I430" s="12">
        <f>2172.1*50978</f>
        <v>110729313.8</v>
      </c>
      <c r="J430" s="10">
        <v>3872</v>
      </c>
      <c r="K430" s="11">
        <v>44915</v>
      </c>
      <c r="L430" s="14">
        <f t="shared" si="15"/>
        <v>2022</v>
      </c>
      <c r="M430" s="12">
        <v>124790854</v>
      </c>
    </row>
    <row r="431" spans="1:13" ht="15.75" customHeight="1" x14ac:dyDescent="0.25">
      <c r="A431" s="9" t="s">
        <v>15</v>
      </c>
      <c r="B431" s="9" t="s">
        <v>29</v>
      </c>
      <c r="C431" s="10" t="s">
        <v>21</v>
      </c>
      <c r="D431" s="9" t="s">
        <v>38</v>
      </c>
      <c r="E431" s="9" t="s">
        <v>14</v>
      </c>
      <c r="F431" s="10">
        <v>46</v>
      </c>
      <c r="G431" s="11">
        <v>44207</v>
      </c>
      <c r="H431" s="14">
        <f t="shared" si="14"/>
        <v>2021</v>
      </c>
      <c r="I431" s="12">
        <f>1369.9*50978</f>
        <v>69834762.200000003</v>
      </c>
      <c r="J431" s="10">
        <v>3873</v>
      </c>
      <c r="K431" s="11">
        <v>44915</v>
      </c>
      <c r="L431" s="14">
        <f t="shared" si="15"/>
        <v>2022</v>
      </c>
      <c r="M431" s="12">
        <v>83757564</v>
      </c>
    </row>
    <row r="432" spans="1:13" ht="15.75" customHeight="1" x14ac:dyDescent="0.25">
      <c r="A432" s="9" t="s">
        <v>15</v>
      </c>
      <c r="B432" s="9" t="s">
        <v>29</v>
      </c>
      <c r="C432" s="10" t="s">
        <v>21</v>
      </c>
      <c r="D432" s="9" t="s">
        <v>41</v>
      </c>
      <c r="E432" s="9" t="s">
        <v>14</v>
      </c>
      <c r="F432" s="10">
        <v>47</v>
      </c>
      <c r="G432" s="11">
        <v>44207</v>
      </c>
      <c r="H432" s="14">
        <f t="shared" si="14"/>
        <v>2021</v>
      </c>
      <c r="I432" s="12">
        <f>1258.95*50978</f>
        <v>64178753.100000001</v>
      </c>
      <c r="J432" s="10">
        <v>3028</v>
      </c>
      <c r="K432" s="11">
        <v>44834</v>
      </c>
      <c r="L432" s="14">
        <f t="shared" si="15"/>
        <v>2022</v>
      </c>
      <c r="M432" s="12">
        <v>70918061</v>
      </c>
    </row>
    <row r="433" spans="1:13" ht="15.75" customHeight="1" x14ac:dyDescent="0.25">
      <c r="A433" s="9" t="s">
        <v>15</v>
      </c>
      <c r="B433" s="9" t="s">
        <v>29</v>
      </c>
      <c r="C433" s="10" t="s">
        <v>21</v>
      </c>
      <c r="D433" s="9" t="s">
        <v>22</v>
      </c>
      <c r="E433" s="9" t="s">
        <v>14</v>
      </c>
      <c r="F433" s="10">
        <v>48</v>
      </c>
      <c r="G433" s="11">
        <v>44207</v>
      </c>
      <c r="H433" s="14">
        <f t="shared" si="14"/>
        <v>2021</v>
      </c>
      <c r="I433" s="12">
        <f>1499.4*50978</f>
        <v>76436413.200000003</v>
      </c>
      <c r="J433" s="10">
        <v>3865</v>
      </c>
      <c r="K433" s="11">
        <v>44915</v>
      </c>
      <c r="L433" s="14">
        <f t="shared" si="15"/>
        <v>2022</v>
      </c>
      <c r="M433" s="12">
        <v>90735580</v>
      </c>
    </row>
    <row r="434" spans="1:13" ht="15.75" customHeight="1" x14ac:dyDescent="0.25">
      <c r="A434" s="9" t="s">
        <v>15</v>
      </c>
      <c r="B434" s="9" t="s">
        <v>29</v>
      </c>
      <c r="C434" s="10" t="s">
        <v>21</v>
      </c>
      <c r="D434" s="9" t="s">
        <v>49</v>
      </c>
      <c r="E434" s="9" t="s">
        <v>14</v>
      </c>
      <c r="F434" s="10">
        <v>49</v>
      </c>
      <c r="G434" s="11">
        <v>44207</v>
      </c>
      <c r="H434" s="14">
        <f t="shared" si="14"/>
        <v>2021</v>
      </c>
      <c r="I434" s="12">
        <f>287*50978</f>
        <v>14630686</v>
      </c>
      <c r="J434" s="10">
        <v>2997</v>
      </c>
      <c r="K434" s="11">
        <v>44834</v>
      </c>
      <c r="L434" s="14">
        <f t="shared" si="15"/>
        <v>2022</v>
      </c>
      <c r="M434" s="12">
        <v>16165144</v>
      </c>
    </row>
    <row r="435" spans="1:13" ht="15.75" customHeight="1" x14ac:dyDescent="0.25">
      <c r="A435" s="9" t="s">
        <v>15</v>
      </c>
      <c r="B435" s="9" t="s">
        <v>29</v>
      </c>
      <c r="C435" s="10" t="s">
        <v>21</v>
      </c>
      <c r="D435" s="9" t="s">
        <v>41</v>
      </c>
      <c r="E435" s="9" t="s">
        <v>14</v>
      </c>
      <c r="F435" s="10">
        <v>62</v>
      </c>
      <c r="G435" s="11">
        <v>44207</v>
      </c>
      <c r="H435" s="14">
        <f t="shared" si="14"/>
        <v>2021</v>
      </c>
      <c r="I435" s="12">
        <v>6143221</v>
      </c>
      <c r="J435" s="10">
        <v>3839</v>
      </c>
      <c r="K435" s="11">
        <v>44911</v>
      </c>
      <c r="L435" s="14">
        <f t="shared" si="15"/>
        <v>2022</v>
      </c>
      <c r="M435" s="12">
        <v>5479668</v>
      </c>
    </row>
    <row r="436" spans="1:13" ht="15.75" customHeight="1" x14ac:dyDescent="0.25">
      <c r="A436" s="9" t="s">
        <v>15</v>
      </c>
      <c r="B436" s="9" t="s">
        <v>29</v>
      </c>
      <c r="C436" s="10" t="s">
        <v>21</v>
      </c>
      <c r="D436" s="9" t="s">
        <v>49</v>
      </c>
      <c r="E436" s="9" t="s">
        <v>14</v>
      </c>
      <c r="F436" s="10">
        <v>63</v>
      </c>
      <c r="G436" s="11">
        <v>44207</v>
      </c>
      <c r="H436" s="14">
        <f t="shared" si="14"/>
        <v>2021</v>
      </c>
      <c r="I436" s="12">
        <f>65.8*50978</f>
        <v>3354352.4</v>
      </c>
      <c r="J436" s="10">
        <v>3437</v>
      </c>
      <c r="K436" s="11">
        <v>44886</v>
      </c>
      <c r="L436" s="14">
        <f t="shared" si="15"/>
        <v>2022</v>
      </c>
      <c r="M436" s="12">
        <v>4004129</v>
      </c>
    </row>
    <row r="437" spans="1:13" ht="15.75" customHeight="1" x14ac:dyDescent="0.25">
      <c r="A437" s="9" t="s">
        <v>15</v>
      </c>
      <c r="B437" s="9" t="s">
        <v>29</v>
      </c>
      <c r="C437" s="10" t="s">
        <v>21</v>
      </c>
      <c r="D437" s="9" t="s">
        <v>22</v>
      </c>
      <c r="E437" s="9" t="s">
        <v>14</v>
      </c>
      <c r="F437" s="10">
        <v>1125</v>
      </c>
      <c r="G437" s="11">
        <v>44302</v>
      </c>
      <c r="H437" s="14">
        <f t="shared" si="14"/>
        <v>2021</v>
      </c>
      <c r="I437" s="12">
        <f>373.1*50978</f>
        <v>19019891.800000001</v>
      </c>
      <c r="J437" s="10">
        <v>3153</v>
      </c>
      <c r="K437" s="11">
        <v>44852</v>
      </c>
      <c r="L437" s="14">
        <f t="shared" si="15"/>
        <v>2022</v>
      </c>
      <c r="M437" s="12">
        <v>22185039</v>
      </c>
    </row>
    <row r="438" spans="1:13" ht="15.75" customHeight="1" x14ac:dyDescent="0.25">
      <c r="A438" s="9" t="s">
        <v>15</v>
      </c>
      <c r="B438" s="9" t="s">
        <v>29</v>
      </c>
      <c r="C438" s="10" t="s">
        <v>21</v>
      </c>
      <c r="D438" s="9" t="s">
        <v>49</v>
      </c>
      <c r="E438" s="9" t="s">
        <v>14</v>
      </c>
      <c r="F438" s="10">
        <v>1126</v>
      </c>
      <c r="G438" s="11">
        <v>44302</v>
      </c>
      <c r="H438" s="14">
        <f t="shared" si="14"/>
        <v>2021</v>
      </c>
      <c r="I438" s="12">
        <f>32.9*50978</f>
        <v>1677176.2</v>
      </c>
      <c r="J438" s="10">
        <v>3381</v>
      </c>
      <c r="K438" s="11">
        <v>44881</v>
      </c>
      <c r="L438" s="14">
        <f t="shared" si="15"/>
        <v>2022</v>
      </c>
      <c r="M438" s="12">
        <v>1984198</v>
      </c>
    </row>
    <row r="439" spans="1:13" ht="15.75" customHeight="1" x14ac:dyDescent="0.25">
      <c r="A439" s="9" t="s">
        <v>15</v>
      </c>
      <c r="B439" s="9" t="s">
        <v>29</v>
      </c>
      <c r="C439" s="10" t="s">
        <v>21</v>
      </c>
      <c r="D439" s="9" t="s">
        <v>22</v>
      </c>
      <c r="E439" s="9" t="s">
        <v>14</v>
      </c>
      <c r="F439" s="10">
        <v>1127</v>
      </c>
      <c r="G439" s="11">
        <v>44302</v>
      </c>
      <c r="H439" s="14">
        <f t="shared" si="14"/>
        <v>2021</v>
      </c>
      <c r="I439" s="12">
        <f>631.4*50978</f>
        <v>32187509.199999999</v>
      </c>
      <c r="J439" s="10">
        <v>3150</v>
      </c>
      <c r="K439" s="11">
        <v>44852</v>
      </c>
      <c r="L439" s="14">
        <f t="shared" si="15"/>
        <v>2022</v>
      </c>
      <c r="M439" s="12">
        <v>36179981</v>
      </c>
    </row>
    <row r="440" spans="1:13" ht="15.75" customHeight="1" x14ac:dyDescent="0.25">
      <c r="A440" s="9" t="s">
        <v>15</v>
      </c>
      <c r="B440" s="9" t="s">
        <v>29</v>
      </c>
      <c r="C440" s="10" t="s">
        <v>21</v>
      </c>
      <c r="D440" s="9" t="s">
        <v>38</v>
      </c>
      <c r="E440" s="9" t="s">
        <v>14</v>
      </c>
      <c r="F440" s="10">
        <v>1129</v>
      </c>
      <c r="G440" s="11">
        <v>44302</v>
      </c>
      <c r="H440" s="14">
        <f t="shared" si="14"/>
        <v>2021</v>
      </c>
      <c r="I440" s="12">
        <f>37.8*50978</f>
        <v>1926968.4</v>
      </c>
      <c r="J440" s="10">
        <v>2300</v>
      </c>
      <c r="K440" s="11">
        <v>44770</v>
      </c>
      <c r="L440" s="14">
        <f t="shared" si="15"/>
        <v>2022</v>
      </c>
      <c r="M440" s="12">
        <v>2201775</v>
      </c>
    </row>
    <row r="441" spans="1:13" ht="15.75" customHeight="1" x14ac:dyDescent="0.25">
      <c r="A441" s="9" t="s">
        <v>15</v>
      </c>
      <c r="B441" s="9" t="s">
        <v>29</v>
      </c>
      <c r="C441" s="10" t="s">
        <v>21</v>
      </c>
      <c r="D441" s="9" t="s">
        <v>22</v>
      </c>
      <c r="E441" s="9" t="s">
        <v>14</v>
      </c>
      <c r="F441" s="10">
        <v>1131</v>
      </c>
      <c r="G441" s="11">
        <v>44302</v>
      </c>
      <c r="H441" s="14">
        <f t="shared" si="14"/>
        <v>2021</v>
      </c>
      <c r="I441" s="12">
        <f>189.7*50978</f>
        <v>9670526.5999999996</v>
      </c>
      <c r="J441" s="10">
        <v>3525</v>
      </c>
      <c r="K441" s="11">
        <v>44894</v>
      </c>
      <c r="L441" s="14">
        <f t="shared" si="15"/>
        <v>2022</v>
      </c>
      <c r="M441" s="12">
        <v>10585379</v>
      </c>
    </row>
    <row r="442" spans="1:13" ht="15.75" customHeight="1" x14ac:dyDescent="0.25">
      <c r="A442" s="9" t="s">
        <v>15</v>
      </c>
      <c r="B442" s="9" t="s">
        <v>29</v>
      </c>
      <c r="C442" s="10" t="s">
        <v>21</v>
      </c>
      <c r="D442" s="9" t="s">
        <v>41</v>
      </c>
      <c r="E442" s="9" t="s">
        <v>47</v>
      </c>
      <c r="F442" s="10">
        <v>1324</v>
      </c>
      <c r="G442" s="11">
        <v>44326</v>
      </c>
      <c r="H442" s="14">
        <f t="shared" si="14"/>
        <v>2021</v>
      </c>
      <c r="I442" s="12">
        <f>23.8*51798</f>
        <v>1232792.4000000001</v>
      </c>
      <c r="J442" s="10">
        <v>2978</v>
      </c>
      <c r="K442" s="11">
        <v>44834</v>
      </c>
      <c r="L442" s="14">
        <f t="shared" si="15"/>
        <v>2022</v>
      </c>
      <c r="M442" s="12">
        <v>1397503</v>
      </c>
    </row>
    <row r="443" spans="1:13" ht="15.75" customHeight="1" x14ac:dyDescent="0.25">
      <c r="A443" s="9" t="s">
        <v>15</v>
      </c>
      <c r="B443" s="9" t="s">
        <v>29</v>
      </c>
      <c r="C443" s="10" t="s">
        <v>21</v>
      </c>
      <c r="D443" s="9" t="s">
        <v>22</v>
      </c>
      <c r="E443" s="9" t="s">
        <v>47</v>
      </c>
      <c r="F443" s="10">
        <v>1325</v>
      </c>
      <c r="G443" s="11">
        <v>44326</v>
      </c>
      <c r="H443" s="14">
        <f t="shared" si="14"/>
        <v>2021</v>
      </c>
      <c r="I443" s="12">
        <f>560.35*51798</f>
        <v>29025009.300000001</v>
      </c>
      <c r="J443" s="10">
        <v>3148</v>
      </c>
      <c r="K443" s="11">
        <v>44852</v>
      </c>
      <c r="L443" s="14">
        <f t="shared" si="15"/>
        <v>2022</v>
      </c>
      <c r="M443" s="12">
        <v>24844712</v>
      </c>
    </row>
    <row r="444" spans="1:13" ht="15.75" customHeight="1" x14ac:dyDescent="0.25">
      <c r="A444" s="9" t="s">
        <v>15</v>
      </c>
      <c r="B444" s="9" t="s">
        <v>29</v>
      </c>
      <c r="C444" s="10" t="s">
        <v>21</v>
      </c>
      <c r="D444" s="9" t="s">
        <v>49</v>
      </c>
      <c r="E444" s="9" t="s">
        <v>47</v>
      </c>
      <c r="F444" s="10">
        <v>1326</v>
      </c>
      <c r="G444" s="11">
        <v>44326</v>
      </c>
      <c r="H444" s="14">
        <f t="shared" si="14"/>
        <v>2021</v>
      </c>
      <c r="I444" s="12">
        <f>352.8*51798</f>
        <v>18274334.400000002</v>
      </c>
      <c r="J444" s="10">
        <v>3152</v>
      </c>
      <c r="K444" s="11">
        <v>44852</v>
      </c>
      <c r="L444" s="14">
        <f t="shared" si="15"/>
        <v>2022</v>
      </c>
      <c r="M444" s="12">
        <v>19124310</v>
      </c>
    </row>
    <row r="445" spans="1:13" ht="15.75" customHeight="1" x14ac:dyDescent="0.25">
      <c r="A445" s="9" t="s">
        <v>15</v>
      </c>
      <c r="B445" s="9" t="s">
        <v>29</v>
      </c>
      <c r="C445" s="10" t="s">
        <v>21</v>
      </c>
      <c r="D445" s="9" t="s">
        <v>41</v>
      </c>
      <c r="E445" s="9" t="s">
        <v>47</v>
      </c>
      <c r="F445" s="10">
        <v>1328</v>
      </c>
      <c r="G445" s="11">
        <v>44326</v>
      </c>
      <c r="H445" s="14">
        <f t="shared" si="14"/>
        <v>2021</v>
      </c>
      <c r="I445" s="12">
        <f>500.5*51798</f>
        <v>25924899</v>
      </c>
      <c r="J445" s="10">
        <v>2998</v>
      </c>
      <c r="K445" s="11">
        <v>44834</v>
      </c>
      <c r="L445" s="14">
        <f t="shared" si="15"/>
        <v>2022</v>
      </c>
      <c r="M445" s="12">
        <v>22464339</v>
      </c>
    </row>
    <row r="446" spans="1:13" ht="15.75" customHeight="1" x14ac:dyDescent="0.25">
      <c r="A446" s="9" t="s">
        <v>15</v>
      </c>
      <c r="B446" s="9" t="s">
        <v>29</v>
      </c>
      <c r="C446" s="10" t="s">
        <v>21</v>
      </c>
      <c r="D446" s="9" t="s">
        <v>49</v>
      </c>
      <c r="E446" s="9" t="s">
        <v>47</v>
      </c>
      <c r="F446" s="10">
        <v>215</v>
      </c>
      <c r="G446" s="11">
        <v>44580</v>
      </c>
      <c r="H446" s="14">
        <f t="shared" si="14"/>
        <v>2022</v>
      </c>
      <c r="I446" s="12">
        <f>22.05*54445</f>
        <v>1200512.25</v>
      </c>
      <c r="J446" s="10">
        <v>3435</v>
      </c>
      <c r="K446" s="11">
        <v>44886</v>
      </c>
      <c r="L446" s="14">
        <f t="shared" si="15"/>
        <v>2022</v>
      </c>
      <c r="M446" s="12">
        <v>1341809</v>
      </c>
    </row>
    <row r="447" spans="1:13" ht="15.75" customHeight="1" x14ac:dyDescent="0.25">
      <c r="A447" s="9" t="s">
        <v>15</v>
      </c>
      <c r="B447" s="9" t="s">
        <v>29</v>
      </c>
      <c r="C447" s="10" t="s">
        <v>21</v>
      </c>
      <c r="D447" s="9" t="s">
        <v>22</v>
      </c>
      <c r="E447" s="9" t="s">
        <v>47</v>
      </c>
      <c r="F447" s="10">
        <v>216</v>
      </c>
      <c r="G447" s="11">
        <v>44580</v>
      </c>
      <c r="H447" s="14">
        <f t="shared" si="14"/>
        <v>2022</v>
      </c>
      <c r="I447" s="12">
        <f>16.1*54445</f>
        <v>876564.50000000012</v>
      </c>
      <c r="J447" s="10">
        <v>4015</v>
      </c>
      <c r="K447" s="11">
        <v>44922</v>
      </c>
      <c r="L447" s="14">
        <f t="shared" si="15"/>
        <v>2022</v>
      </c>
      <c r="M447" s="12">
        <v>970991</v>
      </c>
    </row>
    <row r="448" spans="1:13" ht="15.75" customHeight="1" x14ac:dyDescent="0.25">
      <c r="A448" s="9" t="s">
        <v>15</v>
      </c>
      <c r="B448" s="9" t="s">
        <v>29</v>
      </c>
      <c r="C448" s="10" t="s">
        <v>21</v>
      </c>
      <c r="D448" s="9" t="s">
        <v>41</v>
      </c>
      <c r="E448" s="9" t="s">
        <v>47</v>
      </c>
      <c r="F448" s="10">
        <v>217</v>
      </c>
      <c r="G448" s="11">
        <v>44580</v>
      </c>
      <c r="H448" s="14">
        <f t="shared" si="14"/>
        <v>2022</v>
      </c>
      <c r="I448" s="12">
        <v>13185446</v>
      </c>
      <c r="J448" s="10">
        <v>3837</v>
      </c>
      <c r="K448" s="11">
        <v>44911</v>
      </c>
      <c r="L448" s="14">
        <f t="shared" si="15"/>
        <v>2022</v>
      </c>
      <c r="M448" s="12">
        <v>13142636</v>
      </c>
    </row>
    <row r="449" spans="1:13" ht="15.75" customHeight="1" x14ac:dyDescent="0.25">
      <c r="A449" s="9" t="s">
        <v>15</v>
      </c>
      <c r="B449" s="9" t="s">
        <v>29</v>
      </c>
      <c r="C449" s="10" t="s">
        <v>21</v>
      </c>
      <c r="D449" s="9" t="s">
        <v>41</v>
      </c>
      <c r="E449" s="9" t="s">
        <v>14</v>
      </c>
      <c r="F449" s="10">
        <v>220</v>
      </c>
      <c r="G449" s="11">
        <v>44580</v>
      </c>
      <c r="H449" s="14">
        <f t="shared" si="14"/>
        <v>2022</v>
      </c>
      <c r="I449" s="12">
        <f>241.5*54445</f>
        <v>13148467.5</v>
      </c>
      <c r="J449" s="10">
        <v>3497</v>
      </c>
      <c r="K449" s="11">
        <v>44890</v>
      </c>
      <c r="L449" s="14">
        <f t="shared" si="15"/>
        <v>2022</v>
      </c>
      <c r="M449" s="12">
        <v>14695993</v>
      </c>
    </row>
    <row r="450" spans="1:13" ht="15.75" customHeight="1" x14ac:dyDescent="0.25">
      <c r="A450" s="9" t="s">
        <v>15</v>
      </c>
      <c r="B450" s="9" t="s">
        <v>29</v>
      </c>
      <c r="C450" s="10" t="s">
        <v>21</v>
      </c>
      <c r="D450" s="9" t="s">
        <v>22</v>
      </c>
      <c r="E450" s="9" t="s">
        <v>14</v>
      </c>
      <c r="F450" s="10">
        <v>221</v>
      </c>
      <c r="G450" s="11">
        <v>44580</v>
      </c>
      <c r="H450" s="14">
        <f t="shared" si="14"/>
        <v>2022</v>
      </c>
      <c r="I450" s="12">
        <f>199.5*54445</f>
        <v>10861777.5</v>
      </c>
      <c r="J450" s="10">
        <v>3493</v>
      </c>
      <c r="K450" s="11">
        <v>44890</v>
      </c>
      <c r="L450" s="14">
        <f t="shared" si="15"/>
        <v>2022</v>
      </c>
      <c r="M450" s="12">
        <v>11501208</v>
      </c>
    </row>
    <row r="451" spans="1:13" ht="15.75" customHeight="1" x14ac:dyDescent="0.25">
      <c r="A451" s="9" t="s">
        <v>15</v>
      </c>
      <c r="B451" s="9" t="s">
        <v>29</v>
      </c>
      <c r="C451" s="10" t="s">
        <v>21</v>
      </c>
      <c r="D451" s="9" t="s">
        <v>38</v>
      </c>
      <c r="E451" s="9" t="s">
        <v>14</v>
      </c>
      <c r="F451" s="10">
        <v>223</v>
      </c>
      <c r="G451" s="11">
        <v>44580</v>
      </c>
      <c r="H451" s="14">
        <f t="shared" si="14"/>
        <v>2022</v>
      </c>
      <c r="I451" s="12">
        <f>52.85*54445</f>
        <v>2877418.25</v>
      </c>
      <c r="J451" s="10">
        <v>2838</v>
      </c>
      <c r="K451" s="11">
        <v>44831</v>
      </c>
      <c r="L451" s="14">
        <f t="shared" si="15"/>
        <v>2022</v>
      </c>
      <c r="M451" s="12">
        <v>3149597</v>
      </c>
    </row>
    <row r="452" spans="1:13" ht="15.75" customHeight="1" x14ac:dyDescent="0.25">
      <c r="A452" s="9" t="s">
        <v>15</v>
      </c>
      <c r="B452" s="9" t="s">
        <v>29</v>
      </c>
      <c r="C452" s="10" t="s">
        <v>21</v>
      </c>
      <c r="D452" s="9" t="s">
        <v>41</v>
      </c>
      <c r="E452" s="9" t="s">
        <v>14</v>
      </c>
      <c r="F452" s="10">
        <v>224</v>
      </c>
      <c r="G452" s="11">
        <v>44580</v>
      </c>
      <c r="H452" s="14">
        <f t="shared" si="14"/>
        <v>2022</v>
      </c>
      <c r="I452" s="12">
        <f>373.8*54445</f>
        <v>20351541</v>
      </c>
      <c r="J452" s="10">
        <v>2977</v>
      </c>
      <c r="K452" s="11">
        <v>44834</v>
      </c>
      <c r="L452" s="14">
        <f t="shared" si="15"/>
        <v>2022</v>
      </c>
      <c r="M452" s="12">
        <v>16332014</v>
      </c>
    </row>
    <row r="453" spans="1:13" ht="15.75" customHeight="1" x14ac:dyDescent="0.25">
      <c r="A453" s="9" t="s">
        <v>15</v>
      </c>
      <c r="B453" s="9" t="s">
        <v>29</v>
      </c>
      <c r="C453" s="10" t="s">
        <v>21</v>
      </c>
      <c r="D453" s="9" t="s">
        <v>22</v>
      </c>
      <c r="E453" s="9" t="s">
        <v>14</v>
      </c>
      <c r="F453" s="10">
        <v>225</v>
      </c>
      <c r="G453" s="11">
        <v>44580</v>
      </c>
      <c r="H453" s="14">
        <f t="shared" si="14"/>
        <v>2022</v>
      </c>
      <c r="I453" s="12">
        <f>110.25*54445</f>
        <v>6002561.25</v>
      </c>
      <c r="J453" s="10">
        <v>3494</v>
      </c>
      <c r="K453" s="11">
        <v>44890</v>
      </c>
      <c r="L453" s="14">
        <f t="shared" si="15"/>
        <v>2022</v>
      </c>
      <c r="M453" s="12">
        <v>6389564</v>
      </c>
    </row>
    <row r="454" spans="1:13" ht="15.75" customHeight="1" x14ac:dyDescent="0.25">
      <c r="A454" s="9" t="s">
        <v>15</v>
      </c>
      <c r="B454" s="9" t="s">
        <v>29</v>
      </c>
      <c r="C454" s="10" t="s">
        <v>21</v>
      </c>
      <c r="D454" s="9" t="s">
        <v>49</v>
      </c>
      <c r="E454" s="9" t="s">
        <v>47</v>
      </c>
      <c r="F454" s="10">
        <v>226</v>
      </c>
      <c r="G454" s="11">
        <v>44580</v>
      </c>
      <c r="H454" s="14">
        <f t="shared" si="14"/>
        <v>2022</v>
      </c>
      <c r="I454" s="12">
        <f>286.3*54445</f>
        <v>15587603.5</v>
      </c>
      <c r="J454" s="10">
        <v>2963</v>
      </c>
      <c r="K454" s="11">
        <v>44834</v>
      </c>
      <c r="L454" s="14">
        <f t="shared" si="15"/>
        <v>2022</v>
      </c>
      <c r="M454" s="12">
        <v>15476825</v>
      </c>
    </row>
    <row r="455" spans="1:13" ht="15.75" customHeight="1" x14ac:dyDescent="0.25">
      <c r="A455" s="9" t="s">
        <v>15</v>
      </c>
      <c r="B455" s="9" t="s">
        <v>29</v>
      </c>
      <c r="C455" s="10" t="s">
        <v>21</v>
      </c>
      <c r="D455" s="9" t="s">
        <v>22</v>
      </c>
      <c r="E455" s="9" t="s">
        <v>47</v>
      </c>
      <c r="F455" s="10">
        <v>227</v>
      </c>
      <c r="G455" s="11">
        <v>44580</v>
      </c>
      <c r="H455" s="14">
        <f t="shared" si="14"/>
        <v>2022</v>
      </c>
      <c r="I455" s="12">
        <f>909.65*54445</f>
        <v>49525894.25</v>
      </c>
      <c r="J455" s="10">
        <v>2979</v>
      </c>
      <c r="K455" s="11">
        <v>44834</v>
      </c>
      <c r="L455" s="14">
        <f t="shared" si="15"/>
        <v>2022</v>
      </c>
      <c r="M455" s="12">
        <v>53543133</v>
      </c>
    </row>
    <row r="456" spans="1:13" ht="15.75" customHeight="1" x14ac:dyDescent="0.25">
      <c r="A456" s="9" t="s">
        <v>15</v>
      </c>
      <c r="B456" s="9" t="s">
        <v>29</v>
      </c>
      <c r="C456" s="10" t="s">
        <v>21</v>
      </c>
      <c r="D456" s="9" t="s">
        <v>41</v>
      </c>
      <c r="E456" s="9" t="s">
        <v>47</v>
      </c>
      <c r="F456" s="10">
        <v>228</v>
      </c>
      <c r="G456" s="11">
        <v>44580</v>
      </c>
      <c r="H456" s="14">
        <f t="shared" si="14"/>
        <v>2022</v>
      </c>
      <c r="I456" s="12">
        <f>347.9*54445</f>
        <v>18941415.5</v>
      </c>
      <c r="J456" s="10">
        <v>2976</v>
      </c>
      <c r="K456" s="11">
        <v>44834</v>
      </c>
      <c r="L456" s="14">
        <f t="shared" si="15"/>
        <v>2022</v>
      </c>
      <c r="M456" s="12">
        <v>17896390</v>
      </c>
    </row>
    <row r="457" spans="1:13" ht="15.75" customHeight="1" x14ac:dyDescent="0.25">
      <c r="A457" s="9" t="s">
        <v>15</v>
      </c>
      <c r="B457" s="9" t="s">
        <v>29</v>
      </c>
      <c r="C457" s="10" t="s">
        <v>21</v>
      </c>
      <c r="D457" s="9" t="s">
        <v>38</v>
      </c>
      <c r="E457" s="9" t="s">
        <v>47</v>
      </c>
      <c r="F457" s="10">
        <v>229</v>
      </c>
      <c r="G457" s="11">
        <v>44580</v>
      </c>
      <c r="H457" s="14">
        <f t="shared" si="14"/>
        <v>2022</v>
      </c>
      <c r="I457" s="12">
        <f>574*54445</f>
        <v>31251430</v>
      </c>
      <c r="J457" s="10">
        <v>2996</v>
      </c>
      <c r="K457" s="11">
        <v>44834</v>
      </c>
      <c r="L457" s="14">
        <f t="shared" si="15"/>
        <v>2022</v>
      </c>
      <c r="M457" s="12">
        <v>33894662</v>
      </c>
    </row>
    <row r="458" spans="1:13" ht="15.75" customHeight="1" x14ac:dyDescent="0.25">
      <c r="A458" s="9" t="s">
        <v>15</v>
      </c>
      <c r="B458" s="9" t="s">
        <v>29</v>
      </c>
      <c r="C458" s="10" t="s">
        <v>21</v>
      </c>
      <c r="D458" s="9" t="s">
        <v>41</v>
      </c>
      <c r="E458" s="9" t="s">
        <v>47</v>
      </c>
      <c r="F458" s="10">
        <v>230</v>
      </c>
      <c r="G458" s="11">
        <v>44580</v>
      </c>
      <c r="H458" s="14">
        <f t="shared" si="14"/>
        <v>2022</v>
      </c>
      <c r="I458" s="12">
        <f>811.65*54445</f>
        <v>44190284.25</v>
      </c>
      <c r="J458" s="10">
        <v>3029</v>
      </c>
      <c r="K458" s="11">
        <v>44834</v>
      </c>
      <c r="L458" s="14">
        <f t="shared" si="15"/>
        <v>2022</v>
      </c>
      <c r="M458" s="12">
        <v>42655131</v>
      </c>
    </row>
    <row r="459" spans="1:13" ht="15.75" customHeight="1" x14ac:dyDescent="0.25">
      <c r="A459" s="9" t="s">
        <v>15</v>
      </c>
      <c r="B459" s="9" t="s">
        <v>29</v>
      </c>
      <c r="C459" s="10" t="s">
        <v>21</v>
      </c>
      <c r="D459" s="9" t="s">
        <v>22</v>
      </c>
      <c r="E459" s="9" t="s">
        <v>14</v>
      </c>
      <c r="F459" s="10">
        <v>232</v>
      </c>
      <c r="G459" s="11">
        <v>44580</v>
      </c>
      <c r="H459" s="14">
        <f t="shared" si="14"/>
        <v>2022</v>
      </c>
      <c r="I459" s="12">
        <f>15.75*54445</f>
        <v>857508.75</v>
      </c>
      <c r="J459" s="10">
        <v>3526</v>
      </c>
      <c r="K459" s="11">
        <v>44894</v>
      </c>
      <c r="L459" s="14">
        <f t="shared" si="15"/>
        <v>2022</v>
      </c>
      <c r="M459" s="12">
        <v>958435</v>
      </c>
    </row>
    <row r="460" spans="1:13" ht="15.75" customHeight="1" x14ac:dyDescent="0.25">
      <c r="A460" s="9" t="s">
        <v>59</v>
      </c>
      <c r="B460" s="9" t="s">
        <v>29</v>
      </c>
      <c r="C460" s="10" t="s">
        <v>21</v>
      </c>
      <c r="D460" s="9" t="s">
        <v>22</v>
      </c>
      <c r="E460" s="9" t="s">
        <v>65</v>
      </c>
      <c r="F460" s="10">
        <v>1880</v>
      </c>
      <c r="G460" s="11">
        <v>44371</v>
      </c>
      <c r="H460" s="14">
        <f t="shared" si="14"/>
        <v>2021</v>
      </c>
      <c r="I460" s="12">
        <f>4.8*52005</f>
        <v>249624</v>
      </c>
      <c r="J460" s="10">
        <v>4078</v>
      </c>
      <c r="K460" s="11">
        <v>44923</v>
      </c>
      <c r="L460" s="14">
        <f t="shared" si="15"/>
        <v>2022</v>
      </c>
      <c r="M460" s="12">
        <v>0</v>
      </c>
    </row>
    <row r="461" spans="1:13" ht="15.75" customHeight="1" x14ac:dyDescent="0.25">
      <c r="A461" s="9" t="s">
        <v>15</v>
      </c>
      <c r="B461" s="9" t="s">
        <v>29</v>
      </c>
      <c r="C461" s="10" t="s">
        <v>21</v>
      </c>
      <c r="D461" s="9" t="s">
        <v>22</v>
      </c>
      <c r="E461" s="9" t="s">
        <v>14</v>
      </c>
      <c r="F461" s="10">
        <v>3205</v>
      </c>
      <c r="G461" s="11">
        <v>44195</v>
      </c>
      <c r="H461" s="14">
        <f t="shared" si="14"/>
        <v>2020</v>
      </c>
      <c r="I461" s="12">
        <f>1166.2*51029</f>
        <v>59510019.800000004</v>
      </c>
      <c r="J461" s="10">
        <v>4080</v>
      </c>
      <c r="K461" s="11">
        <v>44923</v>
      </c>
      <c r="L461" s="14">
        <f t="shared" si="15"/>
        <v>2022</v>
      </c>
      <c r="M461" s="12">
        <v>70358061</v>
      </c>
    </row>
    <row r="462" spans="1:13" ht="15.75" customHeight="1" x14ac:dyDescent="0.25">
      <c r="A462" s="9" t="s">
        <v>15</v>
      </c>
      <c r="B462" s="9" t="s">
        <v>29</v>
      </c>
      <c r="C462" s="10" t="s">
        <v>21</v>
      </c>
      <c r="D462" s="9" t="s">
        <v>49</v>
      </c>
      <c r="E462" s="9" t="s">
        <v>14</v>
      </c>
      <c r="F462" s="10">
        <v>2983</v>
      </c>
      <c r="G462" s="11">
        <v>44182</v>
      </c>
      <c r="H462" s="14">
        <f t="shared" si="14"/>
        <v>2020</v>
      </c>
      <c r="I462" s="12">
        <f>899.15*51029</f>
        <v>45882725.350000001</v>
      </c>
      <c r="J462" s="10">
        <v>3026</v>
      </c>
      <c r="K462" s="11">
        <v>44834</v>
      </c>
      <c r="L462" s="14">
        <f t="shared" si="15"/>
        <v>2022</v>
      </c>
      <c r="M462" s="12">
        <v>50768986</v>
      </c>
    </row>
    <row r="463" spans="1:13" ht="15.75" customHeight="1" x14ac:dyDescent="0.25">
      <c r="A463" s="9" t="s">
        <v>15</v>
      </c>
      <c r="B463" s="9" t="s">
        <v>29</v>
      </c>
      <c r="C463" s="10" t="s">
        <v>21</v>
      </c>
      <c r="D463" s="9" t="s">
        <v>38</v>
      </c>
      <c r="E463" s="9" t="s">
        <v>14</v>
      </c>
      <c r="F463" s="10">
        <v>2986</v>
      </c>
      <c r="G463" s="11">
        <v>44182</v>
      </c>
      <c r="H463" s="14">
        <f t="shared" si="14"/>
        <v>2020</v>
      </c>
      <c r="I463" s="12">
        <f>886.2*51029</f>
        <v>45221899.800000004</v>
      </c>
      <c r="J463" s="10">
        <v>3019</v>
      </c>
      <c r="K463" s="11">
        <v>44834</v>
      </c>
      <c r="L463" s="14">
        <f t="shared" si="15"/>
        <v>2022</v>
      </c>
      <c r="M463" s="12">
        <v>52500220</v>
      </c>
    </row>
    <row r="464" spans="1:13" ht="15.75" customHeight="1" x14ac:dyDescent="0.25">
      <c r="A464" s="9" t="s">
        <v>15</v>
      </c>
      <c r="B464" s="9" t="s">
        <v>29</v>
      </c>
      <c r="C464" s="10" t="s">
        <v>21</v>
      </c>
      <c r="D464" s="9" t="s">
        <v>38</v>
      </c>
      <c r="E464" s="9" t="s">
        <v>14</v>
      </c>
      <c r="F464" s="10">
        <v>3436</v>
      </c>
      <c r="G464" s="11">
        <v>44554</v>
      </c>
      <c r="H464" s="14">
        <f t="shared" si="14"/>
        <v>2021</v>
      </c>
      <c r="I464" s="12">
        <f>350.7*52842</f>
        <v>18531689.399999999</v>
      </c>
      <c r="J464" s="10">
        <v>3495</v>
      </c>
      <c r="K464" s="11">
        <v>44890</v>
      </c>
      <c r="L464" s="14">
        <f t="shared" si="15"/>
        <v>2022</v>
      </c>
      <c r="M464" s="12">
        <v>21341145</v>
      </c>
    </row>
    <row r="465" spans="1:13" ht="15.75" customHeight="1" x14ac:dyDescent="0.25">
      <c r="A465" s="9" t="s">
        <v>15</v>
      </c>
      <c r="B465" s="9" t="s">
        <v>29</v>
      </c>
      <c r="C465" s="10" t="s">
        <v>21</v>
      </c>
      <c r="D465" s="9" t="s">
        <v>41</v>
      </c>
      <c r="E465" s="9" t="s">
        <v>14</v>
      </c>
      <c r="F465" s="10">
        <v>3437</v>
      </c>
      <c r="G465" s="11">
        <v>44554</v>
      </c>
      <c r="H465" s="14">
        <f t="shared" ref="H465:H512" si="16">YEAR(G465)</f>
        <v>2021</v>
      </c>
      <c r="I465" s="12">
        <f>949.9*52842</f>
        <v>50194615.799999997</v>
      </c>
      <c r="J465" s="10">
        <v>3027</v>
      </c>
      <c r="K465" s="11">
        <v>44834</v>
      </c>
      <c r="L465" s="14">
        <f t="shared" ref="L465:L512" si="17">YEAR(K465)</f>
        <v>2022</v>
      </c>
      <c r="M465" s="12">
        <v>56588452</v>
      </c>
    </row>
    <row r="466" spans="1:13" ht="15.75" customHeight="1" x14ac:dyDescent="0.25">
      <c r="A466" s="9" t="s">
        <v>15</v>
      </c>
      <c r="B466" s="9" t="s">
        <v>29</v>
      </c>
      <c r="C466" s="10" t="s">
        <v>21</v>
      </c>
      <c r="D466" s="9" t="s">
        <v>22</v>
      </c>
      <c r="E466" s="9" t="s">
        <v>14</v>
      </c>
      <c r="F466" s="10">
        <v>3438</v>
      </c>
      <c r="G466" s="11">
        <v>44554</v>
      </c>
      <c r="H466" s="14">
        <f t="shared" si="16"/>
        <v>2021</v>
      </c>
      <c r="I466" s="12">
        <f>1149.75*52842</f>
        <v>60755089.5</v>
      </c>
      <c r="J466" s="10">
        <v>3151</v>
      </c>
      <c r="K466" s="11">
        <v>44852</v>
      </c>
      <c r="L466" s="14">
        <f t="shared" si="17"/>
        <v>2022</v>
      </c>
      <c r="M466" s="12">
        <v>63853231</v>
      </c>
    </row>
    <row r="467" spans="1:13" ht="15.75" customHeight="1" x14ac:dyDescent="0.25">
      <c r="A467" s="9" t="s">
        <v>15</v>
      </c>
      <c r="B467" s="9" t="s">
        <v>29</v>
      </c>
      <c r="C467" s="10" t="s">
        <v>21</v>
      </c>
      <c r="D467" s="9" t="s">
        <v>49</v>
      </c>
      <c r="E467" s="9" t="s">
        <v>14</v>
      </c>
      <c r="F467" s="10">
        <v>3439</v>
      </c>
      <c r="G467" s="11">
        <v>44554</v>
      </c>
      <c r="H467" s="14">
        <f t="shared" si="16"/>
        <v>2021</v>
      </c>
      <c r="I467" s="12">
        <f>348.25*52842</f>
        <v>18402226.5</v>
      </c>
      <c r="J467" s="10">
        <v>3527</v>
      </c>
      <c r="K467" s="11">
        <v>44894</v>
      </c>
      <c r="L467" s="14">
        <f t="shared" si="17"/>
        <v>2022</v>
      </c>
      <c r="M467" s="12">
        <v>20531798</v>
      </c>
    </row>
    <row r="468" spans="1:13" ht="15.75" customHeight="1" x14ac:dyDescent="0.25">
      <c r="A468" s="9" t="s">
        <v>10</v>
      </c>
      <c r="B468" s="9" t="s">
        <v>29</v>
      </c>
      <c r="C468" s="10" t="s">
        <v>21</v>
      </c>
      <c r="D468" s="9" t="s">
        <v>38</v>
      </c>
      <c r="E468" s="9" t="s">
        <v>14</v>
      </c>
      <c r="F468" s="10">
        <v>1958</v>
      </c>
      <c r="G468" s="11">
        <v>44748</v>
      </c>
      <c r="H468" s="14">
        <f t="shared" si="16"/>
        <v>2022</v>
      </c>
      <c r="I468" s="12">
        <f>27.79*58248</f>
        <v>1618711.92</v>
      </c>
      <c r="J468" s="10">
        <v>3867</v>
      </c>
      <c r="K468" s="11">
        <v>44915</v>
      </c>
      <c r="L468" s="14">
        <f t="shared" si="17"/>
        <v>2022</v>
      </c>
      <c r="M468" s="12">
        <v>1699553</v>
      </c>
    </row>
    <row r="469" spans="1:13" ht="15.75" customHeight="1" x14ac:dyDescent="0.25">
      <c r="A469" s="9" t="s">
        <v>10</v>
      </c>
      <c r="B469" s="9" t="s">
        <v>29</v>
      </c>
      <c r="C469" s="10" t="s">
        <v>21</v>
      </c>
      <c r="D469" s="9" t="s">
        <v>38</v>
      </c>
      <c r="E469" s="9" t="s">
        <v>14</v>
      </c>
      <c r="F469" s="10">
        <v>1949</v>
      </c>
      <c r="G469" s="11">
        <v>44748</v>
      </c>
      <c r="H469" s="14">
        <f t="shared" si="16"/>
        <v>2022</v>
      </c>
      <c r="I469" s="12">
        <f>98.09*58248</f>
        <v>5713546.3200000003</v>
      </c>
      <c r="J469" s="10">
        <v>3871</v>
      </c>
      <c r="K469" s="11">
        <v>44915</v>
      </c>
      <c r="L469" s="14">
        <f t="shared" si="17"/>
        <v>2022</v>
      </c>
      <c r="M469" s="12">
        <v>5998890</v>
      </c>
    </row>
    <row r="470" spans="1:13" ht="15.75" customHeight="1" x14ac:dyDescent="0.25">
      <c r="A470" s="9" t="s">
        <v>10</v>
      </c>
      <c r="B470" s="9" t="s">
        <v>29</v>
      </c>
      <c r="C470" s="10" t="s">
        <v>21</v>
      </c>
      <c r="D470" s="9" t="s">
        <v>38</v>
      </c>
      <c r="E470" s="9" t="s">
        <v>14</v>
      </c>
      <c r="F470" s="10">
        <v>1957</v>
      </c>
      <c r="G470" s="11">
        <v>44748</v>
      </c>
      <c r="H470" s="14">
        <f t="shared" si="16"/>
        <v>2022</v>
      </c>
      <c r="I470" s="12">
        <f>42.33*58248</f>
        <v>2465637.84</v>
      </c>
      <c r="J470" s="10">
        <v>3866</v>
      </c>
      <c r="K470" s="11">
        <v>44915</v>
      </c>
      <c r="L470" s="14">
        <f t="shared" si="17"/>
        <v>2022</v>
      </c>
      <c r="M470" s="12">
        <v>2588776</v>
      </c>
    </row>
    <row r="471" spans="1:13" ht="15.75" customHeight="1" x14ac:dyDescent="0.25">
      <c r="A471" s="9" t="s">
        <v>10</v>
      </c>
      <c r="B471" s="9" t="s">
        <v>29</v>
      </c>
      <c r="C471" s="10" t="s">
        <v>21</v>
      </c>
      <c r="D471" s="9" t="s">
        <v>38</v>
      </c>
      <c r="E471" s="9" t="s">
        <v>14</v>
      </c>
      <c r="F471" s="10">
        <v>1968</v>
      </c>
      <c r="G471" s="11">
        <v>44748</v>
      </c>
      <c r="H471" s="14">
        <f t="shared" si="16"/>
        <v>2022</v>
      </c>
      <c r="I471" s="12">
        <f>49.28*58248</f>
        <v>2870461.44</v>
      </c>
      <c r="J471" s="10">
        <v>4077</v>
      </c>
      <c r="K471" s="11">
        <v>44923</v>
      </c>
      <c r="L471" s="14">
        <f t="shared" si="17"/>
        <v>2022</v>
      </c>
      <c r="M471" s="12">
        <v>3013817</v>
      </c>
    </row>
    <row r="472" spans="1:13" ht="15.75" customHeight="1" x14ac:dyDescent="0.25">
      <c r="A472" s="9" t="s">
        <v>10</v>
      </c>
      <c r="B472" s="9" t="s">
        <v>29</v>
      </c>
      <c r="C472" s="10" t="s">
        <v>21</v>
      </c>
      <c r="D472" s="9" t="s">
        <v>38</v>
      </c>
      <c r="E472" s="9" t="s">
        <v>14</v>
      </c>
      <c r="F472" s="10">
        <v>1955</v>
      </c>
      <c r="G472" s="11">
        <v>44748</v>
      </c>
      <c r="H472" s="14">
        <f t="shared" si="16"/>
        <v>2022</v>
      </c>
      <c r="I472" s="12">
        <f>50.72*58248</f>
        <v>2954338.56</v>
      </c>
      <c r="J472" s="10">
        <v>3978</v>
      </c>
      <c r="K472" s="11">
        <v>44918</v>
      </c>
      <c r="L472" s="14">
        <f t="shared" si="17"/>
        <v>2022</v>
      </c>
      <c r="M472" s="12">
        <v>3101883</v>
      </c>
    </row>
    <row r="473" spans="1:13" ht="15.75" customHeight="1" x14ac:dyDescent="0.25">
      <c r="A473" s="9" t="s">
        <v>10</v>
      </c>
      <c r="B473" s="9" t="s">
        <v>29</v>
      </c>
      <c r="C473" s="10" t="s">
        <v>21</v>
      </c>
      <c r="D473" s="9" t="s">
        <v>38</v>
      </c>
      <c r="E473" s="9" t="s">
        <v>14</v>
      </c>
      <c r="F473" s="10">
        <v>1967</v>
      </c>
      <c r="G473" s="11">
        <v>44748</v>
      </c>
      <c r="H473" s="14">
        <f t="shared" si="16"/>
        <v>2022</v>
      </c>
      <c r="I473" s="12">
        <f>60.78*58248</f>
        <v>3540313.44</v>
      </c>
      <c r="J473" s="10">
        <v>4276</v>
      </c>
      <c r="K473" s="11">
        <v>44925</v>
      </c>
      <c r="L473" s="14">
        <f t="shared" si="17"/>
        <v>2022</v>
      </c>
      <c r="M473" s="12">
        <v>3717182.78</v>
      </c>
    </row>
    <row r="474" spans="1:13" ht="15.75" customHeight="1" x14ac:dyDescent="0.25">
      <c r="A474" s="9" t="s">
        <v>10</v>
      </c>
      <c r="B474" s="9" t="s">
        <v>29</v>
      </c>
      <c r="C474" s="10" t="s">
        <v>21</v>
      </c>
      <c r="D474" s="9" t="s">
        <v>38</v>
      </c>
      <c r="E474" s="9" t="s">
        <v>14</v>
      </c>
      <c r="F474" s="10">
        <v>1966</v>
      </c>
      <c r="G474" s="11">
        <v>44748</v>
      </c>
      <c r="H474" s="14">
        <f t="shared" si="16"/>
        <v>2022</v>
      </c>
      <c r="I474" s="12">
        <f>56.33*58248</f>
        <v>3281109.84</v>
      </c>
      <c r="J474" s="10">
        <v>3868</v>
      </c>
      <c r="K474" s="11">
        <v>44915</v>
      </c>
      <c r="L474" s="14">
        <f t="shared" si="17"/>
        <v>2022</v>
      </c>
      <c r="M474" s="12">
        <v>3444974</v>
      </c>
    </row>
    <row r="475" spans="1:13" ht="15.75" customHeight="1" x14ac:dyDescent="0.25">
      <c r="A475" s="9" t="s">
        <v>10</v>
      </c>
      <c r="B475" s="9" t="s">
        <v>29</v>
      </c>
      <c r="C475" s="10" t="s">
        <v>21</v>
      </c>
      <c r="D475" s="9" t="s">
        <v>38</v>
      </c>
      <c r="E475" s="9" t="s">
        <v>14</v>
      </c>
      <c r="F475" s="10">
        <v>1965</v>
      </c>
      <c r="G475" s="11">
        <v>44748</v>
      </c>
      <c r="H475" s="14">
        <f t="shared" si="16"/>
        <v>2022</v>
      </c>
      <c r="I475" s="12">
        <f>61.76*58248</f>
        <v>3597396.48</v>
      </c>
      <c r="J475" s="10">
        <v>3976</v>
      </c>
      <c r="K475" s="11">
        <v>44918</v>
      </c>
      <c r="L475" s="14">
        <f t="shared" si="17"/>
        <v>2022</v>
      </c>
      <c r="M475" s="12">
        <v>3777056</v>
      </c>
    </row>
    <row r="476" spans="1:13" ht="15.75" customHeight="1" x14ac:dyDescent="0.25">
      <c r="A476" s="9" t="s">
        <v>10</v>
      </c>
      <c r="B476" s="9" t="s">
        <v>29</v>
      </c>
      <c r="C476" s="10" t="s">
        <v>21</v>
      </c>
      <c r="D476" s="9" t="s">
        <v>38</v>
      </c>
      <c r="E476" s="9" t="s">
        <v>14</v>
      </c>
      <c r="F476" s="10">
        <v>1956</v>
      </c>
      <c r="G476" s="11">
        <v>44748</v>
      </c>
      <c r="H476" s="14">
        <f t="shared" si="16"/>
        <v>2022</v>
      </c>
      <c r="I476" s="12">
        <f>78.68*58248</f>
        <v>4582952.6400000006</v>
      </c>
      <c r="J476" s="10">
        <v>3869</v>
      </c>
      <c r="K476" s="11">
        <v>44915</v>
      </c>
      <c r="L476" s="14">
        <f t="shared" si="17"/>
        <v>2022</v>
      </c>
      <c r="M476" s="12">
        <v>4811833</v>
      </c>
    </row>
    <row r="477" spans="1:13" ht="15.75" customHeight="1" x14ac:dyDescent="0.25">
      <c r="A477" s="9" t="s">
        <v>10</v>
      </c>
      <c r="B477" s="9" t="s">
        <v>29</v>
      </c>
      <c r="C477" s="10" t="s">
        <v>21</v>
      </c>
      <c r="D477" s="9" t="s">
        <v>41</v>
      </c>
      <c r="E477" s="9" t="s">
        <v>14</v>
      </c>
      <c r="F477" s="10">
        <v>1954</v>
      </c>
      <c r="G477" s="11">
        <v>44748</v>
      </c>
      <c r="H477" s="14">
        <f t="shared" si="16"/>
        <v>2022</v>
      </c>
      <c r="I477" s="12">
        <f>19.08*58248</f>
        <v>1111371.8399999999</v>
      </c>
      <c r="J477" s="10">
        <v>3977</v>
      </c>
      <c r="K477" s="11">
        <v>44921</v>
      </c>
      <c r="L477" s="14">
        <f t="shared" si="17"/>
        <v>2022</v>
      </c>
      <c r="M477" s="12">
        <v>1166876</v>
      </c>
    </row>
    <row r="478" spans="1:13" ht="15.75" customHeight="1" x14ac:dyDescent="0.25">
      <c r="A478" s="9" t="s">
        <v>10</v>
      </c>
      <c r="B478" s="9" t="s">
        <v>29</v>
      </c>
      <c r="C478" s="10" t="s">
        <v>21</v>
      </c>
      <c r="D478" s="9" t="s">
        <v>22</v>
      </c>
      <c r="E478" s="9" t="s">
        <v>14</v>
      </c>
      <c r="F478" s="10">
        <v>1969</v>
      </c>
      <c r="G478" s="11">
        <v>44748</v>
      </c>
      <c r="H478" s="14">
        <f t="shared" si="16"/>
        <v>2022</v>
      </c>
      <c r="I478" s="12">
        <f>128.14*58248</f>
        <v>7463898.7199999988</v>
      </c>
      <c r="J478" s="10">
        <v>3870</v>
      </c>
      <c r="K478" s="11">
        <v>44915</v>
      </c>
      <c r="L478" s="14">
        <f t="shared" si="17"/>
        <v>2022</v>
      </c>
      <c r="M478" s="12">
        <v>7836658</v>
      </c>
    </row>
    <row r="479" spans="1:13" ht="15.75" customHeight="1" x14ac:dyDescent="0.25">
      <c r="A479" s="9" t="s">
        <v>10</v>
      </c>
      <c r="B479" s="9" t="s">
        <v>29</v>
      </c>
      <c r="C479" s="10" t="s">
        <v>21</v>
      </c>
      <c r="D479" s="9" t="s">
        <v>22</v>
      </c>
      <c r="E479" s="9" t="s">
        <v>14</v>
      </c>
      <c r="F479" s="10">
        <v>1959</v>
      </c>
      <c r="G479" s="11">
        <v>44748</v>
      </c>
      <c r="H479" s="14">
        <f t="shared" si="16"/>
        <v>2022</v>
      </c>
      <c r="I479" s="12">
        <f>79.42*58248</f>
        <v>4626056.16</v>
      </c>
      <c r="J479" s="10">
        <v>3973</v>
      </c>
      <c r="K479" s="11">
        <v>44918</v>
      </c>
      <c r="L479" s="14">
        <f t="shared" si="17"/>
        <v>2022</v>
      </c>
      <c r="M479" s="12">
        <v>4857089</v>
      </c>
    </row>
    <row r="480" spans="1:13" ht="15.75" customHeight="1" x14ac:dyDescent="0.25">
      <c r="A480" s="9" t="s">
        <v>10</v>
      </c>
      <c r="B480" s="9" t="s">
        <v>29</v>
      </c>
      <c r="C480" s="10" t="s">
        <v>21</v>
      </c>
      <c r="D480" s="9" t="s">
        <v>49</v>
      </c>
      <c r="E480" s="9" t="s">
        <v>14</v>
      </c>
      <c r="F480" s="10">
        <v>1970</v>
      </c>
      <c r="G480" s="11">
        <v>44748</v>
      </c>
      <c r="H480" s="14">
        <f t="shared" si="16"/>
        <v>2022</v>
      </c>
      <c r="I480" s="12">
        <f>89.03*58248</f>
        <v>5185819.4400000004</v>
      </c>
      <c r="J480" s="10">
        <v>4076</v>
      </c>
      <c r="K480" s="11">
        <v>44923</v>
      </c>
      <c r="L480" s="14">
        <f t="shared" si="17"/>
        <v>2022</v>
      </c>
      <c r="M480" s="12">
        <v>5444808</v>
      </c>
    </row>
    <row r="481" spans="1:13" ht="15.75" customHeight="1" x14ac:dyDescent="0.25">
      <c r="A481" s="9" t="s">
        <v>15</v>
      </c>
      <c r="B481" s="9" t="s">
        <v>29</v>
      </c>
      <c r="C481" s="10" t="s">
        <v>21</v>
      </c>
      <c r="D481" s="9" t="s">
        <v>38</v>
      </c>
      <c r="E481" s="9" t="s">
        <v>23</v>
      </c>
      <c r="F481" s="10">
        <v>2329</v>
      </c>
      <c r="G481" s="11">
        <v>44770</v>
      </c>
      <c r="H481" s="14">
        <f t="shared" si="16"/>
        <v>2022</v>
      </c>
      <c r="I481" s="12">
        <v>94121424</v>
      </c>
      <c r="J481" s="10">
        <v>3432</v>
      </c>
      <c r="K481" s="11">
        <v>44886</v>
      </c>
      <c r="L481" s="14">
        <f t="shared" si="17"/>
        <v>2022</v>
      </c>
      <c r="M481" s="12">
        <v>94121424</v>
      </c>
    </row>
    <row r="482" spans="1:13" ht="15.75" customHeight="1" x14ac:dyDescent="0.25">
      <c r="A482" s="9" t="s">
        <v>15</v>
      </c>
      <c r="B482" s="9" t="s">
        <v>29</v>
      </c>
      <c r="C482" s="10" t="s">
        <v>21</v>
      </c>
      <c r="D482" s="9" t="s">
        <v>41</v>
      </c>
      <c r="E482" s="9" t="s">
        <v>23</v>
      </c>
      <c r="F482" s="10">
        <v>2328</v>
      </c>
      <c r="G482" s="11">
        <v>44770</v>
      </c>
      <c r="H482" s="14">
        <f t="shared" si="16"/>
        <v>2022</v>
      </c>
      <c r="I482" s="12">
        <v>52881558</v>
      </c>
      <c r="J482" s="10">
        <v>3434</v>
      </c>
      <c r="K482" s="11">
        <v>44886</v>
      </c>
      <c r="L482" s="14">
        <f t="shared" si="17"/>
        <v>2022</v>
      </c>
      <c r="M482" s="12">
        <v>52881558</v>
      </c>
    </row>
    <row r="483" spans="1:13" ht="15.75" customHeight="1" x14ac:dyDescent="0.25">
      <c r="A483" s="9" t="s">
        <v>15</v>
      </c>
      <c r="B483" s="9" t="s">
        <v>29</v>
      </c>
      <c r="C483" s="10" t="s">
        <v>21</v>
      </c>
      <c r="D483" s="9" t="s">
        <v>22</v>
      </c>
      <c r="E483" s="9" t="s">
        <v>23</v>
      </c>
      <c r="F483" s="10">
        <v>2331</v>
      </c>
      <c r="G483" s="11">
        <v>44770</v>
      </c>
      <c r="H483" s="14">
        <f t="shared" si="16"/>
        <v>2022</v>
      </c>
      <c r="I483" s="12">
        <v>119368063</v>
      </c>
      <c r="J483" s="10">
        <v>3433</v>
      </c>
      <c r="K483" s="11">
        <v>44916</v>
      </c>
      <c r="L483" s="14">
        <f t="shared" si="17"/>
        <v>2022</v>
      </c>
      <c r="M483" s="12">
        <v>119368063</v>
      </c>
    </row>
    <row r="484" spans="1:13" ht="15.75" customHeight="1" x14ac:dyDescent="0.25">
      <c r="A484" s="9" t="s">
        <v>15</v>
      </c>
      <c r="B484" s="9" t="s">
        <v>29</v>
      </c>
      <c r="C484" s="10" t="s">
        <v>21</v>
      </c>
      <c r="D484" s="9" t="s">
        <v>49</v>
      </c>
      <c r="E484" s="9" t="s">
        <v>23</v>
      </c>
      <c r="F484" s="10">
        <v>2330</v>
      </c>
      <c r="G484" s="11">
        <v>44770</v>
      </c>
      <c r="H484" s="14">
        <f t="shared" si="16"/>
        <v>2022</v>
      </c>
      <c r="I484" s="12">
        <v>4399270</v>
      </c>
      <c r="J484" s="10">
        <v>3431</v>
      </c>
      <c r="K484" s="11">
        <v>44886</v>
      </c>
      <c r="L484" s="14">
        <f t="shared" si="17"/>
        <v>2022</v>
      </c>
      <c r="M484" s="12">
        <v>4399270</v>
      </c>
    </row>
    <row r="485" spans="1:13" ht="15.75" customHeight="1" x14ac:dyDescent="0.25">
      <c r="A485" s="9" t="s">
        <v>59</v>
      </c>
      <c r="B485" s="9" t="s">
        <v>29</v>
      </c>
      <c r="C485" s="10" t="s">
        <v>21</v>
      </c>
      <c r="D485" s="9" t="s">
        <v>38</v>
      </c>
      <c r="E485" s="9" t="s">
        <v>14</v>
      </c>
      <c r="F485" s="10">
        <v>1962</v>
      </c>
      <c r="G485" s="11">
        <v>44748</v>
      </c>
      <c r="H485" s="14">
        <f t="shared" si="16"/>
        <v>2022</v>
      </c>
      <c r="I485" s="12">
        <f>24.39*58248</f>
        <v>1420668.72</v>
      </c>
      <c r="J485" s="10">
        <v>3975</v>
      </c>
      <c r="K485" s="11">
        <v>44918</v>
      </c>
      <c r="L485" s="14">
        <f t="shared" si="17"/>
        <v>2022</v>
      </c>
      <c r="M485" s="12">
        <v>1491619</v>
      </c>
    </row>
    <row r="486" spans="1:13" ht="15.75" customHeight="1" x14ac:dyDescent="0.25">
      <c r="A486" s="9" t="s">
        <v>59</v>
      </c>
      <c r="B486" s="9" t="s">
        <v>29</v>
      </c>
      <c r="C486" s="10" t="s">
        <v>21</v>
      </c>
      <c r="D486" s="9" t="s">
        <v>38</v>
      </c>
      <c r="E486" s="9" t="s">
        <v>14</v>
      </c>
      <c r="F486" s="10">
        <v>1971</v>
      </c>
      <c r="G486" s="11">
        <v>44748</v>
      </c>
      <c r="H486" s="14">
        <f t="shared" si="16"/>
        <v>2022</v>
      </c>
      <c r="I486" s="12">
        <f>37.57*58248</f>
        <v>2188377.36</v>
      </c>
      <c r="J486" s="10">
        <v>4075</v>
      </c>
      <c r="K486" s="11">
        <v>44923</v>
      </c>
      <c r="L486" s="14">
        <f t="shared" si="17"/>
        <v>2022</v>
      </c>
      <c r="M486" s="12">
        <v>2297668</v>
      </c>
    </row>
    <row r="487" spans="1:13" ht="15.75" customHeight="1" x14ac:dyDescent="0.25">
      <c r="A487" s="9" t="s">
        <v>59</v>
      </c>
      <c r="B487" s="9" t="s">
        <v>29</v>
      </c>
      <c r="C487" s="10" t="s">
        <v>21</v>
      </c>
      <c r="D487" s="9" t="s">
        <v>22</v>
      </c>
      <c r="E487" s="9" t="s">
        <v>14</v>
      </c>
      <c r="F487" s="10">
        <v>1964</v>
      </c>
      <c r="G487" s="11">
        <v>44748</v>
      </c>
      <c r="H487" s="14">
        <f t="shared" si="16"/>
        <v>2022</v>
      </c>
      <c r="I487" s="12">
        <f>5.71*58248</f>
        <v>332596.08</v>
      </c>
      <c r="J487" s="10">
        <v>3974</v>
      </c>
      <c r="K487" s="11">
        <v>44918</v>
      </c>
      <c r="L487" s="14">
        <f t="shared" si="17"/>
        <v>2022</v>
      </c>
      <c r="M487" s="12">
        <v>349207</v>
      </c>
    </row>
    <row r="488" spans="1:13" ht="15.75" customHeight="1" x14ac:dyDescent="0.25">
      <c r="A488" s="9" t="s">
        <v>59</v>
      </c>
      <c r="B488" s="9" t="s">
        <v>29</v>
      </c>
      <c r="C488" s="10" t="s">
        <v>21</v>
      </c>
      <c r="D488" s="9" t="s">
        <v>49</v>
      </c>
      <c r="E488" s="9" t="s">
        <v>14</v>
      </c>
      <c r="F488" s="10">
        <v>1963</v>
      </c>
      <c r="G488" s="11">
        <v>44748</v>
      </c>
      <c r="H488" s="14">
        <f t="shared" si="16"/>
        <v>2022</v>
      </c>
      <c r="I488" s="12">
        <f>49.89*58248</f>
        <v>2905992.72</v>
      </c>
      <c r="J488" s="10">
        <v>3972</v>
      </c>
      <c r="K488" s="11">
        <v>44918</v>
      </c>
      <c r="L488" s="14">
        <f t="shared" si="17"/>
        <v>2022</v>
      </c>
      <c r="M488" s="12">
        <v>3051123</v>
      </c>
    </row>
    <row r="489" spans="1:13" ht="15.75" customHeight="1" x14ac:dyDescent="0.25">
      <c r="A489" s="9" t="s">
        <v>15</v>
      </c>
      <c r="B489" s="9" t="s">
        <v>29</v>
      </c>
      <c r="C489" s="10" t="s">
        <v>21</v>
      </c>
      <c r="D489" s="9" t="s">
        <v>83</v>
      </c>
      <c r="E489" s="9" t="s">
        <v>72</v>
      </c>
      <c r="F489" s="10">
        <v>2110</v>
      </c>
      <c r="G489" s="11">
        <v>44760</v>
      </c>
      <c r="H489" s="14">
        <f t="shared" si="16"/>
        <v>2022</v>
      </c>
      <c r="I489" s="12">
        <f>22422*58248</f>
        <v>1306036656</v>
      </c>
      <c r="J489" s="10">
        <v>4017</v>
      </c>
      <c r="K489" s="11">
        <v>44922</v>
      </c>
      <c r="L489" s="14">
        <f t="shared" si="17"/>
        <v>2022</v>
      </c>
      <c r="M489" s="12">
        <v>1371262254</v>
      </c>
    </row>
    <row r="490" spans="1:13" ht="15.75" customHeight="1" x14ac:dyDescent="0.25">
      <c r="A490" s="9" t="s">
        <v>15</v>
      </c>
      <c r="B490" s="9" t="s">
        <v>29</v>
      </c>
      <c r="C490" s="10" t="s">
        <v>21</v>
      </c>
      <c r="D490" s="9" t="s">
        <v>83</v>
      </c>
      <c r="E490" s="9" t="s">
        <v>72</v>
      </c>
      <c r="F490" s="10">
        <v>2109</v>
      </c>
      <c r="G490" s="11">
        <v>44760</v>
      </c>
      <c r="H490" s="14">
        <f t="shared" si="16"/>
        <v>2022</v>
      </c>
      <c r="I490" s="12">
        <f>2231.73*58248</f>
        <v>129993809.04000001</v>
      </c>
      <c r="J490" s="10">
        <v>3524</v>
      </c>
      <c r="K490" s="11">
        <v>44894</v>
      </c>
      <c r="L490" s="14">
        <f t="shared" si="17"/>
        <v>2022</v>
      </c>
      <c r="M490" s="12">
        <v>135807466</v>
      </c>
    </row>
    <row r="491" spans="1:13" ht="15.75" customHeight="1" x14ac:dyDescent="0.25">
      <c r="A491" s="9" t="s">
        <v>59</v>
      </c>
      <c r="B491" s="9" t="s">
        <v>29</v>
      </c>
      <c r="C491" s="10" t="s">
        <v>21</v>
      </c>
      <c r="D491" s="9" t="s">
        <v>83</v>
      </c>
      <c r="E491" s="9" t="s">
        <v>72</v>
      </c>
      <c r="F491" s="10">
        <v>1960</v>
      </c>
      <c r="G491" s="11">
        <v>44748</v>
      </c>
      <c r="H491" s="14">
        <f t="shared" si="16"/>
        <v>2022</v>
      </c>
      <c r="I491" s="12">
        <f>7737.1*58248</f>
        <v>450670600.80000001</v>
      </c>
      <c r="J491" s="10">
        <v>4074</v>
      </c>
      <c r="K491" s="11">
        <v>44923</v>
      </c>
      <c r="L491" s="14">
        <f t="shared" si="17"/>
        <v>2022</v>
      </c>
      <c r="M491" s="12">
        <f>7737.1*61157</f>
        <v>473177824.70000005</v>
      </c>
    </row>
    <row r="492" spans="1:13" ht="15.75" customHeight="1" x14ac:dyDescent="0.25">
      <c r="A492" s="9" t="s">
        <v>59</v>
      </c>
      <c r="B492" s="9" t="s">
        <v>29</v>
      </c>
      <c r="C492" s="10" t="s">
        <v>21</v>
      </c>
      <c r="D492" s="9" t="s">
        <v>83</v>
      </c>
      <c r="E492" s="9" t="s">
        <v>72</v>
      </c>
      <c r="F492" s="10">
        <v>1951</v>
      </c>
      <c r="G492" s="11">
        <v>44748</v>
      </c>
      <c r="H492" s="14">
        <f t="shared" si="16"/>
        <v>2022</v>
      </c>
      <c r="I492" s="12">
        <f>13914.31*58248</f>
        <v>810480728.88</v>
      </c>
      <c r="J492" s="10">
        <v>4079</v>
      </c>
      <c r="K492" s="11">
        <v>44923</v>
      </c>
      <c r="L492" s="14">
        <f t="shared" si="17"/>
        <v>2022</v>
      </c>
      <c r="M492" s="12">
        <f>13914.31*61157</f>
        <v>850957456.66999996</v>
      </c>
    </row>
    <row r="493" spans="1:13" ht="15.75" customHeight="1" x14ac:dyDescent="0.25">
      <c r="A493" s="9" t="s">
        <v>59</v>
      </c>
      <c r="B493" s="9" t="s">
        <v>29</v>
      </c>
      <c r="C493" s="10" t="s">
        <v>21</v>
      </c>
      <c r="D493" s="9" t="s">
        <v>83</v>
      </c>
      <c r="E493" s="9" t="s">
        <v>72</v>
      </c>
      <c r="F493" s="10">
        <v>1950</v>
      </c>
      <c r="G493" s="11">
        <v>44748</v>
      </c>
      <c r="H493" s="14">
        <f t="shared" si="16"/>
        <v>2022</v>
      </c>
      <c r="I493" s="12">
        <f>913.77*58248</f>
        <v>53225274.960000001</v>
      </c>
      <c r="J493" s="10">
        <v>4016</v>
      </c>
      <c r="K493" s="11">
        <v>44922</v>
      </c>
      <c r="L493" s="14">
        <f t="shared" si="17"/>
        <v>2022</v>
      </c>
      <c r="M493" s="12">
        <v>55883432</v>
      </c>
    </row>
    <row r="494" spans="1:13" ht="15.75" customHeight="1" x14ac:dyDescent="0.25">
      <c r="A494" s="9" t="s">
        <v>57</v>
      </c>
      <c r="B494" s="9" t="s">
        <v>29</v>
      </c>
      <c r="C494" s="10" t="s">
        <v>21</v>
      </c>
      <c r="D494" s="9" t="s">
        <v>41</v>
      </c>
      <c r="E494" s="9" t="s">
        <v>58</v>
      </c>
      <c r="F494" s="10">
        <v>1952</v>
      </c>
      <c r="G494" s="11">
        <v>44748</v>
      </c>
      <c r="H494" s="14">
        <f t="shared" si="16"/>
        <v>2022</v>
      </c>
      <c r="I494" s="12">
        <f>15.75*58248</f>
        <v>917406</v>
      </c>
      <c r="J494" s="10">
        <v>3382</v>
      </c>
      <c r="K494" s="11">
        <v>44881</v>
      </c>
      <c r="L494" s="14">
        <f t="shared" si="17"/>
        <v>2022</v>
      </c>
      <c r="M494" s="12">
        <f>16*60853</f>
        <v>973648</v>
      </c>
    </row>
    <row r="495" spans="1:13" ht="15.75" customHeight="1" x14ac:dyDescent="0.25">
      <c r="A495" s="9" t="s">
        <v>57</v>
      </c>
      <c r="B495" s="9" t="s">
        <v>29</v>
      </c>
      <c r="C495" s="10" t="s">
        <v>21</v>
      </c>
      <c r="D495" s="9" t="s">
        <v>22</v>
      </c>
      <c r="E495" s="9" t="s">
        <v>58</v>
      </c>
      <c r="F495" s="10">
        <v>1953</v>
      </c>
      <c r="G495" s="11">
        <v>44748</v>
      </c>
      <c r="H495" s="14">
        <f t="shared" si="16"/>
        <v>2022</v>
      </c>
      <c r="I495" s="12">
        <f>10.5*58248</f>
        <v>611604</v>
      </c>
      <c r="J495" s="10">
        <v>3383</v>
      </c>
      <c r="K495" s="11">
        <v>44881</v>
      </c>
      <c r="L495" s="14">
        <f t="shared" si="17"/>
        <v>2022</v>
      </c>
      <c r="M495" s="12">
        <f>11*60853</f>
        <v>669383</v>
      </c>
    </row>
    <row r="496" spans="1:13" ht="15.75" customHeight="1" x14ac:dyDescent="0.25">
      <c r="A496" s="9" t="s">
        <v>15</v>
      </c>
      <c r="B496" s="9" t="s">
        <v>29</v>
      </c>
      <c r="C496" s="10" t="s">
        <v>21</v>
      </c>
      <c r="D496" s="9" t="s">
        <v>22</v>
      </c>
      <c r="E496" s="9" t="s">
        <v>73</v>
      </c>
      <c r="F496" s="10">
        <v>2815</v>
      </c>
      <c r="G496" s="11">
        <v>44830</v>
      </c>
      <c r="H496" s="14">
        <f t="shared" si="16"/>
        <v>2022</v>
      </c>
      <c r="I496" s="12">
        <f>540*59595</f>
        <v>32181300</v>
      </c>
      <c r="J496" s="10">
        <v>3963</v>
      </c>
      <c r="K496" s="11">
        <v>44918</v>
      </c>
      <c r="L496" s="14">
        <f t="shared" si="17"/>
        <v>2022</v>
      </c>
      <c r="M496" s="12">
        <v>33024780</v>
      </c>
    </row>
    <row r="497" spans="1:13" ht="15.75" customHeight="1" x14ac:dyDescent="0.25">
      <c r="A497" s="9" t="s">
        <v>15</v>
      </c>
      <c r="B497" s="9" t="s">
        <v>29</v>
      </c>
      <c r="C497" s="10" t="s">
        <v>21</v>
      </c>
      <c r="D497" s="9" t="s">
        <v>22</v>
      </c>
      <c r="E497" s="9" t="s">
        <v>69</v>
      </c>
      <c r="F497" s="10">
        <v>2243</v>
      </c>
      <c r="G497" s="11">
        <v>44768</v>
      </c>
      <c r="H497" s="14">
        <f t="shared" si="16"/>
        <v>2022</v>
      </c>
      <c r="I497" s="12">
        <f>16.6*58248</f>
        <v>966916.8</v>
      </c>
      <c r="J497" s="10">
        <v>3250</v>
      </c>
      <c r="K497" s="11">
        <v>44862</v>
      </c>
      <c r="L497" s="14">
        <f t="shared" si="17"/>
        <v>2022</v>
      </c>
      <c r="M497" s="12">
        <v>1001146</v>
      </c>
    </row>
    <row r="498" spans="1:13" ht="15.75" customHeight="1" x14ac:dyDescent="0.25">
      <c r="A498" s="9" t="s">
        <v>15</v>
      </c>
      <c r="B498" s="9" t="s">
        <v>50</v>
      </c>
      <c r="C498" s="10" t="s">
        <v>21</v>
      </c>
      <c r="D498" s="9" t="s">
        <v>13</v>
      </c>
      <c r="E498" s="9" t="s">
        <v>47</v>
      </c>
      <c r="F498" s="10">
        <v>193</v>
      </c>
      <c r="G498" s="11">
        <v>44211</v>
      </c>
      <c r="H498" s="14">
        <f t="shared" si="16"/>
        <v>2021</v>
      </c>
      <c r="I498" s="12">
        <f>399.7*50978</f>
        <v>20375906.599999998</v>
      </c>
      <c r="J498" s="10">
        <v>2113</v>
      </c>
      <c r="K498" s="11">
        <v>44760</v>
      </c>
      <c r="L498" s="14">
        <f t="shared" si="17"/>
        <v>2022</v>
      </c>
      <c r="M498" s="12">
        <v>23281726</v>
      </c>
    </row>
    <row r="499" spans="1:13" ht="15.75" customHeight="1" x14ac:dyDescent="0.25">
      <c r="A499" s="9" t="s">
        <v>15</v>
      </c>
      <c r="B499" s="9" t="s">
        <v>50</v>
      </c>
      <c r="C499" s="10" t="s">
        <v>21</v>
      </c>
      <c r="D499" s="9" t="s">
        <v>13</v>
      </c>
      <c r="E499" s="9" t="s">
        <v>47</v>
      </c>
      <c r="F499" s="10">
        <v>194</v>
      </c>
      <c r="G499" s="11">
        <v>44211</v>
      </c>
      <c r="H499" s="14">
        <f t="shared" si="16"/>
        <v>2021</v>
      </c>
      <c r="I499" s="12">
        <f>270.2*50978</f>
        <v>13774255.6</v>
      </c>
      <c r="J499" s="10">
        <v>2114</v>
      </c>
      <c r="K499" s="11">
        <v>44760</v>
      </c>
      <c r="L499" s="14">
        <f t="shared" si="17"/>
        <v>2022</v>
      </c>
      <c r="M499" s="12">
        <v>15738611</v>
      </c>
    </row>
    <row r="500" spans="1:13" ht="15.75" customHeight="1" x14ac:dyDescent="0.25">
      <c r="A500" s="9" t="s">
        <v>15</v>
      </c>
      <c r="B500" s="9" t="s">
        <v>50</v>
      </c>
      <c r="C500" s="10" t="s">
        <v>21</v>
      </c>
      <c r="D500" s="9" t="s">
        <v>13</v>
      </c>
      <c r="E500" s="9" t="s">
        <v>47</v>
      </c>
      <c r="F500" s="10">
        <v>1353</v>
      </c>
      <c r="G500" s="11">
        <v>44326</v>
      </c>
      <c r="H500" s="14">
        <f t="shared" si="16"/>
        <v>2021</v>
      </c>
      <c r="I500" s="12">
        <f>42*51798</f>
        <v>2175516</v>
      </c>
      <c r="J500" s="10">
        <v>2115</v>
      </c>
      <c r="K500" s="11">
        <v>44760</v>
      </c>
      <c r="L500" s="14">
        <f t="shared" si="17"/>
        <v>2022</v>
      </c>
      <c r="M500" s="12">
        <v>2446416</v>
      </c>
    </row>
    <row r="501" spans="1:13" ht="15.75" customHeight="1" x14ac:dyDescent="0.25">
      <c r="A501" s="9" t="s">
        <v>10</v>
      </c>
      <c r="B501" s="9" t="s">
        <v>50</v>
      </c>
      <c r="C501" s="10" t="s">
        <v>21</v>
      </c>
      <c r="D501" s="9" t="s">
        <v>13</v>
      </c>
      <c r="E501" s="9" t="s">
        <v>69</v>
      </c>
      <c r="F501" s="10">
        <v>2568</v>
      </c>
      <c r="G501" s="11">
        <v>44473</v>
      </c>
      <c r="H501" s="14">
        <f t="shared" si="16"/>
        <v>2021</v>
      </c>
      <c r="I501" s="12">
        <f>9.2*52842</f>
        <v>486146.39999999997</v>
      </c>
      <c r="J501" s="10">
        <v>3255</v>
      </c>
      <c r="K501" s="11">
        <v>44862</v>
      </c>
      <c r="L501" s="14">
        <f t="shared" si="17"/>
        <v>2022</v>
      </c>
      <c r="M501" s="12">
        <v>48248</v>
      </c>
    </row>
    <row r="502" spans="1:13" ht="15.75" customHeight="1" x14ac:dyDescent="0.25">
      <c r="A502" s="9" t="s">
        <v>15</v>
      </c>
      <c r="B502" s="9" t="s">
        <v>50</v>
      </c>
      <c r="C502" s="10" t="s">
        <v>21</v>
      </c>
      <c r="D502" s="9" t="s">
        <v>13</v>
      </c>
      <c r="E502" s="9" t="s">
        <v>14</v>
      </c>
      <c r="F502" s="10">
        <v>3423</v>
      </c>
      <c r="G502" s="11">
        <v>44554</v>
      </c>
      <c r="H502" s="14">
        <f t="shared" si="16"/>
        <v>2021</v>
      </c>
      <c r="I502" s="12">
        <f>158.2*52842</f>
        <v>8359604.3999999994</v>
      </c>
      <c r="J502" s="10">
        <v>2116</v>
      </c>
      <c r="K502" s="11">
        <v>44760</v>
      </c>
      <c r="L502" s="14">
        <f t="shared" si="17"/>
        <v>2022</v>
      </c>
      <c r="M502" s="12">
        <v>9214834</v>
      </c>
    </row>
    <row r="503" spans="1:13" ht="15.75" customHeight="1" x14ac:dyDescent="0.25">
      <c r="A503" s="9" t="s">
        <v>15</v>
      </c>
      <c r="B503" s="9" t="s">
        <v>50</v>
      </c>
      <c r="C503" s="10" t="s">
        <v>21</v>
      </c>
      <c r="D503" s="9" t="s">
        <v>13</v>
      </c>
      <c r="E503" s="9" t="s">
        <v>47</v>
      </c>
      <c r="F503" s="10">
        <v>200</v>
      </c>
      <c r="G503" s="11">
        <v>44580</v>
      </c>
      <c r="H503" s="14">
        <f t="shared" si="16"/>
        <v>2022</v>
      </c>
      <c r="I503" s="12">
        <f>84.35*54445</f>
        <v>4592435.75</v>
      </c>
      <c r="J503" s="10">
        <v>2111</v>
      </c>
      <c r="K503" s="11">
        <v>44760</v>
      </c>
      <c r="L503" s="14">
        <f t="shared" si="17"/>
        <v>2022</v>
      </c>
      <c r="M503" s="12">
        <v>4913219</v>
      </c>
    </row>
    <row r="504" spans="1:13" ht="15.75" customHeight="1" x14ac:dyDescent="0.25">
      <c r="A504" s="9" t="s">
        <v>15</v>
      </c>
      <c r="B504" s="9" t="s">
        <v>50</v>
      </c>
      <c r="C504" s="10" t="s">
        <v>21</v>
      </c>
      <c r="D504" s="9" t="s">
        <v>13</v>
      </c>
      <c r="E504" s="9" t="s">
        <v>23</v>
      </c>
      <c r="F504" s="10">
        <v>2318</v>
      </c>
      <c r="G504" s="11">
        <v>44770</v>
      </c>
      <c r="H504" s="14">
        <f t="shared" si="16"/>
        <v>2022</v>
      </c>
      <c r="I504" s="12">
        <v>7024135</v>
      </c>
      <c r="J504" s="10">
        <v>3141</v>
      </c>
      <c r="K504" s="11">
        <v>44852</v>
      </c>
      <c r="L504" s="14">
        <f t="shared" si="17"/>
        <v>2022</v>
      </c>
      <c r="M504" s="12">
        <v>7024135</v>
      </c>
    </row>
    <row r="505" spans="1:13" ht="15.75" customHeight="1" x14ac:dyDescent="0.25">
      <c r="A505" s="9" t="s">
        <v>15</v>
      </c>
      <c r="B505" s="9" t="s">
        <v>50</v>
      </c>
      <c r="C505" s="10" t="s">
        <v>21</v>
      </c>
      <c r="D505" s="9" t="s">
        <v>83</v>
      </c>
      <c r="E505" s="9" t="s">
        <v>72</v>
      </c>
      <c r="F505" s="10">
        <v>2117</v>
      </c>
      <c r="G505" s="11">
        <v>44760</v>
      </c>
      <c r="H505" s="14">
        <f t="shared" si="16"/>
        <v>2022</v>
      </c>
      <c r="I505" s="12">
        <f>1298*58248</f>
        <v>75605904</v>
      </c>
      <c r="J505" s="10">
        <v>3970</v>
      </c>
      <c r="K505" s="11">
        <v>44918</v>
      </c>
      <c r="L505" s="14">
        <f t="shared" si="17"/>
        <v>2022</v>
      </c>
      <c r="M505" s="12">
        <v>79381786</v>
      </c>
    </row>
    <row r="506" spans="1:13" ht="15.75" customHeight="1" x14ac:dyDescent="0.25">
      <c r="A506" s="9" t="s">
        <v>15</v>
      </c>
      <c r="B506" s="9" t="s">
        <v>50</v>
      </c>
      <c r="C506" s="10" t="s">
        <v>21</v>
      </c>
      <c r="D506" s="9" t="s">
        <v>83</v>
      </c>
      <c r="E506" s="9" t="s">
        <v>72</v>
      </c>
      <c r="F506" s="10">
        <v>2340</v>
      </c>
      <c r="G506" s="11">
        <v>44771</v>
      </c>
      <c r="H506" s="14">
        <f t="shared" si="16"/>
        <v>2022</v>
      </c>
      <c r="I506" s="12">
        <f>910*58248</f>
        <v>53005680</v>
      </c>
      <c r="J506" s="10">
        <v>3969</v>
      </c>
      <c r="K506" s="11">
        <v>44918</v>
      </c>
      <c r="L506" s="14">
        <f t="shared" si="17"/>
        <v>2022</v>
      </c>
      <c r="M506" s="12">
        <v>55622292</v>
      </c>
    </row>
    <row r="507" spans="1:13" ht="15.75" customHeight="1" x14ac:dyDescent="0.25">
      <c r="A507" s="9" t="s">
        <v>15</v>
      </c>
      <c r="B507" s="9" t="s">
        <v>50</v>
      </c>
      <c r="C507" s="10" t="s">
        <v>21</v>
      </c>
      <c r="D507" s="9" t="s">
        <v>83</v>
      </c>
      <c r="E507" s="9" t="s">
        <v>72</v>
      </c>
      <c r="F507" s="10">
        <v>1650</v>
      </c>
      <c r="G507" s="11">
        <v>44714</v>
      </c>
      <c r="H507" s="14">
        <f t="shared" si="16"/>
        <v>2022</v>
      </c>
      <c r="I507" s="12">
        <f>1422*57557</f>
        <v>81846054</v>
      </c>
      <c r="J507" s="10">
        <v>4133</v>
      </c>
      <c r="K507" s="11">
        <v>44924</v>
      </c>
      <c r="L507" s="14">
        <f t="shared" si="17"/>
        <v>2022</v>
      </c>
      <c r="M507" s="12">
        <v>86965254</v>
      </c>
    </row>
    <row r="508" spans="1:13" ht="15.75" customHeight="1" x14ac:dyDescent="0.25">
      <c r="A508" s="9" t="s">
        <v>10</v>
      </c>
      <c r="B508" s="9" t="s">
        <v>50</v>
      </c>
      <c r="C508" s="10" t="s">
        <v>21</v>
      </c>
      <c r="D508" s="9" t="s">
        <v>13</v>
      </c>
      <c r="E508" s="9" t="s">
        <v>14</v>
      </c>
      <c r="F508" s="10">
        <v>2071</v>
      </c>
      <c r="G508" s="11">
        <v>44754</v>
      </c>
      <c r="H508" s="14">
        <f t="shared" si="16"/>
        <v>2022</v>
      </c>
      <c r="I508" s="12">
        <f>127.05*58248</f>
        <v>7400408.3999999994</v>
      </c>
      <c r="J508" s="10">
        <v>3629</v>
      </c>
      <c r="K508" s="11">
        <v>44901</v>
      </c>
      <c r="L508" s="14">
        <f t="shared" si="17"/>
        <v>2022</v>
      </c>
      <c r="M508" s="12">
        <v>7769997</v>
      </c>
    </row>
    <row r="509" spans="1:13" ht="15.75" customHeight="1" x14ac:dyDescent="0.25">
      <c r="A509" s="9" t="s">
        <v>15</v>
      </c>
      <c r="B509" s="9" t="s">
        <v>50</v>
      </c>
      <c r="C509" s="10" t="s">
        <v>21</v>
      </c>
      <c r="D509" s="9" t="s">
        <v>13</v>
      </c>
      <c r="E509" s="9" t="s">
        <v>69</v>
      </c>
      <c r="F509" s="10">
        <v>2245</v>
      </c>
      <c r="G509" s="11">
        <v>44768</v>
      </c>
      <c r="H509" s="14">
        <f t="shared" si="16"/>
        <v>2022</v>
      </c>
      <c r="I509" s="12">
        <f>1.6*58248</f>
        <v>93196.800000000003</v>
      </c>
      <c r="J509" s="10">
        <v>3231</v>
      </c>
      <c r="K509" s="11">
        <v>44861</v>
      </c>
      <c r="L509" s="14">
        <f t="shared" si="17"/>
        <v>2022</v>
      </c>
      <c r="M509" s="12">
        <v>96496</v>
      </c>
    </row>
    <row r="510" spans="1:13" ht="15.75" customHeight="1" x14ac:dyDescent="0.25">
      <c r="A510" s="9" t="s">
        <v>15</v>
      </c>
      <c r="B510" s="9" t="s">
        <v>50</v>
      </c>
      <c r="C510" s="10" t="s">
        <v>21</v>
      </c>
      <c r="D510" s="9" t="s">
        <v>13</v>
      </c>
      <c r="E510" s="9" t="s">
        <v>65</v>
      </c>
      <c r="F510" s="10">
        <v>2569</v>
      </c>
      <c r="G510" s="11">
        <v>44795</v>
      </c>
      <c r="H510" s="14">
        <f t="shared" si="16"/>
        <v>2022</v>
      </c>
      <c r="I510" s="12">
        <f>5*58772</f>
        <v>293860</v>
      </c>
      <c r="J510" s="10">
        <v>3631</v>
      </c>
      <c r="K510" s="11">
        <v>44901</v>
      </c>
      <c r="L510" s="14">
        <f t="shared" si="17"/>
        <v>2022</v>
      </c>
      <c r="M510" s="12">
        <v>305785</v>
      </c>
    </row>
    <row r="511" spans="1:13" ht="15.75" customHeight="1" x14ac:dyDescent="0.25">
      <c r="A511" s="9" t="s">
        <v>15</v>
      </c>
      <c r="B511" s="9" t="s">
        <v>50</v>
      </c>
      <c r="C511" s="10" t="s">
        <v>21</v>
      </c>
      <c r="D511" s="9" t="s">
        <v>13</v>
      </c>
      <c r="E511" s="9" t="s">
        <v>65</v>
      </c>
      <c r="F511" s="10">
        <v>2811</v>
      </c>
      <c r="G511" s="11">
        <v>44830</v>
      </c>
      <c r="H511" s="14">
        <f t="shared" si="16"/>
        <v>2022</v>
      </c>
      <c r="I511" s="12">
        <f>13.2*59595</f>
        <v>786654</v>
      </c>
      <c r="J511" s="10">
        <v>3630</v>
      </c>
      <c r="K511" s="11">
        <v>44901</v>
      </c>
      <c r="L511" s="14">
        <f t="shared" si="17"/>
        <v>2022</v>
      </c>
      <c r="M511" s="12">
        <v>807272</v>
      </c>
    </row>
    <row r="512" spans="1:13" ht="15.75" customHeight="1" x14ac:dyDescent="0.25">
      <c r="A512" s="9" t="s">
        <v>59</v>
      </c>
      <c r="B512" s="9" t="s">
        <v>87</v>
      </c>
      <c r="C512" s="10" t="s">
        <v>88</v>
      </c>
      <c r="D512" s="9" t="s">
        <v>34</v>
      </c>
      <c r="E512" s="9" t="s">
        <v>65</v>
      </c>
      <c r="F512" s="10">
        <v>1925</v>
      </c>
      <c r="G512" s="11">
        <v>44371</v>
      </c>
      <c r="H512" s="14">
        <f t="shared" si="16"/>
        <v>2021</v>
      </c>
      <c r="I512" s="12">
        <v>253642</v>
      </c>
      <c r="J512" s="10">
        <v>1411</v>
      </c>
      <c r="K512" s="11">
        <v>44692</v>
      </c>
      <c r="L512" s="14">
        <f t="shared" si="17"/>
        <v>2022</v>
      </c>
      <c r="M512" s="12">
        <v>0</v>
      </c>
    </row>
    <row r="513" spans="9:13" ht="15.75" hidden="1" customHeight="1" x14ac:dyDescent="0.25">
      <c r="I513" s="6"/>
      <c r="M513" s="6">
        <f>SUM(M4:M512)</f>
        <v>22049869297.170002</v>
      </c>
    </row>
    <row r="514" spans="9:13" ht="15.75" hidden="1" customHeight="1" x14ac:dyDescent="0.25">
      <c r="I514" s="6"/>
      <c r="M514" s="6">
        <f>SUM(M58:M60)</f>
        <v>202756257</v>
      </c>
    </row>
    <row r="515" spans="9:13" ht="15.75" customHeight="1" x14ac:dyDescent="0.25">
      <c r="I515" s="6"/>
      <c r="M515" s="6"/>
    </row>
    <row r="516" spans="9:13" ht="15.75" customHeight="1" x14ac:dyDescent="0.25">
      <c r="I516" s="6"/>
      <c r="M516" s="6"/>
    </row>
    <row r="517" spans="9:13" ht="15.75" customHeight="1" x14ac:dyDescent="0.25">
      <c r="I517" s="6"/>
      <c r="M517" s="6"/>
    </row>
    <row r="518" spans="9:13" ht="15.75" customHeight="1" x14ac:dyDescent="0.25">
      <c r="I518" s="6"/>
      <c r="M518" s="6"/>
    </row>
    <row r="519" spans="9:13" ht="15.75" customHeight="1" x14ac:dyDescent="0.25">
      <c r="I519" s="6"/>
      <c r="M519" s="6"/>
    </row>
    <row r="520" spans="9:13" ht="15.75" customHeight="1" x14ac:dyDescent="0.25">
      <c r="I520" s="6"/>
      <c r="M520" s="6"/>
    </row>
    <row r="521" spans="9:13" ht="15.75" customHeight="1" x14ac:dyDescent="0.25">
      <c r="I521" s="6"/>
      <c r="M521" s="6"/>
    </row>
    <row r="522" spans="9:13" ht="15.75" customHeight="1" x14ac:dyDescent="0.25">
      <c r="I522" s="6"/>
      <c r="M522" s="6"/>
    </row>
    <row r="523" spans="9:13" ht="15.75" customHeight="1" x14ac:dyDescent="0.25">
      <c r="I523" s="6"/>
      <c r="M523" s="6"/>
    </row>
    <row r="524" spans="9:13" ht="15.75" customHeight="1" x14ac:dyDescent="0.25">
      <c r="I524" s="6"/>
      <c r="M524" s="6"/>
    </row>
    <row r="525" spans="9:13" ht="15.75" customHeight="1" x14ac:dyDescent="0.25">
      <c r="I525" s="6"/>
      <c r="M525" s="6"/>
    </row>
    <row r="526" spans="9:13" ht="15.75" customHeight="1" x14ac:dyDescent="0.25">
      <c r="I526" s="6"/>
      <c r="M526" s="6"/>
    </row>
    <row r="527" spans="9:13" ht="15.75" customHeight="1" x14ac:dyDescent="0.25">
      <c r="I527" s="6"/>
      <c r="M527" s="6"/>
    </row>
    <row r="528" spans="9:13" ht="15.75" customHeight="1" x14ac:dyDescent="0.25">
      <c r="I528" s="6"/>
      <c r="M528" s="6"/>
    </row>
    <row r="529" spans="9:13" ht="15.75" customHeight="1" x14ac:dyDescent="0.25">
      <c r="I529" s="6"/>
      <c r="M529" s="6"/>
    </row>
    <row r="530" spans="9:13" ht="15.75" customHeight="1" x14ac:dyDescent="0.25">
      <c r="I530" s="6"/>
      <c r="M530" s="6"/>
    </row>
    <row r="531" spans="9:13" ht="15.75" customHeight="1" x14ac:dyDescent="0.25">
      <c r="I531" s="6"/>
      <c r="M531" s="6"/>
    </row>
    <row r="532" spans="9:13" ht="15.75" customHeight="1" x14ac:dyDescent="0.25">
      <c r="I532" s="6"/>
      <c r="M532" s="6"/>
    </row>
    <row r="533" spans="9:13" ht="15.75" customHeight="1" x14ac:dyDescent="0.25">
      <c r="I533" s="6"/>
      <c r="M533" s="6"/>
    </row>
    <row r="534" spans="9:13" ht="15.75" customHeight="1" x14ac:dyDescent="0.25">
      <c r="I534" s="6"/>
      <c r="M534" s="6"/>
    </row>
    <row r="535" spans="9:13" ht="15.75" customHeight="1" x14ac:dyDescent="0.25">
      <c r="I535" s="6"/>
      <c r="M535" s="6"/>
    </row>
    <row r="536" spans="9:13" ht="15.75" customHeight="1" x14ac:dyDescent="0.25">
      <c r="I536" s="6"/>
      <c r="M536" s="6"/>
    </row>
    <row r="537" spans="9:13" ht="15.75" customHeight="1" x14ac:dyDescent="0.25">
      <c r="I537" s="6"/>
      <c r="M537" s="6"/>
    </row>
    <row r="538" spans="9:13" ht="15.75" customHeight="1" x14ac:dyDescent="0.25">
      <c r="I538" s="6"/>
      <c r="M538" s="6"/>
    </row>
    <row r="539" spans="9:13" ht="15.75" customHeight="1" x14ac:dyDescent="0.25">
      <c r="I539" s="6"/>
      <c r="M539" s="6"/>
    </row>
    <row r="540" spans="9:13" ht="15.75" customHeight="1" x14ac:dyDescent="0.25">
      <c r="I540" s="6"/>
      <c r="M540" s="6"/>
    </row>
    <row r="541" spans="9:13" ht="15.75" customHeight="1" x14ac:dyDescent="0.25">
      <c r="I541" s="6"/>
      <c r="M541" s="6"/>
    </row>
    <row r="542" spans="9:13" ht="15.75" customHeight="1" x14ac:dyDescent="0.25">
      <c r="I542" s="6"/>
      <c r="M542" s="6"/>
    </row>
    <row r="543" spans="9:13" ht="15.75" customHeight="1" x14ac:dyDescent="0.25">
      <c r="I543" s="6"/>
      <c r="M543" s="6"/>
    </row>
    <row r="544" spans="9:13" ht="15.75" customHeight="1" x14ac:dyDescent="0.25">
      <c r="I544" s="6"/>
      <c r="M544" s="6"/>
    </row>
    <row r="545" spans="9:13" ht="15.75" customHeight="1" x14ac:dyDescent="0.25">
      <c r="I545" s="6"/>
      <c r="M545" s="6"/>
    </row>
    <row r="546" spans="9:13" ht="15.75" customHeight="1" x14ac:dyDescent="0.25">
      <c r="I546" s="6"/>
      <c r="M546" s="6"/>
    </row>
    <row r="547" spans="9:13" ht="15.75" customHeight="1" x14ac:dyDescent="0.25">
      <c r="I547" s="6"/>
      <c r="M547" s="6"/>
    </row>
    <row r="548" spans="9:13" ht="15.75" customHeight="1" x14ac:dyDescent="0.25">
      <c r="I548" s="6"/>
      <c r="M548" s="6"/>
    </row>
    <row r="549" spans="9:13" ht="15.75" customHeight="1" x14ac:dyDescent="0.25">
      <c r="I549" s="6"/>
      <c r="M549" s="6"/>
    </row>
    <row r="550" spans="9:13" ht="15.75" customHeight="1" x14ac:dyDescent="0.25">
      <c r="I550" s="6"/>
      <c r="M550" s="6"/>
    </row>
    <row r="551" spans="9:13" ht="15.75" customHeight="1" x14ac:dyDescent="0.25">
      <c r="I551" s="6"/>
      <c r="M551" s="6"/>
    </row>
    <row r="552" spans="9:13" ht="15.75" customHeight="1" x14ac:dyDescent="0.25">
      <c r="I552" s="6"/>
      <c r="M552" s="6"/>
    </row>
    <row r="553" spans="9:13" ht="15.75" customHeight="1" x14ac:dyDescent="0.25">
      <c r="I553" s="6"/>
      <c r="M553" s="6"/>
    </row>
    <row r="554" spans="9:13" ht="15.75" customHeight="1" x14ac:dyDescent="0.25">
      <c r="I554" s="6"/>
      <c r="M554" s="6"/>
    </row>
    <row r="555" spans="9:13" ht="15.75" customHeight="1" x14ac:dyDescent="0.25">
      <c r="I555" s="6"/>
      <c r="M555" s="6"/>
    </row>
    <row r="556" spans="9:13" ht="15.75" customHeight="1" x14ac:dyDescent="0.25">
      <c r="I556" s="6"/>
      <c r="M556" s="6"/>
    </row>
    <row r="557" spans="9:13" ht="15.75" customHeight="1" x14ac:dyDescent="0.25">
      <c r="I557" s="6"/>
      <c r="M557" s="6"/>
    </row>
    <row r="558" spans="9:13" ht="15.75" customHeight="1" x14ac:dyDescent="0.25">
      <c r="I558" s="6"/>
      <c r="M558" s="6"/>
    </row>
    <row r="559" spans="9:13" ht="15.75" customHeight="1" x14ac:dyDescent="0.25">
      <c r="I559" s="6"/>
      <c r="M559" s="6"/>
    </row>
    <row r="560" spans="9:13" ht="15.75" customHeight="1" x14ac:dyDescent="0.25">
      <c r="I560" s="6"/>
      <c r="M560" s="6"/>
    </row>
    <row r="561" spans="9:13" ht="15.75" customHeight="1" x14ac:dyDescent="0.25">
      <c r="I561" s="6"/>
      <c r="M561" s="6"/>
    </row>
    <row r="562" spans="9:13" ht="15.75" customHeight="1" x14ac:dyDescent="0.25">
      <c r="I562" s="6"/>
      <c r="M562" s="6"/>
    </row>
    <row r="563" spans="9:13" ht="15.75" customHeight="1" x14ac:dyDescent="0.25">
      <c r="I563" s="6"/>
      <c r="M563" s="6"/>
    </row>
    <row r="564" spans="9:13" ht="15.75" customHeight="1" x14ac:dyDescent="0.25">
      <c r="I564" s="6"/>
      <c r="M564" s="6"/>
    </row>
    <row r="565" spans="9:13" ht="15.75" customHeight="1" x14ac:dyDescent="0.25">
      <c r="I565" s="6"/>
      <c r="M565" s="6"/>
    </row>
    <row r="566" spans="9:13" ht="15.75" customHeight="1" x14ac:dyDescent="0.25">
      <c r="I566" s="6"/>
      <c r="M566" s="6"/>
    </row>
    <row r="567" spans="9:13" ht="15.75" customHeight="1" x14ac:dyDescent="0.25">
      <c r="I567" s="6"/>
      <c r="M567" s="6"/>
    </row>
    <row r="568" spans="9:13" ht="15.75" customHeight="1" x14ac:dyDescent="0.25">
      <c r="I568" s="6"/>
      <c r="M568" s="6"/>
    </row>
    <row r="569" spans="9:13" ht="15.75" customHeight="1" x14ac:dyDescent="0.25">
      <c r="I569" s="6"/>
      <c r="M569" s="6"/>
    </row>
    <row r="570" spans="9:13" ht="15.75" customHeight="1" x14ac:dyDescent="0.25">
      <c r="I570" s="6"/>
      <c r="M570" s="6"/>
    </row>
    <row r="571" spans="9:13" ht="15.75" customHeight="1" x14ac:dyDescent="0.25">
      <c r="I571" s="6"/>
      <c r="M571" s="6"/>
    </row>
    <row r="572" spans="9:13" ht="15.75" customHeight="1" x14ac:dyDescent="0.25">
      <c r="I572" s="6"/>
      <c r="M572" s="6"/>
    </row>
    <row r="573" spans="9:13" ht="15.75" customHeight="1" x14ac:dyDescent="0.25">
      <c r="I573" s="6"/>
      <c r="M573" s="6"/>
    </row>
    <row r="574" spans="9:13" ht="15.75" customHeight="1" x14ac:dyDescent="0.25">
      <c r="I574" s="6"/>
      <c r="M574" s="6"/>
    </row>
    <row r="575" spans="9:13" ht="15.75" customHeight="1" x14ac:dyDescent="0.25">
      <c r="I575" s="6"/>
      <c r="M575" s="6"/>
    </row>
    <row r="576" spans="9:13" ht="15.75" customHeight="1" x14ac:dyDescent="0.25">
      <c r="I576" s="6"/>
      <c r="M576" s="6"/>
    </row>
    <row r="577" spans="9:13" ht="15.75" customHeight="1" x14ac:dyDescent="0.25">
      <c r="I577" s="6"/>
      <c r="M577" s="6"/>
    </row>
    <row r="578" spans="9:13" ht="15.75" customHeight="1" x14ac:dyDescent="0.25">
      <c r="I578" s="6"/>
      <c r="M578" s="6"/>
    </row>
    <row r="579" spans="9:13" ht="15.75" customHeight="1" x14ac:dyDescent="0.25">
      <c r="I579" s="6"/>
      <c r="M579" s="6"/>
    </row>
    <row r="580" spans="9:13" ht="15.75" customHeight="1" x14ac:dyDescent="0.25">
      <c r="I580" s="6"/>
      <c r="M580" s="6"/>
    </row>
    <row r="581" spans="9:13" ht="15.75" customHeight="1" x14ac:dyDescent="0.25">
      <c r="I581" s="6"/>
      <c r="M581" s="6"/>
    </row>
    <row r="582" spans="9:13" ht="15.75" customHeight="1" x14ac:dyDescent="0.25">
      <c r="I582" s="6"/>
      <c r="M582" s="6"/>
    </row>
    <row r="583" spans="9:13" ht="15.75" customHeight="1" x14ac:dyDescent="0.25">
      <c r="I583" s="6"/>
      <c r="M583" s="6"/>
    </row>
    <row r="584" spans="9:13" ht="15.75" customHeight="1" x14ac:dyDescent="0.25">
      <c r="I584" s="6"/>
      <c r="M584" s="6"/>
    </row>
    <row r="585" spans="9:13" ht="15.75" customHeight="1" x14ac:dyDescent="0.25">
      <c r="I585" s="6"/>
      <c r="M585" s="6"/>
    </row>
    <row r="586" spans="9:13" ht="15.75" customHeight="1" x14ac:dyDescent="0.25">
      <c r="I586" s="6"/>
      <c r="M586" s="6"/>
    </row>
    <row r="587" spans="9:13" ht="15.75" customHeight="1" x14ac:dyDescent="0.25">
      <c r="I587" s="6"/>
      <c r="M587" s="6"/>
    </row>
    <row r="588" spans="9:13" ht="15.75" customHeight="1" x14ac:dyDescent="0.25">
      <c r="I588" s="6"/>
      <c r="M588" s="6"/>
    </row>
    <row r="589" spans="9:13" ht="15.75" customHeight="1" x14ac:dyDescent="0.25">
      <c r="I589" s="6"/>
      <c r="M589" s="6"/>
    </row>
    <row r="590" spans="9:13" ht="15.75" customHeight="1" x14ac:dyDescent="0.25">
      <c r="I590" s="6"/>
      <c r="M590" s="6"/>
    </row>
    <row r="591" spans="9:13" ht="15.75" customHeight="1" x14ac:dyDescent="0.25">
      <c r="I591" s="6"/>
      <c r="M591" s="6"/>
    </row>
    <row r="592" spans="9:13" ht="15.75" customHeight="1" x14ac:dyDescent="0.25">
      <c r="I592" s="6"/>
      <c r="M592" s="6"/>
    </row>
    <row r="593" spans="9:13" ht="15.75" customHeight="1" x14ac:dyDescent="0.25">
      <c r="I593" s="6"/>
      <c r="M593" s="6"/>
    </row>
    <row r="594" spans="9:13" ht="15.75" customHeight="1" x14ac:dyDescent="0.25">
      <c r="I594" s="6"/>
      <c r="M594" s="6"/>
    </row>
    <row r="595" spans="9:13" ht="15.75" customHeight="1" x14ac:dyDescent="0.25">
      <c r="I595" s="6"/>
      <c r="M595" s="6"/>
    </row>
    <row r="596" spans="9:13" ht="15.75" customHeight="1" x14ac:dyDescent="0.25">
      <c r="I596" s="6"/>
      <c r="M596" s="6"/>
    </row>
    <row r="597" spans="9:13" ht="15.75" customHeight="1" x14ac:dyDescent="0.25">
      <c r="I597" s="6"/>
      <c r="M597" s="6"/>
    </row>
    <row r="598" spans="9:13" ht="15.75" customHeight="1" x14ac:dyDescent="0.25">
      <c r="I598" s="6"/>
      <c r="M598" s="6"/>
    </row>
    <row r="599" spans="9:13" ht="15.75" customHeight="1" x14ac:dyDescent="0.25">
      <c r="I599" s="6"/>
      <c r="M599" s="6"/>
    </row>
    <row r="600" spans="9:13" ht="15.75" customHeight="1" x14ac:dyDescent="0.25">
      <c r="I600" s="6"/>
      <c r="M600" s="6"/>
    </row>
    <row r="601" spans="9:13" ht="15.75" customHeight="1" x14ac:dyDescent="0.25">
      <c r="I601" s="6"/>
      <c r="M601" s="6"/>
    </row>
    <row r="602" spans="9:13" ht="15.75" customHeight="1" x14ac:dyDescent="0.25">
      <c r="I602" s="6"/>
      <c r="M602" s="6"/>
    </row>
    <row r="603" spans="9:13" ht="15.75" customHeight="1" x14ac:dyDescent="0.25">
      <c r="I603" s="6"/>
      <c r="M603" s="6"/>
    </row>
    <row r="604" spans="9:13" ht="15.75" customHeight="1" x14ac:dyDescent="0.25">
      <c r="I604" s="6"/>
      <c r="M604" s="6"/>
    </row>
    <row r="605" spans="9:13" ht="15.75" customHeight="1" x14ac:dyDescent="0.25">
      <c r="I605" s="6"/>
      <c r="M605" s="6"/>
    </row>
    <row r="606" spans="9:13" ht="15.75" customHeight="1" x14ac:dyDescent="0.25">
      <c r="I606" s="6"/>
      <c r="M606" s="6"/>
    </row>
    <row r="607" spans="9:13" ht="15.75" customHeight="1" x14ac:dyDescent="0.25">
      <c r="I607" s="6"/>
      <c r="M607" s="6"/>
    </row>
    <row r="608" spans="9:13" ht="15.75" customHeight="1" x14ac:dyDescent="0.25">
      <c r="I608" s="6"/>
      <c r="M608" s="6"/>
    </row>
    <row r="609" spans="9:13" ht="15.75" customHeight="1" x14ac:dyDescent="0.25">
      <c r="I609" s="6"/>
      <c r="M609" s="6"/>
    </row>
    <row r="610" spans="9:13" ht="15.75" customHeight="1" x14ac:dyDescent="0.25">
      <c r="I610" s="6"/>
      <c r="M610" s="6"/>
    </row>
    <row r="611" spans="9:13" ht="15.75" customHeight="1" x14ac:dyDescent="0.25">
      <c r="I611" s="6"/>
      <c r="M611" s="6"/>
    </row>
    <row r="612" spans="9:13" ht="15.75" customHeight="1" x14ac:dyDescent="0.25">
      <c r="I612" s="6"/>
      <c r="M612" s="6"/>
    </row>
    <row r="613" spans="9:13" ht="15.75" customHeight="1" x14ac:dyDescent="0.25">
      <c r="I613" s="6"/>
      <c r="M613" s="6"/>
    </row>
    <row r="614" spans="9:13" ht="15.75" customHeight="1" x14ac:dyDescent="0.25">
      <c r="I614" s="6"/>
      <c r="M614" s="6"/>
    </row>
    <row r="615" spans="9:13" ht="15.75" customHeight="1" x14ac:dyDescent="0.25">
      <c r="I615" s="6"/>
      <c r="M615" s="6"/>
    </row>
    <row r="616" spans="9:13" ht="15.75" customHeight="1" x14ac:dyDescent="0.25">
      <c r="I616" s="6"/>
      <c r="M616" s="6"/>
    </row>
    <row r="617" spans="9:13" ht="15.75" customHeight="1" x14ac:dyDescent="0.25">
      <c r="I617" s="6"/>
      <c r="M617" s="6"/>
    </row>
    <row r="618" spans="9:13" ht="15.75" customHeight="1" x14ac:dyDescent="0.25">
      <c r="I618" s="6"/>
      <c r="M618" s="6"/>
    </row>
    <row r="619" spans="9:13" ht="15.75" customHeight="1" x14ac:dyDescent="0.25">
      <c r="I619" s="6"/>
      <c r="M619" s="6"/>
    </row>
    <row r="620" spans="9:13" ht="15.75" customHeight="1" x14ac:dyDescent="0.25">
      <c r="I620" s="6"/>
      <c r="M620" s="6"/>
    </row>
    <row r="621" spans="9:13" ht="15.75" customHeight="1" x14ac:dyDescent="0.25">
      <c r="I621" s="6"/>
      <c r="M621" s="6"/>
    </row>
    <row r="622" spans="9:13" ht="15.75" customHeight="1" x14ac:dyDescent="0.25">
      <c r="I622" s="6"/>
      <c r="M622" s="6"/>
    </row>
    <row r="623" spans="9:13" ht="15.75" customHeight="1" x14ac:dyDescent="0.25">
      <c r="I623" s="6"/>
      <c r="M623" s="6"/>
    </row>
    <row r="624" spans="9:13" ht="15.75" customHeight="1" x14ac:dyDescent="0.25">
      <c r="I624" s="6"/>
      <c r="M624" s="6"/>
    </row>
    <row r="625" spans="9:13" ht="15.75" customHeight="1" x14ac:dyDescent="0.25">
      <c r="I625" s="6"/>
      <c r="M625" s="6"/>
    </row>
    <row r="626" spans="9:13" ht="15.75" customHeight="1" x14ac:dyDescent="0.25">
      <c r="I626" s="6"/>
      <c r="M626" s="6"/>
    </row>
    <row r="627" spans="9:13" ht="15.75" customHeight="1" x14ac:dyDescent="0.25">
      <c r="I627" s="6"/>
      <c r="M627" s="6"/>
    </row>
    <row r="628" spans="9:13" ht="15.75" customHeight="1" x14ac:dyDescent="0.25">
      <c r="I628" s="6"/>
      <c r="M628" s="6"/>
    </row>
    <row r="629" spans="9:13" ht="15.75" customHeight="1" x14ac:dyDescent="0.25">
      <c r="I629" s="6"/>
      <c r="M629" s="6"/>
    </row>
    <row r="630" spans="9:13" ht="15.75" customHeight="1" x14ac:dyDescent="0.25">
      <c r="I630" s="6"/>
      <c r="M630" s="6"/>
    </row>
    <row r="631" spans="9:13" ht="15.75" customHeight="1" x14ac:dyDescent="0.25">
      <c r="I631" s="6"/>
      <c r="M631" s="6"/>
    </row>
    <row r="632" spans="9:13" ht="15.75" customHeight="1" x14ac:dyDescent="0.25">
      <c r="I632" s="6"/>
      <c r="M632" s="6"/>
    </row>
    <row r="633" spans="9:13" ht="15.75" customHeight="1" x14ac:dyDescent="0.25">
      <c r="I633" s="6"/>
      <c r="M633" s="6"/>
    </row>
    <row r="634" spans="9:13" ht="15.75" customHeight="1" x14ac:dyDescent="0.25">
      <c r="I634" s="6"/>
      <c r="M634" s="6"/>
    </row>
    <row r="635" spans="9:13" ht="15.75" customHeight="1" x14ac:dyDescent="0.25">
      <c r="I635" s="6"/>
      <c r="M635" s="6"/>
    </row>
    <row r="636" spans="9:13" ht="15.75" customHeight="1" x14ac:dyDescent="0.25">
      <c r="I636" s="6"/>
      <c r="M636" s="6"/>
    </row>
    <row r="637" spans="9:13" ht="15.75" customHeight="1" x14ac:dyDescent="0.25">
      <c r="I637" s="6"/>
      <c r="M637" s="6"/>
    </row>
    <row r="638" spans="9:13" ht="15.75" customHeight="1" x14ac:dyDescent="0.25">
      <c r="I638" s="6"/>
      <c r="M638" s="6"/>
    </row>
    <row r="639" spans="9:13" ht="15.75" customHeight="1" x14ac:dyDescent="0.25">
      <c r="I639" s="6"/>
      <c r="M639" s="6"/>
    </row>
    <row r="640" spans="9:13" ht="15.75" customHeight="1" x14ac:dyDescent="0.25">
      <c r="I640" s="6"/>
      <c r="M640" s="6"/>
    </row>
    <row r="641" spans="9:13" ht="15.75" customHeight="1" x14ac:dyDescent="0.25">
      <c r="I641" s="6"/>
      <c r="M641" s="6"/>
    </row>
    <row r="642" spans="9:13" ht="15.75" customHeight="1" x14ac:dyDescent="0.25">
      <c r="I642" s="6"/>
      <c r="M642" s="6"/>
    </row>
    <row r="643" spans="9:13" ht="15.75" customHeight="1" x14ac:dyDescent="0.25">
      <c r="I643" s="6"/>
      <c r="M643" s="6"/>
    </row>
    <row r="644" spans="9:13" ht="15.75" customHeight="1" x14ac:dyDescent="0.25">
      <c r="I644" s="6"/>
      <c r="M644" s="6"/>
    </row>
    <row r="645" spans="9:13" ht="15.75" customHeight="1" x14ac:dyDescent="0.25">
      <c r="I645" s="6"/>
      <c r="M645" s="6"/>
    </row>
    <row r="646" spans="9:13" ht="15.75" customHeight="1" x14ac:dyDescent="0.25">
      <c r="I646" s="6"/>
      <c r="M646" s="6"/>
    </row>
    <row r="647" spans="9:13" ht="15.75" customHeight="1" x14ac:dyDescent="0.25">
      <c r="I647" s="6"/>
      <c r="M647" s="6"/>
    </row>
    <row r="648" spans="9:13" ht="15.75" customHeight="1" x14ac:dyDescent="0.25">
      <c r="I648" s="6"/>
      <c r="M648" s="6"/>
    </row>
    <row r="649" spans="9:13" ht="15.75" customHeight="1" x14ac:dyDescent="0.25">
      <c r="I649" s="6"/>
      <c r="M649" s="6"/>
    </row>
    <row r="650" spans="9:13" ht="15.75" customHeight="1" x14ac:dyDescent="0.25">
      <c r="I650" s="6"/>
      <c r="M650" s="6"/>
    </row>
    <row r="651" spans="9:13" ht="15.75" customHeight="1" x14ac:dyDescent="0.25">
      <c r="I651" s="6"/>
      <c r="M651" s="6"/>
    </row>
    <row r="652" spans="9:13" ht="15.75" customHeight="1" x14ac:dyDescent="0.25">
      <c r="I652" s="6"/>
      <c r="M652" s="6"/>
    </row>
    <row r="653" spans="9:13" ht="15.75" customHeight="1" x14ac:dyDescent="0.25">
      <c r="I653" s="6"/>
      <c r="M653" s="6"/>
    </row>
    <row r="654" spans="9:13" ht="15.75" customHeight="1" x14ac:dyDescent="0.25">
      <c r="I654" s="6"/>
      <c r="M654" s="6"/>
    </row>
    <row r="655" spans="9:13" ht="15.75" customHeight="1" x14ac:dyDescent="0.25">
      <c r="I655" s="6"/>
      <c r="M655" s="6"/>
    </row>
    <row r="656" spans="9:13" ht="15.75" customHeight="1" x14ac:dyDescent="0.25">
      <c r="I656" s="6"/>
      <c r="M656" s="6"/>
    </row>
    <row r="657" spans="9:13" ht="15.75" customHeight="1" x14ac:dyDescent="0.25">
      <c r="I657" s="6"/>
      <c r="M657" s="6"/>
    </row>
    <row r="658" spans="9:13" ht="15.75" customHeight="1" x14ac:dyDescent="0.25">
      <c r="I658" s="6"/>
      <c r="M658" s="6"/>
    </row>
    <row r="659" spans="9:13" ht="15.75" customHeight="1" x14ac:dyDescent="0.25">
      <c r="I659" s="6"/>
      <c r="M659" s="6"/>
    </row>
    <row r="660" spans="9:13" ht="15.75" customHeight="1" x14ac:dyDescent="0.25">
      <c r="I660" s="6"/>
      <c r="M660" s="6"/>
    </row>
    <row r="661" spans="9:13" ht="15.75" customHeight="1" x14ac:dyDescent="0.25">
      <c r="I661" s="6"/>
      <c r="M661" s="6"/>
    </row>
    <row r="662" spans="9:13" ht="15.75" customHeight="1" x14ac:dyDescent="0.25">
      <c r="I662" s="6"/>
      <c r="M662" s="6"/>
    </row>
    <row r="663" spans="9:13" ht="15.75" customHeight="1" x14ac:dyDescent="0.25">
      <c r="I663" s="6"/>
      <c r="M663" s="6"/>
    </row>
    <row r="664" spans="9:13" ht="15.75" customHeight="1" x14ac:dyDescent="0.25">
      <c r="I664" s="6"/>
      <c r="M664" s="6"/>
    </row>
    <row r="665" spans="9:13" ht="15.75" customHeight="1" x14ac:dyDescent="0.25">
      <c r="I665" s="6"/>
      <c r="M665" s="6"/>
    </row>
    <row r="666" spans="9:13" ht="15.75" customHeight="1" x14ac:dyDescent="0.25">
      <c r="I666" s="6"/>
      <c r="M666" s="6"/>
    </row>
    <row r="667" spans="9:13" ht="15.75" customHeight="1" x14ac:dyDescent="0.25">
      <c r="I667" s="6"/>
      <c r="M667" s="6"/>
    </row>
    <row r="668" spans="9:13" ht="15.75" customHeight="1" x14ac:dyDescent="0.25">
      <c r="I668" s="6"/>
      <c r="M668" s="6"/>
    </row>
    <row r="669" spans="9:13" ht="15.75" customHeight="1" x14ac:dyDescent="0.25">
      <c r="I669" s="6"/>
      <c r="M669" s="6"/>
    </row>
    <row r="670" spans="9:13" ht="15.75" customHeight="1" x14ac:dyDescent="0.25">
      <c r="I670" s="6"/>
      <c r="M670" s="6"/>
    </row>
    <row r="671" spans="9:13" ht="15.75" customHeight="1" x14ac:dyDescent="0.25">
      <c r="I671" s="6"/>
      <c r="M671" s="6"/>
    </row>
    <row r="672" spans="9:13" ht="15.75" customHeight="1" x14ac:dyDescent="0.25">
      <c r="I672" s="6"/>
      <c r="M672" s="6"/>
    </row>
    <row r="673" spans="9:13" ht="15.75" customHeight="1" x14ac:dyDescent="0.25">
      <c r="I673" s="6"/>
      <c r="M673" s="6"/>
    </row>
    <row r="674" spans="9:13" ht="15.75" customHeight="1" x14ac:dyDescent="0.25">
      <c r="I674" s="6"/>
      <c r="M674" s="6"/>
    </row>
    <row r="675" spans="9:13" ht="15.75" customHeight="1" x14ac:dyDescent="0.25">
      <c r="I675" s="6"/>
      <c r="M675" s="6"/>
    </row>
    <row r="676" spans="9:13" ht="15.75" customHeight="1" x14ac:dyDescent="0.25">
      <c r="I676" s="6"/>
      <c r="M676" s="6"/>
    </row>
    <row r="677" spans="9:13" ht="15.75" customHeight="1" x14ac:dyDescent="0.25">
      <c r="I677" s="6"/>
      <c r="M677" s="6"/>
    </row>
    <row r="678" spans="9:13" ht="15.75" customHeight="1" x14ac:dyDescent="0.25">
      <c r="I678" s="6"/>
      <c r="M678" s="6"/>
    </row>
    <row r="679" spans="9:13" ht="15.75" customHeight="1" x14ac:dyDescent="0.25">
      <c r="I679" s="6"/>
      <c r="M679" s="6"/>
    </row>
    <row r="680" spans="9:13" ht="15.75" customHeight="1" x14ac:dyDescent="0.25">
      <c r="I680" s="6"/>
      <c r="M680" s="6"/>
    </row>
    <row r="681" spans="9:13" ht="15.75" customHeight="1" x14ac:dyDescent="0.25">
      <c r="I681" s="6"/>
      <c r="M681" s="6"/>
    </row>
    <row r="682" spans="9:13" ht="15.75" customHeight="1" x14ac:dyDescent="0.25">
      <c r="I682" s="6"/>
      <c r="M682" s="6"/>
    </row>
    <row r="683" spans="9:13" ht="15.75" customHeight="1" x14ac:dyDescent="0.25">
      <c r="I683" s="6"/>
      <c r="M683" s="6"/>
    </row>
    <row r="684" spans="9:13" ht="15.75" customHeight="1" x14ac:dyDescent="0.25">
      <c r="I684" s="6"/>
      <c r="M684" s="6"/>
    </row>
    <row r="685" spans="9:13" ht="15.75" customHeight="1" x14ac:dyDescent="0.25">
      <c r="I685" s="6"/>
      <c r="M685" s="6"/>
    </row>
    <row r="686" spans="9:13" ht="15.75" customHeight="1" x14ac:dyDescent="0.25">
      <c r="I686" s="6"/>
      <c r="M686" s="6"/>
    </row>
    <row r="687" spans="9:13" ht="15.75" customHeight="1" x14ac:dyDescent="0.25">
      <c r="I687" s="6"/>
      <c r="M687" s="6"/>
    </row>
    <row r="688" spans="9:13" ht="15.75" customHeight="1" x14ac:dyDescent="0.25">
      <c r="I688" s="6"/>
      <c r="M688" s="6"/>
    </row>
    <row r="689" spans="9:13" ht="15.75" customHeight="1" x14ac:dyDescent="0.25">
      <c r="I689" s="6"/>
      <c r="M689" s="6"/>
    </row>
    <row r="690" spans="9:13" ht="15.75" customHeight="1" x14ac:dyDescent="0.25">
      <c r="I690" s="6"/>
      <c r="M690" s="6"/>
    </row>
    <row r="691" spans="9:13" ht="15.75" customHeight="1" x14ac:dyDescent="0.25">
      <c r="I691" s="6"/>
      <c r="M691" s="6"/>
    </row>
    <row r="692" spans="9:13" ht="15.75" customHeight="1" x14ac:dyDescent="0.25">
      <c r="I692" s="6"/>
      <c r="M692" s="6"/>
    </row>
    <row r="693" spans="9:13" ht="15.75" customHeight="1" x14ac:dyDescent="0.25">
      <c r="I693" s="6"/>
      <c r="M693" s="6"/>
    </row>
    <row r="694" spans="9:13" ht="15.75" customHeight="1" x14ac:dyDescent="0.25">
      <c r="I694" s="6"/>
      <c r="M694" s="6"/>
    </row>
    <row r="695" spans="9:13" ht="15.75" customHeight="1" x14ac:dyDescent="0.25">
      <c r="I695" s="6"/>
      <c r="M695" s="6"/>
    </row>
    <row r="696" spans="9:13" ht="15.75" customHeight="1" x14ac:dyDescent="0.25">
      <c r="I696" s="6"/>
      <c r="M696" s="6"/>
    </row>
    <row r="697" spans="9:13" ht="15.75" customHeight="1" x14ac:dyDescent="0.25">
      <c r="I697" s="6"/>
      <c r="M697" s="6"/>
    </row>
    <row r="698" spans="9:13" ht="15.75" customHeight="1" x14ac:dyDescent="0.25">
      <c r="I698" s="6"/>
      <c r="M698" s="6"/>
    </row>
    <row r="699" spans="9:13" ht="15.75" customHeight="1" x14ac:dyDescent="0.25">
      <c r="I699" s="6"/>
      <c r="M699" s="6"/>
    </row>
    <row r="700" spans="9:13" ht="15.75" customHeight="1" x14ac:dyDescent="0.25">
      <c r="I700" s="6"/>
      <c r="M700" s="6"/>
    </row>
    <row r="701" spans="9:13" ht="15.75" customHeight="1" x14ac:dyDescent="0.25">
      <c r="I701" s="6"/>
      <c r="M701" s="6"/>
    </row>
    <row r="702" spans="9:13" ht="15.75" customHeight="1" x14ac:dyDescent="0.25">
      <c r="I702" s="6"/>
      <c r="M702" s="6"/>
    </row>
    <row r="703" spans="9:13" ht="15.75" customHeight="1" x14ac:dyDescent="0.25">
      <c r="I703" s="6"/>
      <c r="M703" s="6"/>
    </row>
    <row r="704" spans="9:13" ht="15.75" customHeight="1" x14ac:dyDescent="0.25">
      <c r="I704" s="6"/>
      <c r="M704" s="6"/>
    </row>
    <row r="705" spans="9:13" ht="15.75" customHeight="1" x14ac:dyDescent="0.25">
      <c r="I705" s="6"/>
      <c r="M705" s="6"/>
    </row>
    <row r="706" spans="9:13" ht="15.75" customHeight="1" x14ac:dyDescent="0.25">
      <c r="I706" s="6"/>
      <c r="M706" s="6"/>
    </row>
    <row r="707" spans="9:13" ht="15.75" customHeight="1" x14ac:dyDescent="0.25">
      <c r="I707" s="6"/>
      <c r="M707" s="6"/>
    </row>
    <row r="708" spans="9:13" ht="15.75" customHeight="1" x14ac:dyDescent="0.25">
      <c r="I708" s="6"/>
      <c r="M708" s="6"/>
    </row>
    <row r="709" spans="9:13" ht="15.75" customHeight="1" x14ac:dyDescent="0.25">
      <c r="I709" s="6"/>
      <c r="M709" s="6"/>
    </row>
    <row r="710" spans="9:13" ht="15.75" customHeight="1" x14ac:dyDescent="0.25">
      <c r="I710" s="6"/>
      <c r="M710" s="6"/>
    </row>
    <row r="711" spans="9:13" ht="15.75" customHeight="1" x14ac:dyDescent="0.25">
      <c r="I711" s="6"/>
      <c r="M711" s="6"/>
    </row>
    <row r="712" spans="9:13" ht="15.75" customHeight="1" x14ac:dyDescent="0.25">
      <c r="I712" s="6"/>
      <c r="M712" s="6"/>
    </row>
    <row r="713" spans="9:13" ht="15.75" customHeight="1" x14ac:dyDescent="0.25">
      <c r="I713" s="6"/>
      <c r="M713" s="6"/>
    </row>
    <row r="714" spans="9:13" ht="15.75" customHeight="1" x14ac:dyDescent="0.25">
      <c r="I714" s="6"/>
      <c r="M714" s="6"/>
    </row>
    <row r="715" spans="9:13" ht="15.75" customHeight="1" x14ac:dyDescent="0.25">
      <c r="I715" s="6"/>
      <c r="M715" s="6"/>
    </row>
    <row r="716" spans="9:13" ht="15.75" customHeight="1" x14ac:dyDescent="0.25">
      <c r="I716" s="6"/>
      <c r="M716" s="6"/>
    </row>
    <row r="717" spans="9:13" ht="15.75" customHeight="1" x14ac:dyDescent="0.25">
      <c r="I717" s="6"/>
      <c r="M717" s="6"/>
    </row>
    <row r="718" spans="9:13" ht="15.75" customHeight="1" x14ac:dyDescent="0.25">
      <c r="I718" s="6"/>
      <c r="M718" s="6"/>
    </row>
    <row r="719" spans="9:13" ht="15.75" customHeight="1" x14ac:dyDescent="0.25">
      <c r="I719" s="6"/>
      <c r="M719" s="6"/>
    </row>
    <row r="720" spans="9:13" ht="15.75" customHeight="1" x14ac:dyDescent="0.25">
      <c r="I720" s="6"/>
      <c r="M720" s="6"/>
    </row>
    <row r="721" spans="9:13" ht="15.75" customHeight="1" x14ac:dyDescent="0.25">
      <c r="I721" s="6"/>
      <c r="M721" s="6"/>
    </row>
    <row r="722" spans="9:13" ht="15.75" customHeight="1" x14ac:dyDescent="0.25">
      <c r="I722" s="6"/>
      <c r="M722" s="6"/>
    </row>
    <row r="723" spans="9:13" ht="15.75" customHeight="1" x14ac:dyDescent="0.25">
      <c r="I723" s="6"/>
      <c r="M723" s="6"/>
    </row>
    <row r="724" spans="9:13" ht="15.75" customHeight="1" x14ac:dyDescent="0.25">
      <c r="I724" s="6"/>
      <c r="M724" s="6"/>
    </row>
    <row r="725" spans="9:13" ht="15.75" customHeight="1" x14ac:dyDescent="0.25">
      <c r="I725" s="6"/>
      <c r="M725" s="6"/>
    </row>
    <row r="726" spans="9:13" ht="15.75" customHeight="1" x14ac:dyDescent="0.25">
      <c r="I726" s="6"/>
      <c r="M726" s="6"/>
    </row>
    <row r="727" spans="9:13" ht="15.75" customHeight="1" x14ac:dyDescent="0.25">
      <c r="I727" s="6"/>
      <c r="M727" s="6"/>
    </row>
    <row r="728" spans="9:13" ht="15.75" customHeight="1" x14ac:dyDescent="0.25">
      <c r="I728" s="6"/>
      <c r="M728" s="6"/>
    </row>
    <row r="729" spans="9:13" ht="15.75" customHeight="1" x14ac:dyDescent="0.25">
      <c r="I729" s="6"/>
      <c r="M729" s="6"/>
    </row>
    <row r="730" spans="9:13" ht="15.75" customHeight="1" x14ac:dyDescent="0.25">
      <c r="I730" s="6"/>
      <c r="M730" s="6"/>
    </row>
    <row r="731" spans="9:13" ht="15.75" customHeight="1" x14ac:dyDescent="0.25">
      <c r="I731" s="6"/>
      <c r="M731" s="6"/>
    </row>
    <row r="732" spans="9:13" ht="15.75" customHeight="1" x14ac:dyDescent="0.25">
      <c r="I732" s="6"/>
      <c r="M732" s="6"/>
    </row>
    <row r="733" spans="9:13" ht="15.75" customHeight="1" x14ac:dyDescent="0.25">
      <c r="I733" s="6"/>
      <c r="M733" s="6"/>
    </row>
    <row r="734" spans="9:13" ht="15.75" customHeight="1" x14ac:dyDescent="0.25">
      <c r="I734" s="6"/>
      <c r="M734" s="6"/>
    </row>
    <row r="735" spans="9:13" ht="15.75" customHeight="1" x14ac:dyDescent="0.25">
      <c r="I735" s="6"/>
      <c r="M735" s="6"/>
    </row>
    <row r="736" spans="9:13" ht="15.75" customHeight="1" x14ac:dyDescent="0.25">
      <c r="I736" s="6"/>
      <c r="M736" s="6"/>
    </row>
    <row r="737" spans="9:13" ht="15.75" customHeight="1" x14ac:dyDescent="0.25">
      <c r="I737" s="6"/>
      <c r="M737" s="6"/>
    </row>
    <row r="738" spans="9:13" ht="15.75" customHeight="1" x14ac:dyDescent="0.25">
      <c r="I738" s="6"/>
      <c r="M738" s="6"/>
    </row>
    <row r="739" spans="9:13" ht="15.75" customHeight="1" x14ac:dyDescent="0.25">
      <c r="I739" s="6"/>
      <c r="M739" s="6"/>
    </row>
    <row r="740" spans="9:13" ht="15.75" customHeight="1" x14ac:dyDescent="0.25">
      <c r="I740" s="6"/>
      <c r="M740" s="6"/>
    </row>
    <row r="741" spans="9:13" ht="15.75" customHeight="1" x14ac:dyDescent="0.25">
      <c r="I741" s="6"/>
      <c r="M741" s="6"/>
    </row>
    <row r="742" spans="9:13" ht="15.75" customHeight="1" x14ac:dyDescent="0.25">
      <c r="I742" s="6"/>
      <c r="M742" s="6"/>
    </row>
    <row r="743" spans="9:13" ht="15.75" customHeight="1" x14ac:dyDescent="0.25">
      <c r="I743" s="6"/>
      <c r="M743" s="6"/>
    </row>
    <row r="744" spans="9:13" ht="15.75" customHeight="1" x14ac:dyDescent="0.25">
      <c r="I744" s="6"/>
      <c r="M744" s="6"/>
    </row>
    <row r="745" spans="9:13" ht="15.75" customHeight="1" x14ac:dyDescent="0.25">
      <c r="I745" s="6"/>
      <c r="M745" s="6"/>
    </row>
    <row r="746" spans="9:13" ht="15.75" customHeight="1" x14ac:dyDescent="0.25">
      <c r="I746" s="6"/>
      <c r="M746" s="6"/>
    </row>
    <row r="747" spans="9:13" ht="15.75" customHeight="1" x14ac:dyDescent="0.25">
      <c r="I747" s="6"/>
      <c r="M747" s="6"/>
    </row>
    <row r="748" spans="9:13" ht="15.75" customHeight="1" x14ac:dyDescent="0.25">
      <c r="I748" s="6"/>
      <c r="M748" s="6"/>
    </row>
    <row r="749" spans="9:13" ht="15.75" customHeight="1" x14ac:dyDescent="0.25">
      <c r="I749" s="6"/>
      <c r="M749" s="6"/>
    </row>
    <row r="750" spans="9:13" ht="15.75" customHeight="1" x14ac:dyDescent="0.25">
      <c r="I750" s="6"/>
      <c r="M750" s="6"/>
    </row>
    <row r="751" spans="9:13" ht="15.75" customHeight="1" x14ac:dyDescent="0.25">
      <c r="I751" s="6"/>
      <c r="M751" s="6"/>
    </row>
    <row r="752" spans="9:13" ht="15.75" customHeight="1" x14ac:dyDescent="0.25">
      <c r="I752" s="6"/>
      <c r="M752" s="6"/>
    </row>
    <row r="753" spans="9:13" ht="15.75" customHeight="1" x14ac:dyDescent="0.25">
      <c r="I753" s="6"/>
      <c r="M753" s="6"/>
    </row>
    <row r="754" spans="9:13" ht="15.75" customHeight="1" x14ac:dyDescent="0.25">
      <c r="I754" s="6"/>
      <c r="M754" s="6"/>
    </row>
    <row r="755" spans="9:13" ht="15.75" customHeight="1" x14ac:dyDescent="0.25">
      <c r="I755" s="6"/>
      <c r="M755" s="6"/>
    </row>
    <row r="756" spans="9:13" ht="15.75" customHeight="1" x14ac:dyDescent="0.25">
      <c r="I756" s="6"/>
      <c r="M756" s="6"/>
    </row>
    <row r="757" spans="9:13" ht="15.75" customHeight="1" x14ac:dyDescent="0.25">
      <c r="I757" s="6"/>
      <c r="M757" s="6"/>
    </row>
    <row r="758" spans="9:13" ht="15.75" customHeight="1" x14ac:dyDescent="0.25">
      <c r="I758" s="6"/>
      <c r="M758" s="6"/>
    </row>
    <row r="759" spans="9:13" ht="15.75" customHeight="1" x14ac:dyDescent="0.25">
      <c r="I759" s="6"/>
      <c r="M759" s="6"/>
    </row>
    <row r="760" spans="9:13" ht="15.75" customHeight="1" x14ac:dyDescent="0.25">
      <c r="I760" s="6"/>
      <c r="M760" s="6"/>
    </row>
    <row r="761" spans="9:13" ht="15.75" customHeight="1" x14ac:dyDescent="0.25">
      <c r="I761" s="6"/>
      <c r="M761" s="6"/>
    </row>
    <row r="762" spans="9:13" ht="15.75" customHeight="1" x14ac:dyDescent="0.25">
      <c r="I762" s="6"/>
      <c r="M762" s="6"/>
    </row>
    <row r="763" spans="9:13" ht="15.75" customHeight="1" x14ac:dyDescent="0.25">
      <c r="I763" s="6"/>
      <c r="M763" s="6"/>
    </row>
    <row r="764" spans="9:13" ht="15.75" customHeight="1" x14ac:dyDescent="0.25">
      <c r="I764" s="6"/>
      <c r="M764" s="6"/>
    </row>
    <row r="765" spans="9:13" ht="15.75" customHeight="1" x14ac:dyDescent="0.25">
      <c r="I765" s="6"/>
      <c r="M765" s="6"/>
    </row>
    <row r="766" spans="9:13" ht="15.75" customHeight="1" x14ac:dyDescent="0.25">
      <c r="I766" s="6"/>
      <c r="M766" s="6"/>
    </row>
    <row r="767" spans="9:13" ht="15.75" customHeight="1" x14ac:dyDescent="0.25">
      <c r="I767" s="6"/>
      <c r="M767" s="6"/>
    </row>
    <row r="768" spans="9:13" ht="15.75" customHeight="1" x14ac:dyDescent="0.25">
      <c r="I768" s="6"/>
      <c r="M768" s="6"/>
    </row>
    <row r="769" spans="9:13" ht="15.75" customHeight="1" x14ac:dyDescent="0.25">
      <c r="I769" s="6"/>
      <c r="M769" s="6"/>
    </row>
    <row r="770" spans="9:13" ht="15.75" customHeight="1" x14ac:dyDescent="0.25">
      <c r="I770" s="6"/>
      <c r="M770" s="6"/>
    </row>
    <row r="771" spans="9:13" ht="15.75" customHeight="1" x14ac:dyDescent="0.25">
      <c r="I771" s="6"/>
      <c r="M771" s="6"/>
    </row>
    <row r="772" spans="9:13" ht="15.75" customHeight="1" x14ac:dyDescent="0.25">
      <c r="I772" s="6"/>
      <c r="M772" s="6"/>
    </row>
    <row r="773" spans="9:13" ht="15.75" customHeight="1" x14ac:dyDescent="0.25">
      <c r="I773" s="6"/>
      <c r="M773" s="6"/>
    </row>
    <row r="774" spans="9:13" ht="15.75" customHeight="1" x14ac:dyDescent="0.25">
      <c r="I774" s="6"/>
      <c r="M774" s="6"/>
    </row>
    <row r="775" spans="9:13" ht="15.75" customHeight="1" x14ac:dyDescent="0.25">
      <c r="I775" s="6"/>
      <c r="M775" s="6"/>
    </row>
    <row r="776" spans="9:13" ht="15.75" customHeight="1" x14ac:dyDescent="0.25">
      <c r="I776" s="6"/>
      <c r="M776" s="6"/>
    </row>
    <row r="777" spans="9:13" ht="15.75" customHeight="1" x14ac:dyDescent="0.25">
      <c r="I777" s="6"/>
      <c r="M777" s="6"/>
    </row>
    <row r="778" spans="9:13" ht="15.75" customHeight="1" x14ac:dyDescent="0.25">
      <c r="I778" s="6"/>
      <c r="M778" s="6"/>
    </row>
    <row r="779" spans="9:13" ht="15.75" customHeight="1" x14ac:dyDescent="0.25">
      <c r="I779" s="6"/>
      <c r="M779" s="6"/>
    </row>
    <row r="780" spans="9:13" ht="15.75" customHeight="1" x14ac:dyDescent="0.25">
      <c r="I780" s="6"/>
      <c r="M780" s="6"/>
    </row>
    <row r="781" spans="9:13" ht="15.75" customHeight="1" x14ac:dyDescent="0.25">
      <c r="I781" s="6"/>
      <c r="M781" s="6"/>
    </row>
    <row r="782" spans="9:13" ht="15.75" customHeight="1" x14ac:dyDescent="0.25">
      <c r="I782" s="6"/>
      <c r="M782" s="6"/>
    </row>
    <row r="783" spans="9:13" ht="15.75" customHeight="1" x14ac:dyDescent="0.25">
      <c r="I783" s="6"/>
      <c r="M783" s="6"/>
    </row>
    <row r="784" spans="9:13" ht="15.75" customHeight="1" x14ac:dyDescent="0.25">
      <c r="I784" s="6"/>
      <c r="M784" s="6"/>
    </row>
    <row r="785" spans="9:13" ht="15.75" customHeight="1" x14ac:dyDescent="0.25">
      <c r="I785" s="6"/>
      <c r="M785" s="6"/>
    </row>
    <row r="786" spans="9:13" ht="15.75" customHeight="1" x14ac:dyDescent="0.25">
      <c r="I786" s="6"/>
      <c r="M786" s="6"/>
    </row>
    <row r="787" spans="9:13" ht="15.75" customHeight="1" x14ac:dyDescent="0.25">
      <c r="I787" s="6"/>
      <c r="M787" s="6"/>
    </row>
    <row r="788" spans="9:13" ht="15.75" customHeight="1" x14ac:dyDescent="0.25">
      <c r="I788" s="6"/>
      <c r="M788" s="6"/>
    </row>
    <row r="789" spans="9:13" ht="15.75" customHeight="1" x14ac:dyDescent="0.25">
      <c r="I789" s="6"/>
      <c r="M789" s="6"/>
    </row>
    <row r="790" spans="9:13" ht="15.75" customHeight="1" x14ac:dyDescent="0.25">
      <c r="I790" s="6"/>
      <c r="M790" s="6"/>
    </row>
    <row r="791" spans="9:13" ht="15.75" customHeight="1" x14ac:dyDescent="0.25">
      <c r="I791" s="6"/>
      <c r="M791" s="6"/>
    </row>
    <row r="792" spans="9:13" ht="15.75" customHeight="1" x14ac:dyDescent="0.25">
      <c r="I792" s="6"/>
      <c r="M792" s="6"/>
    </row>
    <row r="793" spans="9:13" ht="15.75" customHeight="1" x14ac:dyDescent="0.25">
      <c r="I793" s="6"/>
      <c r="M793" s="6"/>
    </row>
    <row r="794" spans="9:13" ht="15.75" customHeight="1" x14ac:dyDescent="0.25">
      <c r="I794" s="6"/>
      <c r="M794" s="6"/>
    </row>
    <row r="795" spans="9:13" ht="15.75" customHeight="1" x14ac:dyDescent="0.25">
      <c r="I795" s="6"/>
      <c r="M795" s="6"/>
    </row>
    <row r="796" spans="9:13" ht="15.75" customHeight="1" x14ac:dyDescent="0.25">
      <c r="I796" s="6"/>
      <c r="M796" s="6"/>
    </row>
    <row r="797" spans="9:13" ht="15.75" customHeight="1" x14ac:dyDescent="0.25">
      <c r="I797" s="6"/>
      <c r="M797" s="6"/>
    </row>
    <row r="798" spans="9:13" ht="15.75" customHeight="1" x14ac:dyDescent="0.25">
      <c r="I798" s="6"/>
      <c r="M798" s="6"/>
    </row>
    <row r="799" spans="9:13" ht="15.75" customHeight="1" x14ac:dyDescent="0.25">
      <c r="I799" s="6"/>
      <c r="M799" s="6"/>
    </row>
    <row r="800" spans="9:13" ht="15.75" customHeight="1" x14ac:dyDescent="0.25">
      <c r="I800" s="6"/>
      <c r="M800" s="6"/>
    </row>
    <row r="801" spans="9:13" ht="15.75" customHeight="1" x14ac:dyDescent="0.25">
      <c r="I801" s="6"/>
      <c r="M801" s="6"/>
    </row>
    <row r="802" spans="9:13" ht="15.75" customHeight="1" x14ac:dyDescent="0.25">
      <c r="I802" s="6"/>
      <c r="M802" s="6"/>
    </row>
    <row r="803" spans="9:13" ht="15.75" customHeight="1" x14ac:dyDescent="0.25">
      <c r="I803" s="6"/>
      <c r="M803" s="6"/>
    </row>
    <row r="804" spans="9:13" ht="15.75" customHeight="1" x14ac:dyDescent="0.25">
      <c r="I804" s="6"/>
      <c r="M804" s="6"/>
    </row>
    <row r="805" spans="9:13" ht="15.75" customHeight="1" x14ac:dyDescent="0.25">
      <c r="I805" s="6"/>
      <c r="M805" s="6"/>
    </row>
    <row r="806" spans="9:13" ht="15.75" customHeight="1" x14ac:dyDescent="0.25">
      <c r="I806" s="6"/>
      <c r="M806" s="6"/>
    </row>
    <row r="807" spans="9:13" ht="15.75" customHeight="1" x14ac:dyDescent="0.25">
      <c r="I807" s="6"/>
      <c r="M807" s="6"/>
    </row>
    <row r="808" spans="9:13" ht="15.75" customHeight="1" x14ac:dyDescent="0.25">
      <c r="I808" s="6"/>
      <c r="M808" s="6"/>
    </row>
    <row r="809" spans="9:13" ht="15.75" customHeight="1" x14ac:dyDescent="0.25">
      <c r="I809" s="6"/>
      <c r="M809" s="6"/>
    </row>
    <row r="810" spans="9:13" ht="15.75" customHeight="1" x14ac:dyDescent="0.25">
      <c r="I810" s="6"/>
      <c r="M810" s="6"/>
    </row>
    <row r="811" spans="9:13" ht="15.75" customHeight="1" x14ac:dyDescent="0.25">
      <c r="I811" s="6"/>
      <c r="M811" s="6"/>
    </row>
    <row r="812" spans="9:13" ht="15.75" customHeight="1" x14ac:dyDescent="0.25">
      <c r="I812" s="6"/>
      <c r="M812" s="6"/>
    </row>
    <row r="813" spans="9:13" ht="15.75" customHeight="1" x14ac:dyDescent="0.25">
      <c r="I813" s="6"/>
      <c r="M813" s="6"/>
    </row>
    <row r="814" spans="9:13" ht="15.75" customHeight="1" x14ac:dyDescent="0.25">
      <c r="I814" s="6"/>
      <c r="M814" s="6"/>
    </row>
    <row r="815" spans="9:13" ht="15.75" customHeight="1" x14ac:dyDescent="0.25">
      <c r="I815" s="6"/>
      <c r="M815" s="6"/>
    </row>
    <row r="816" spans="9:13" ht="15.75" customHeight="1" x14ac:dyDescent="0.25">
      <c r="I816" s="6"/>
      <c r="M816" s="6"/>
    </row>
    <row r="817" spans="9:13" ht="15.75" customHeight="1" x14ac:dyDescent="0.25">
      <c r="I817" s="6"/>
      <c r="M817" s="6"/>
    </row>
    <row r="818" spans="9:13" ht="15.75" customHeight="1" x14ac:dyDescent="0.25">
      <c r="I818" s="6"/>
      <c r="M818" s="6"/>
    </row>
    <row r="819" spans="9:13" ht="15.75" customHeight="1" x14ac:dyDescent="0.25">
      <c r="I819" s="6"/>
      <c r="M819" s="6"/>
    </row>
    <row r="820" spans="9:13" ht="15.75" customHeight="1" x14ac:dyDescent="0.25">
      <c r="I820" s="6"/>
      <c r="M820" s="6"/>
    </row>
    <row r="821" spans="9:13" ht="15.75" customHeight="1" x14ac:dyDescent="0.25">
      <c r="I821" s="6"/>
      <c r="M821" s="6"/>
    </row>
    <row r="822" spans="9:13" ht="15.75" customHeight="1" x14ac:dyDescent="0.25">
      <c r="I822" s="6"/>
      <c r="M822" s="6"/>
    </row>
    <row r="823" spans="9:13" ht="15.75" customHeight="1" x14ac:dyDescent="0.25">
      <c r="I823" s="6"/>
      <c r="M823" s="6"/>
    </row>
    <row r="824" spans="9:13" ht="15.75" customHeight="1" x14ac:dyDescent="0.25">
      <c r="I824" s="6"/>
      <c r="M824" s="6"/>
    </row>
    <row r="825" spans="9:13" ht="15.75" customHeight="1" x14ac:dyDescent="0.25">
      <c r="I825" s="6"/>
      <c r="M825" s="6"/>
    </row>
    <row r="826" spans="9:13" ht="15.75" customHeight="1" x14ac:dyDescent="0.25">
      <c r="I826" s="6"/>
      <c r="M826" s="6"/>
    </row>
    <row r="827" spans="9:13" ht="15.75" customHeight="1" x14ac:dyDescent="0.25">
      <c r="I827" s="6"/>
      <c r="M827" s="6"/>
    </row>
    <row r="828" spans="9:13" ht="15.75" customHeight="1" x14ac:dyDescent="0.25">
      <c r="I828" s="6"/>
      <c r="M828" s="6"/>
    </row>
    <row r="829" spans="9:13" ht="15.75" customHeight="1" x14ac:dyDescent="0.25">
      <c r="I829" s="6"/>
      <c r="M829" s="6"/>
    </row>
    <row r="830" spans="9:13" ht="15.75" customHeight="1" x14ac:dyDescent="0.25">
      <c r="I830" s="6"/>
      <c r="M830" s="6"/>
    </row>
    <row r="831" spans="9:13" ht="15.75" customHeight="1" x14ac:dyDescent="0.25">
      <c r="I831" s="6"/>
      <c r="M831" s="6"/>
    </row>
    <row r="832" spans="9:13" ht="15.75" customHeight="1" x14ac:dyDescent="0.25">
      <c r="I832" s="6"/>
      <c r="M832" s="6"/>
    </row>
    <row r="833" spans="9:13" ht="15.75" customHeight="1" x14ac:dyDescent="0.25">
      <c r="I833" s="6"/>
      <c r="M833" s="6"/>
    </row>
    <row r="834" spans="9:13" ht="15.75" customHeight="1" x14ac:dyDescent="0.25">
      <c r="I834" s="6"/>
      <c r="M834" s="6"/>
    </row>
    <row r="835" spans="9:13" ht="15.75" customHeight="1" x14ac:dyDescent="0.25">
      <c r="I835" s="6"/>
      <c r="M835" s="6"/>
    </row>
    <row r="836" spans="9:13" ht="15.75" customHeight="1" x14ac:dyDescent="0.25">
      <c r="I836" s="6"/>
      <c r="M836" s="6"/>
    </row>
    <row r="837" spans="9:13" ht="15.75" customHeight="1" x14ac:dyDescent="0.25">
      <c r="I837" s="6"/>
      <c r="M837" s="6"/>
    </row>
    <row r="838" spans="9:13" ht="15.75" customHeight="1" x14ac:dyDescent="0.25">
      <c r="I838" s="6"/>
      <c r="M838" s="6"/>
    </row>
    <row r="839" spans="9:13" ht="15.75" customHeight="1" x14ac:dyDescent="0.25">
      <c r="I839" s="6"/>
      <c r="M839" s="6"/>
    </row>
    <row r="840" spans="9:13" ht="15.75" customHeight="1" x14ac:dyDescent="0.25">
      <c r="I840" s="6"/>
      <c r="M840" s="6"/>
    </row>
    <row r="841" spans="9:13" ht="15.75" customHeight="1" x14ac:dyDescent="0.25">
      <c r="I841" s="6"/>
      <c r="M841" s="6"/>
    </row>
    <row r="842" spans="9:13" ht="15.75" customHeight="1" x14ac:dyDescent="0.25">
      <c r="I842" s="6"/>
      <c r="M842" s="6"/>
    </row>
    <row r="843" spans="9:13" ht="15.75" customHeight="1" x14ac:dyDescent="0.25">
      <c r="I843" s="6"/>
      <c r="M843" s="6"/>
    </row>
    <row r="844" spans="9:13" ht="15.75" customHeight="1" x14ac:dyDescent="0.25">
      <c r="I844" s="6"/>
      <c r="M844" s="6"/>
    </row>
    <row r="845" spans="9:13" ht="15.75" customHeight="1" x14ac:dyDescent="0.25">
      <c r="I845" s="6"/>
      <c r="M845" s="6"/>
    </row>
    <row r="846" spans="9:13" ht="15.75" customHeight="1" x14ac:dyDescent="0.25">
      <c r="I846" s="6"/>
      <c r="M846" s="6"/>
    </row>
    <row r="847" spans="9:13" ht="15.75" customHeight="1" x14ac:dyDescent="0.25">
      <c r="I847" s="6"/>
      <c r="M847" s="6"/>
    </row>
    <row r="848" spans="9:13" ht="15.75" customHeight="1" x14ac:dyDescent="0.25">
      <c r="I848" s="6"/>
      <c r="M848" s="6"/>
    </row>
    <row r="849" spans="9:13" ht="15.75" customHeight="1" x14ac:dyDescent="0.25">
      <c r="I849" s="6"/>
      <c r="M849" s="6"/>
    </row>
    <row r="850" spans="9:13" ht="15.75" customHeight="1" x14ac:dyDescent="0.25">
      <c r="I850" s="6"/>
      <c r="M850" s="6"/>
    </row>
    <row r="851" spans="9:13" ht="15.75" customHeight="1" x14ac:dyDescent="0.25">
      <c r="I851" s="6"/>
      <c r="M851" s="6"/>
    </row>
    <row r="852" spans="9:13" ht="15.75" customHeight="1" x14ac:dyDescent="0.25">
      <c r="I852" s="6"/>
      <c r="M852" s="6"/>
    </row>
    <row r="853" spans="9:13" ht="15.75" customHeight="1" x14ac:dyDescent="0.25">
      <c r="I853" s="6"/>
      <c r="M853" s="6"/>
    </row>
    <row r="854" spans="9:13" ht="15.75" customHeight="1" x14ac:dyDescent="0.25">
      <c r="I854" s="6"/>
      <c r="M854" s="6"/>
    </row>
    <row r="855" spans="9:13" ht="15.75" customHeight="1" x14ac:dyDescent="0.25">
      <c r="I855" s="6"/>
      <c r="M855" s="6"/>
    </row>
    <row r="856" spans="9:13" ht="15.75" customHeight="1" x14ac:dyDescent="0.25">
      <c r="I856" s="6"/>
      <c r="M856" s="6"/>
    </row>
    <row r="857" spans="9:13" ht="15.75" customHeight="1" x14ac:dyDescent="0.25">
      <c r="I857" s="6"/>
      <c r="M857" s="6"/>
    </row>
    <row r="858" spans="9:13" ht="15.75" customHeight="1" x14ac:dyDescent="0.25">
      <c r="I858" s="6"/>
      <c r="M858" s="6"/>
    </row>
    <row r="859" spans="9:13" ht="15.75" customHeight="1" x14ac:dyDescent="0.25">
      <c r="I859" s="6"/>
      <c r="M859" s="6"/>
    </row>
    <row r="860" spans="9:13" ht="15.75" customHeight="1" x14ac:dyDescent="0.25">
      <c r="I860" s="6"/>
      <c r="M860" s="6"/>
    </row>
    <row r="861" spans="9:13" ht="15.75" customHeight="1" x14ac:dyDescent="0.25">
      <c r="I861" s="6"/>
      <c r="M861" s="6"/>
    </row>
    <row r="862" spans="9:13" ht="15.75" customHeight="1" x14ac:dyDescent="0.25">
      <c r="I862" s="6"/>
      <c r="M862" s="6"/>
    </row>
    <row r="863" spans="9:13" ht="15.75" customHeight="1" x14ac:dyDescent="0.25">
      <c r="I863" s="6"/>
      <c r="M863" s="6"/>
    </row>
    <row r="864" spans="9:13" ht="15.75" customHeight="1" x14ac:dyDescent="0.25">
      <c r="I864" s="6"/>
      <c r="M864" s="6"/>
    </row>
    <row r="865" spans="9:13" ht="15.75" customHeight="1" x14ac:dyDescent="0.25">
      <c r="I865" s="6"/>
      <c r="M865" s="6"/>
    </row>
    <row r="866" spans="9:13" ht="15.75" customHeight="1" x14ac:dyDescent="0.25">
      <c r="I866" s="6"/>
      <c r="M866" s="6"/>
    </row>
    <row r="867" spans="9:13" ht="15.75" customHeight="1" x14ac:dyDescent="0.25">
      <c r="I867" s="6"/>
      <c r="M867" s="6"/>
    </row>
    <row r="868" spans="9:13" ht="15.75" customHeight="1" x14ac:dyDescent="0.25">
      <c r="I868" s="6"/>
      <c r="M868" s="6"/>
    </row>
    <row r="869" spans="9:13" ht="15.75" customHeight="1" x14ac:dyDescent="0.25">
      <c r="I869" s="6"/>
      <c r="M869" s="6"/>
    </row>
    <row r="870" spans="9:13" ht="15.75" customHeight="1" x14ac:dyDescent="0.25">
      <c r="I870" s="6"/>
      <c r="M870" s="6"/>
    </row>
    <row r="871" spans="9:13" ht="15.75" customHeight="1" x14ac:dyDescent="0.25">
      <c r="I871" s="6"/>
      <c r="M871" s="6"/>
    </row>
    <row r="872" spans="9:13" ht="15.75" customHeight="1" x14ac:dyDescent="0.25">
      <c r="I872" s="6"/>
      <c r="M872" s="6"/>
    </row>
    <row r="873" spans="9:13" ht="15.75" customHeight="1" x14ac:dyDescent="0.25">
      <c r="I873" s="6"/>
      <c r="M873" s="6"/>
    </row>
    <row r="874" spans="9:13" ht="15.75" customHeight="1" x14ac:dyDescent="0.25">
      <c r="I874" s="6"/>
      <c r="M874" s="6"/>
    </row>
    <row r="875" spans="9:13" ht="15.75" customHeight="1" x14ac:dyDescent="0.25">
      <c r="I875" s="6"/>
      <c r="M875" s="6"/>
    </row>
    <row r="876" spans="9:13" ht="15.75" customHeight="1" x14ac:dyDescent="0.25">
      <c r="I876" s="6"/>
      <c r="M876" s="6"/>
    </row>
    <row r="877" spans="9:13" ht="15.75" customHeight="1" x14ac:dyDescent="0.25">
      <c r="I877" s="6"/>
      <c r="M877" s="6"/>
    </row>
    <row r="878" spans="9:13" ht="15.75" customHeight="1" x14ac:dyDescent="0.25">
      <c r="I878" s="6"/>
      <c r="M878" s="6"/>
    </row>
    <row r="879" spans="9:13" ht="15.75" customHeight="1" x14ac:dyDescent="0.25">
      <c r="I879" s="6"/>
      <c r="M879" s="6"/>
    </row>
    <row r="880" spans="9:13" ht="15.75" customHeight="1" x14ac:dyDescent="0.25">
      <c r="I880" s="6"/>
      <c r="M880" s="6"/>
    </row>
    <row r="881" spans="9:13" ht="15.75" customHeight="1" x14ac:dyDescent="0.25">
      <c r="I881" s="6"/>
      <c r="M881" s="6"/>
    </row>
    <row r="882" spans="9:13" ht="15.75" customHeight="1" x14ac:dyDescent="0.25">
      <c r="I882" s="6"/>
      <c r="M882" s="6"/>
    </row>
    <row r="883" spans="9:13" ht="15.75" customHeight="1" x14ac:dyDescent="0.25">
      <c r="I883" s="6"/>
      <c r="M883" s="6"/>
    </row>
    <row r="884" spans="9:13" ht="15.75" customHeight="1" x14ac:dyDescent="0.25">
      <c r="I884" s="6"/>
      <c r="M884" s="6"/>
    </row>
    <row r="885" spans="9:13" ht="15.75" customHeight="1" x14ac:dyDescent="0.25">
      <c r="I885" s="6"/>
      <c r="M885" s="6"/>
    </row>
    <row r="886" spans="9:13" ht="15.75" customHeight="1" x14ac:dyDescent="0.25">
      <c r="I886" s="6"/>
      <c r="M886" s="6"/>
    </row>
    <row r="887" spans="9:13" ht="15.75" customHeight="1" x14ac:dyDescent="0.25">
      <c r="I887" s="6"/>
      <c r="M887" s="6"/>
    </row>
    <row r="888" spans="9:13" ht="15.75" customHeight="1" x14ac:dyDescent="0.25">
      <c r="I888" s="6"/>
      <c r="M888" s="6"/>
    </row>
    <row r="889" spans="9:13" ht="15.75" customHeight="1" x14ac:dyDescent="0.25">
      <c r="I889" s="6"/>
      <c r="M889" s="6"/>
    </row>
    <row r="890" spans="9:13" ht="15.75" customHeight="1" x14ac:dyDescent="0.25">
      <c r="I890" s="6"/>
      <c r="M890" s="6"/>
    </row>
    <row r="891" spans="9:13" ht="15.75" customHeight="1" x14ac:dyDescent="0.25">
      <c r="I891" s="6"/>
      <c r="M891" s="6"/>
    </row>
    <row r="892" spans="9:13" ht="15.75" customHeight="1" x14ac:dyDescent="0.25">
      <c r="I892" s="6"/>
      <c r="M892" s="6"/>
    </row>
    <row r="893" spans="9:13" ht="15.75" customHeight="1" x14ac:dyDescent="0.25">
      <c r="I893" s="6"/>
      <c r="M893" s="6"/>
    </row>
    <row r="894" spans="9:13" ht="15.75" customHeight="1" x14ac:dyDescent="0.25">
      <c r="I894" s="6"/>
      <c r="M894" s="6"/>
    </row>
    <row r="895" spans="9:13" ht="15.75" customHeight="1" x14ac:dyDescent="0.25">
      <c r="I895" s="6"/>
      <c r="M895" s="6"/>
    </row>
    <row r="896" spans="9:13" ht="15.75" customHeight="1" x14ac:dyDescent="0.25">
      <c r="I896" s="6"/>
      <c r="M896" s="6"/>
    </row>
    <row r="897" spans="9:13" ht="15.75" customHeight="1" x14ac:dyDescent="0.25">
      <c r="I897" s="6"/>
      <c r="M897" s="6"/>
    </row>
    <row r="898" spans="9:13" ht="15.75" customHeight="1" x14ac:dyDescent="0.25">
      <c r="I898" s="6"/>
      <c r="M898" s="6"/>
    </row>
    <row r="899" spans="9:13" ht="15.75" customHeight="1" x14ac:dyDescent="0.25">
      <c r="I899" s="6"/>
      <c r="M899" s="6"/>
    </row>
    <row r="900" spans="9:13" ht="15.75" customHeight="1" x14ac:dyDescent="0.25">
      <c r="I900" s="6"/>
      <c r="M900" s="6"/>
    </row>
    <row r="901" spans="9:13" ht="15.75" customHeight="1" x14ac:dyDescent="0.25">
      <c r="I901" s="6"/>
      <c r="M901" s="6"/>
    </row>
    <row r="902" spans="9:13" ht="15.75" customHeight="1" x14ac:dyDescent="0.25">
      <c r="I902" s="6"/>
      <c r="M902" s="6"/>
    </row>
    <row r="903" spans="9:13" ht="15.75" customHeight="1" x14ac:dyDescent="0.25">
      <c r="I903" s="6"/>
      <c r="M903" s="6"/>
    </row>
    <row r="904" spans="9:13" ht="15.75" customHeight="1" x14ac:dyDescent="0.25">
      <c r="I904" s="6"/>
      <c r="M904" s="6"/>
    </row>
    <row r="905" spans="9:13" ht="15.75" customHeight="1" x14ac:dyDescent="0.25">
      <c r="I905" s="6"/>
      <c r="M905" s="6"/>
    </row>
    <row r="906" spans="9:13" ht="15.75" customHeight="1" x14ac:dyDescent="0.25">
      <c r="I906" s="6"/>
      <c r="M906" s="6"/>
    </row>
    <row r="907" spans="9:13" ht="15.75" customHeight="1" x14ac:dyDescent="0.25">
      <c r="I907" s="6"/>
      <c r="M907" s="6"/>
    </row>
    <row r="908" spans="9:13" ht="15.75" customHeight="1" x14ac:dyDescent="0.25">
      <c r="I908" s="6"/>
      <c r="M908" s="6"/>
    </row>
    <row r="909" spans="9:13" ht="15.75" customHeight="1" x14ac:dyDescent="0.25">
      <c r="I909" s="6"/>
      <c r="M909" s="6"/>
    </row>
    <row r="910" spans="9:13" ht="15.75" customHeight="1" x14ac:dyDescent="0.25">
      <c r="I910" s="6"/>
      <c r="M910" s="6"/>
    </row>
    <row r="911" spans="9:13" ht="15.75" customHeight="1" x14ac:dyDescent="0.25">
      <c r="I911" s="6"/>
      <c r="M911" s="6"/>
    </row>
    <row r="912" spans="9:13" ht="15.75" customHeight="1" x14ac:dyDescent="0.25">
      <c r="I912" s="6"/>
      <c r="M912" s="6"/>
    </row>
    <row r="913" spans="9:13" ht="15.75" customHeight="1" x14ac:dyDescent="0.25">
      <c r="I913" s="6"/>
      <c r="M913" s="6"/>
    </row>
    <row r="914" spans="9:13" ht="15.75" customHeight="1" x14ac:dyDescent="0.25">
      <c r="I914" s="6"/>
      <c r="M914" s="6"/>
    </row>
    <row r="915" spans="9:13" ht="15.75" customHeight="1" x14ac:dyDescent="0.25">
      <c r="I915" s="6"/>
      <c r="M915" s="6"/>
    </row>
    <row r="916" spans="9:13" ht="15.75" customHeight="1" x14ac:dyDescent="0.25">
      <c r="I916" s="6"/>
      <c r="M916" s="6"/>
    </row>
    <row r="917" spans="9:13" ht="15.75" customHeight="1" x14ac:dyDescent="0.25">
      <c r="I917" s="6"/>
      <c r="M917" s="6"/>
    </row>
    <row r="918" spans="9:13" ht="15.75" customHeight="1" x14ac:dyDescent="0.25">
      <c r="I918" s="6"/>
      <c r="M918" s="6"/>
    </row>
    <row r="919" spans="9:13" ht="15.75" customHeight="1" x14ac:dyDescent="0.25">
      <c r="I919" s="6"/>
      <c r="M919" s="6"/>
    </row>
    <row r="920" spans="9:13" ht="15.75" customHeight="1" x14ac:dyDescent="0.25">
      <c r="I920" s="6"/>
      <c r="M920" s="6"/>
    </row>
    <row r="921" spans="9:13" ht="15.75" customHeight="1" x14ac:dyDescent="0.25">
      <c r="I921" s="6"/>
      <c r="M921" s="6"/>
    </row>
    <row r="922" spans="9:13" ht="15.75" customHeight="1" x14ac:dyDescent="0.25">
      <c r="I922" s="6"/>
      <c r="M922" s="6"/>
    </row>
    <row r="923" spans="9:13" ht="15.75" customHeight="1" x14ac:dyDescent="0.25">
      <c r="I923" s="6"/>
      <c r="M923" s="6"/>
    </row>
    <row r="924" spans="9:13" ht="15.75" customHeight="1" x14ac:dyDescent="0.25">
      <c r="I924" s="6"/>
      <c r="M924" s="6"/>
    </row>
    <row r="925" spans="9:13" ht="15.75" customHeight="1" x14ac:dyDescent="0.25">
      <c r="I925" s="6"/>
      <c r="M925" s="6"/>
    </row>
    <row r="926" spans="9:13" ht="15.75" customHeight="1" x14ac:dyDescent="0.25">
      <c r="I926" s="6"/>
      <c r="M926" s="6"/>
    </row>
    <row r="927" spans="9:13" ht="15.75" customHeight="1" x14ac:dyDescent="0.25">
      <c r="I927" s="6"/>
      <c r="M927" s="6"/>
    </row>
    <row r="928" spans="9:13" ht="15.75" customHeight="1" x14ac:dyDescent="0.25">
      <c r="I928" s="6"/>
      <c r="M928" s="6"/>
    </row>
    <row r="929" spans="9:13" ht="15.75" customHeight="1" x14ac:dyDescent="0.25">
      <c r="I929" s="6"/>
      <c r="M929" s="6"/>
    </row>
    <row r="930" spans="9:13" ht="15.75" customHeight="1" x14ac:dyDescent="0.25">
      <c r="I930" s="6"/>
      <c r="M930" s="6"/>
    </row>
    <row r="931" spans="9:13" ht="15.75" customHeight="1" x14ac:dyDescent="0.25">
      <c r="I931" s="6"/>
      <c r="M931" s="6"/>
    </row>
    <row r="932" spans="9:13" ht="15.75" customHeight="1" x14ac:dyDescent="0.25">
      <c r="I932" s="6"/>
      <c r="M932" s="6"/>
    </row>
    <row r="933" spans="9:13" ht="15.75" customHeight="1" x14ac:dyDescent="0.25">
      <c r="I933" s="6"/>
      <c r="M933" s="6"/>
    </row>
    <row r="934" spans="9:13" ht="15.75" customHeight="1" x14ac:dyDescent="0.25">
      <c r="I934" s="6"/>
      <c r="M934" s="6"/>
    </row>
    <row r="935" spans="9:13" ht="15.75" customHeight="1" x14ac:dyDescent="0.25">
      <c r="I935" s="6"/>
      <c r="M935" s="6"/>
    </row>
    <row r="936" spans="9:13" ht="15.75" customHeight="1" x14ac:dyDescent="0.25">
      <c r="I936" s="6"/>
      <c r="M936" s="6"/>
    </row>
    <row r="937" spans="9:13" ht="15.75" customHeight="1" x14ac:dyDescent="0.25">
      <c r="I937" s="6"/>
      <c r="M937" s="6"/>
    </row>
    <row r="938" spans="9:13" ht="15.75" customHeight="1" x14ac:dyDescent="0.25">
      <c r="I938" s="6"/>
      <c r="M938" s="6"/>
    </row>
    <row r="939" spans="9:13" ht="15.75" customHeight="1" x14ac:dyDescent="0.25">
      <c r="I939" s="6"/>
      <c r="M939" s="6"/>
    </row>
    <row r="940" spans="9:13" ht="15.75" customHeight="1" x14ac:dyDescent="0.25">
      <c r="I940" s="6"/>
      <c r="M940" s="6"/>
    </row>
    <row r="941" spans="9:13" ht="15.75" customHeight="1" x14ac:dyDescent="0.25">
      <c r="I941" s="6"/>
      <c r="M941" s="6"/>
    </row>
    <row r="942" spans="9:13" ht="15.75" customHeight="1" x14ac:dyDescent="0.25">
      <c r="I942" s="6"/>
      <c r="M942" s="6"/>
    </row>
    <row r="943" spans="9:13" ht="15.75" customHeight="1" x14ac:dyDescent="0.25">
      <c r="I943" s="6"/>
      <c r="M943" s="6"/>
    </row>
    <row r="944" spans="9:13" ht="15.75" customHeight="1" x14ac:dyDescent="0.25">
      <c r="I944" s="6"/>
      <c r="M944" s="6"/>
    </row>
    <row r="945" spans="9:13" ht="15.75" customHeight="1" x14ac:dyDescent="0.25">
      <c r="I945" s="6"/>
      <c r="M945" s="6"/>
    </row>
    <row r="946" spans="9:13" ht="15.75" customHeight="1" x14ac:dyDescent="0.25">
      <c r="I946" s="6"/>
      <c r="M946" s="6"/>
    </row>
    <row r="947" spans="9:13" ht="15.75" customHeight="1" x14ac:dyDescent="0.25">
      <c r="I947" s="6"/>
      <c r="M947" s="6"/>
    </row>
    <row r="948" spans="9:13" ht="15.75" customHeight="1" x14ac:dyDescent="0.25">
      <c r="I948" s="6"/>
      <c r="M948" s="6"/>
    </row>
    <row r="949" spans="9:13" ht="15.75" customHeight="1" x14ac:dyDescent="0.25">
      <c r="I949" s="6"/>
      <c r="M949" s="6"/>
    </row>
    <row r="950" spans="9:13" ht="15.75" customHeight="1" x14ac:dyDescent="0.25">
      <c r="I950" s="6"/>
      <c r="M950" s="6"/>
    </row>
    <row r="951" spans="9:13" ht="15.75" customHeight="1" x14ac:dyDescent="0.25">
      <c r="I951" s="6"/>
      <c r="M951" s="6"/>
    </row>
    <row r="952" spans="9:13" ht="15.75" customHeight="1" x14ac:dyDescent="0.25">
      <c r="I952" s="6"/>
      <c r="M952" s="6"/>
    </row>
    <row r="953" spans="9:13" ht="15.75" customHeight="1" x14ac:dyDescent="0.25">
      <c r="I953" s="6"/>
      <c r="M953" s="6"/>
    </row>
    <row r="954" spans="9:13" ht="15.75" customHeight="1" x14ac:dyDescent="0.25">
      <c r="I954" s="6"/>
      <c r="M954" s="6"/>
    </row>
    <row r="955" spans="9:13" ht="15.75" customHeight="1" x14ac:dyDescent="0.25">
      <c r="I955" s="6"/>
      <c r="M955" s="6"/>
    </row>
    <row r="956" spans="9:13" ht="15.75" customHeight="1" x14ac:dyDescent="0.25">
      <c r="I956" s="6"/>
      <c r="M956" s="6"/>
    </row>
    <row r="957" spans="9:13" ht="15.75" customHeight="1" x14ac:dyDescent="0.25">
      <c r="I957" s="6"/>
      <c r="M957" s="6"/>
    </row>
    <row r="958" spans="9:13" ht="15.75" customHeight="1" x14ac:dyDescent="0.25">
      <c r="I958" s="6"/>
      <c r="M958" s="6"/>
    </row>
    <row r="959" spans="9:13" ht="15.75" customHeight="1" x14ac:dyDescent="0.25">
      <c r="I959" s="6"/>
      <c r="M959" s="6"/>
    </row>
    <row r="960" spans="9:13" ht="15.75" customHeight="1" x14ac:dyDescent="0.25">
      <c r="I960" s="6"/>
      <c r="M960" s="6"/>
    </row>
    <row r="961" spans="9:13" ht="15.75" customHeight="1" x14ac:dyDescent="0.25">
      <c r="I961" s="6"/>
      <c r="M961" s="6"/>
    </row>
    <row r="962" spans="9:13" ht="15.75" customHeight="1" x14ac:dyDescent="0.25">
      <c r="I962" s="6"/>
      <c r="M962" s="6"/>
    </row>
    <row r="963" spans="9:13" ht="15.75" customHeight="1" x14ac:dyDescent="0.25">
      <c r="I963" s="6"/>
      <c r="M963" s="6"/>
    </row>
    <row r="964" spans="9:13" ht="15.75" customHeight="1" x14ac:dyDescent="0.25">
      <c r="I964" s="6"/>
      <c r="M964" s="6"/>
    </row>
    <row r="965" spans="9:13" ht="15.75" customHeight="1" x14ac:dyDescent="0.25">
      <c r="I965" s="6"/>
      <c r="M965" s="6"/>
    </row>
    <row r="966" spans="9:13" ht="15.75" customHeight="1" x14ac:dyDescent="0.25">
      <c r="I966" s="6"/>
      <c r="M966" s="6"/>
    </row>
    <row r="967" spans="9:13" ht="15.75" customHeight="1" x14ac:dyDescent="0.25">
      <c r="I967" s="6"/>
      <c r="M967" s="6"/>
    </row>
    <row r="968" spans="9:13" ht="15.75" customHeight="1" x14ac:dyDescent="0.25">
      <c r="I968" s="6"/>
      <c r="M968" s="6"/>
    </row>
    <row r="969" spans="9:13" ht="15.75" customHeight="1" x14ac:dyDescent="0.25">
      <c r="I969" s="6"/>
      <c r="M969" s="6"/>
    </row>
    <row r="970" spans="9:13" ht="15.75" customHeight="1" x14ac:dyDescent="0.25">
      <c r="I970" s="6"/>
      <c r="M970" s="6"/>
    </row>
    <row r="971" spans="9:13" ht="15.75" customHeight="1" x14ac:dyDescent="0.25">
      <c r="I971" s="6"/>
      <c r="M971" s="6"/>
    </row>
    <row r="972" spans="9:13" ht="15.75" customHeight="1" x14ac:dyDescent="0.25">
      <c r="I972" s="6"/>
      <c r="M972" s="6"/>
    </row>
    <row r="973" spans="9:13" ht="15.75" customHeight="1" x14ac:dyDescent="0.25">
      <c r="I973" s="6"/>
      <c r="M973" s="6"/>
    </row>
    <row r="974" spans="9:13" ht="15.75" customHeight="1" x14ac:dyDescent="0.25">
      <c r="I974" s="6"/>
      <c r="M974" s="6"/>
    </row>
    <row r="975" spans="9:13" ht="15.75" customHeight="1" x14ac:dyDescent="0.25">
      <c r="I975" s="6"/>
      <c r="M975" s="6"/>
    </row>
    <row r="976" spans="9:13" ht="15.75" customHeight="1" x14ac:dyDescent="0.25">
      <c r="I976" s="6"/>
      <c r="M976" s="6"/>
    </row>
    <row r="977" spans="9:13" ht="15.75" customHeight="1" x14ac:dyDescent="0.25">
      <c r="I977" s="6"/>
      <c r="M977" s="6"/>
    </row>
    <row r="978" spans="9:13" ht="15.75" customHeight="1" x14ac:dyDescent="0.25">
      <c r="I978" s="6"/>
      <c r="M978" s="6"/>
    </row>
    <row r="979" spans="9:13" ht="15.75" customHeight="1" x14ac:dyDescent="0.25">
      <c r="I979" s="6"/>
      <c r="M979" s="6"/>
    </row>
    <row r="980" spans="9:13" ht="15.75" customHeight="1" x14ac:dyDescent="0.25">
      <c r="I980" s="6"/>
      <c r="M980" s="6"/>
    </row>
    <row r="981" spans="9:13" ht="15.75" customHeight="1" x14ac:dyDescent="0.25">
      <c r="I981" s="6"/>
      <c r="M981" s="6"/>
    </row>
    <row r="982" spans="9:13" ht="15.75" customHeight="1" x14ac:dyDescent="0.25">
      <c r="I982" s="6"/>
      <c r="M982" s="6"/>
    </row>
    <row r="983" spans="9:13" ht="15.75" customHeight="1" x14ac:dyDescent="0.25">
      <c r="I983" s="6"/>
      <c r="M983" s="6"/>
    </row>
    <row r="984" spans="9:13" ht="15.75" customHeight="1" x14ac:dyDescent="0.25">
      <c r="I984" s="6"/>
      <c r="M984" s="6"/>
    </row>
    <row r="985" spans="9:13" ht="15.75" customHeight="1" x14ac:dyDescent="0.25">
      <c r="I985" s="6"/>
      <c r="M985" s="6"/>
    </row>
    <row r="986" spans="9:13" ht="15.75" customHeight="1" x14ac:dyDescent="0.25">
      <c r="I986" s="6"/>
      <c r="M986" s="6"/>
    </row>
    <row r="987" spans="9:13" ht="15.75" customHeight="1" x14ac:dyDescent="0.25">
      <c r="I987" s="6"/>
      <c r="M987" s="6"/>
    </row>
    <row r="988" spans="9:13" ht="15.75" customHeight="1" x14ac:dyDescent="0.25">
      <c r="I988" s="6"/>
      <c r="M988" s="6"/>
    </row>
    <row r="989" spans="9:13" ht="15.75" customHeight="1" x14ac:dyDescent="0.25">
      <c r="I989" s="6"/>
      <c r="M989" s="6"/>
    </row>
    <row r="990" spans="9:13" ht="15.75" customHeight="1" x14ac:dyDescent="0.25">
      <c r="I990" s="6"/>
      <c r="M990" s="6"/>
    </row>
    <row r="991" spans="9:13" ht="15.75" customHeight="1" x14ac:dyDescent="0.25">
      <c r="I991" s="6"/>
      <c r="M991" s="6"/>
    </row>
    <row r="992" spans="9:13" ht="15.75" customHeight="1" x14ac:dyDescent="0.25">
      <c r="I992" s="6"/>
      <c r="M992" s="6"/>
    </row>
    <row r="993" spans="9:13" ht="15.75" customHeight="1" x14ac:dyDescent="0.25">
      <c r="I993" s="6"/>
      <c r="M993" s="6"/>
    </row>
    <row r="994" spans="9:13" ht="15.75" customHeight="1" x14ac:dyDescent="0.25">
      <c r="I994" s="6"/>
      <c r="M994" s="6"/>
    </row>
    <row r="995" spans="9:13" ht="15.75" customHeight="1" x14ac:dyDescent="0.25">
      <c r="I995" s="6"/>
      <c r="M995" s="6"/>
    </row>
    <row r="996" spans="9:13" ht="15.75" customHeight="1" x14ac:dyDescent="0.25">
      <c r="I996" s="6"/>
      <c r="M996" s="6"/>
    </row>
    <row r="997" spans="9:13" ht="15.75" customHeight="1" x14ac:dyDescent="0.25">
      <c r="I997" s="6"/>
      <c r="M997" s="6"/>
    </row>
    <row r="998" spans="9:13" ht="15.75" customHeight="1" x14ac:dyDescent="0.25">
      <c r="I998" s="6"/>
      <c r="M998" s="6"/>
    </row>
    <row r="999" spans="9:13" ht="15.75" customHeight="1" x14ac:dyDescent="0.25">
      <c r="I999" s="6"/>
      <c r="M999" s="6"/>
    </row>
    <row r="1000" spans="9:13" ht="15.75" customHeight="1" x14ac:dyDescent="0.25">
      <c r="I1000" s="6"/>
      <c r="M1000" s="6"/>
    </row>
  </sheetData>
  <autoFilter ref="A3:M514" xr:uid="{00000000-0009-0000-0000-000004000000}">
    <filterColumn colId="4">
      <filters>
        <filter val="C1"/>
        <filter val="C1-C6"/>
        <filter val="C2"/>
        <filter val="C3"/>
        <filter val="C4"/>
        <filter val="C6"/>
        <filter val="C7"/>
        <filter val="C8"/>
        <filter val="Dotacion de Manipuladoras"/>
        <filter val="Ele.adicionales"/>
        <filter val="Manuales"/>
        <filter val="Minutas"/>
      </filters>
    </filterColumn>
    <sortState xmlns:xlrd2="http://schemas.microsoft.com/office/spreadsheetml/2017/richdata2" ref="A3:M514">
      <sortCondition ref="B3:B514"/>
    </sortState>
  </autoFilter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M998"/>
  <sheetViews>
    <sheetView workbookViewId="0">
      <selection sqref="A1:M439"/>
    </sheetView>
  </sheetViews>
  <sheetFormatPr baseColWidth="10" defaultColWidth="12.5703125" defaultRowHeight="15" customHeight="1" x14ac:dyDescent="0.25"/>
  <cols>
    <col min="1" max="1" width="17.42578125" customWidth="1"/>
    <col min="2" max="2" width="53.42578125" customWidth="1"/>
    <col min="3" max="3" width="13.85546875" customWidth="1"/>
    <col min="4" max="4" width="17.28515625" customWidth="1"/>
    <col min="5" max="5" width="23.7109375" customWidth="1"/>
    <col min="6" max="8" width="13.85546875" customWidth="1"/>
    <col min="9" max="9" width="15.42578125" customWidth="1"/>
    <col min="10" max="12" width="13.85546875" customWidth="1"/>
    <col min="13" max="13" width="19.85546875" customWidth="1"/>
    <col min="14" max="28" width="10.5703125" customWidth="1"/>
  </cols>
  <sheetData>
    <row r="1" spans="1:13" ht="4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81</v>
      </c>
      <c r="G1" s="1" t="s">
        <v>6</v>
      </c>
      <c r="H1" s="15" t="s">
        <v>100</v>
      </c>
      <c r="I1" s="2" t="s">
        <v>89</v>
      </c>
      <c r="J1" s="1" t="s">
        <v>8</v>
      </c>
      <c r="K1" s="1" t="s">
        <v>6</v>
      </c>
      <c r="L1" s="15" t="s">
        <v>101</v>
      </c>
      <c r="M1" s="2" t="s">
        <v>9</v>
      </c>
    </row>
    <row r="2" spans="1:13" hidden="1" x14ac:dyDescent="0.25">
      <c r="A2" s="9" t="s">
        <v>15</v>
      </c>
      <c r="B2" s="9" t="s">
        <v>90</v>
      </c>
      <c r="C2" s="10" t="s">
        <v>79</v>
      </c>
      <c r="D2" s="9" t="s">
        <v>13</v>
      </c>
      <c r="E2" s="9" t="s">
        <v>72</v>
      </c>
      <c r="F2" s="10">
        <v>638</v>
      </c>
      <c r="G2" s="11">
        <v>44978</v>
      </c>
      <c r="H2" s="14">
        <f t="shared" ref="H2:H65" si="0">YEAR(G2)</f>
        <v>2023</v>
      </c>
      <c r="I2" s="12">
        <v>382527</v>
      </c>
      <c r="J2" s="10">
        <v>1335</v>
      </c>
      <c r="K2" s="11">
        <v>45036</v>
      </c>
      <c r="L2" s="14">
        <f t="shared" ref="L2:L65" si="1">YEAR(K2)</f>
        <v>2023</v>
      </c>
      <c r="M2" s="12">
        <v>382527</v>
      </c>
    </row>
    <row r="3" spans="1:13" hidden="1" x14ac:dyDescent="0.25">
      <c r="A3" s="9" t="s">
        <v>10</v>
      </c>
      <c r="B3" s="9" t="s">
        <v>63</v>
      </c>
      <c r="C3" s="10" t="s">
        <v>17</v>
      </c>
      <c r="D3" s="9" t="s">
        <v>13</v>
      </c>
      <c r="E3" s="9" t="s">
        <v>14</v>
      </c>
      <c r="F3" s="10">
        <v>1897</v>
      </c>
      <c r="G3" s="11">
        <v>45077</v>
      </c>
      <c r="H3" s="14">
        <f t="shared" si="0"/>
        <v>2023</v>
      </c>
      <c r="I3" s="12">
        <f>437.5*63074</f>
        <v>27594875</v>
      </c>
      <c r="J3" s="10">
        <v>5580</v>
      </c>
      <c r="K3" s="11">
        <v>45210</v>
      </c>
      <c r="L3" s="14">
        <f t="shared" si="1"/>
        <v>2023</v>
      </c>
      <c r="M3" s="12">
        <v>27760250</v>
      </c>
    </row>
    <row r="4" spans="1:13" hidden="1" x14ac:dyDescent="0.25">
      <c r="A4" s="9" t="s">
        <v>59</v>
      </c>
      <c r="B4" s="9" t="s">
        <v>63</v>
      </c>
      <c r="C4" s="10" t="s">
        <v>17</v>
      </c>
      <c r="D4" s="9" t="s">
        <v>13</v>
      </c>
      <c r="E4" s="9" t="s">
        <v>14</v>
      </c>
      <c r="F4" s="10">
        <v>1439</v>
      </c>
      <c r="G4" s="11">
        <v>45042</v>
      </c>
      <c r="H4" s="14">
        <f t="shared" si="0"/>
        <v>2023</v>
      </c>
      <c r="I4" s="12">
        <f>643.65*62386</f>
        <v>40154748.899999999</v>
      </c>
      <c r="J4" s="10">
        <v>6149</v>
      </c>
      <c r="K4" s="11">
        <v>45253</v>
      </c>
      <c r="L4" s="14">
        <f t="shared" si="1"/>
        <v>2023</v>
      </c>
      <c r="M4" s="12">
        <v>28273518</v>
      </c>
    </row>
    <row r="5" spans="1:13" hidden="1" x14ac:dyDescent="0.25">
      <c r="A5" s="9" t="s">
        <v>10</v>
      </c>
      <c r="B5" s="9" t="s">
        <v>63</v>
      </c>
      <c r="C5" s="10" t="s">
        <v>17</v>
      </c>
      <c r="D5" s="9" t="s">
        <v>13</v>
      </c>
      <c r="E5" s="9" t="s">
        <v>14</v>
      </c>
      <c r="F5" s="10">
        <v>1454</v>
      </c>
      <c r="G5" s="11">
        <v>45042</v>
      </c>
      <c r="H5" s="14">
        <f t="shared" si="0"/>
        <v>2023</v>
      </c>
      <c r="I5" s="12">
        <f>19.05*62386</f>
        <v>1188453.3</v>
      </c>
      <c r="J5" s="10">
        <v>5148</v>
      </c>
      <c r="K5" s="11">
        <v>45177</v>
      </c>
      <c r="L5" s="14">
        <f t="shared" si="1"/>
        <v>2023</v>
      </c>
      <c r="M5" s="12">
        <v>1208761</v>
      </c>
    </row>
    <row r="6" spans="1:13" hidden="1" x14ac:dyDescent="0.25">
      <c r="A6" s="9" t="s">
        <v>59</v>
      </c>
      <c r="B6" s="9" t="s">
        <v>63</v>
      </c>
      <c r="C6" s="10" t="s">
        <v>17</v>
      </c>
      <c r="D6" s="9" t="s">
        <v>13</v>
      </c>
      <c r="E6" s="9" t="s">
        <v>14</v>
      </c>
      <c r="F6" s="10">
        <v>1986</v>
      </c>
      <c r="G6" s="11">
        <v>45077</v>
      </c>
      <c r="H6" s="14">
        <f t="shared" si="0"/>
        <v>2023</v>
      </c>
      <c r="I6" s="12">
        <f>0.77*63074</f>
        <v>48566.98</v>
      </c>
      <c r="J6" s="10">
        <v>5135</v>
      </c>
      <c r="K6" s="11">
        <v>45177</v>
      </c>
      <c r="L6" s="14">
        <f t="shared" si="1"/>
        <v>2023</v>
      </c>
      <c r="M6" s="12">
        <v>48858</v>
      </c>
    </row>
    <row r="7" spans="1:13" x14ac:dyDescent="0.25">
      <c r="A7" s="9" t="s">
        <v>15</v>
      </c>
      <c r="B7" s="9" t="s">
        <v>20</v>
      </c>
      <c r="C7" s="10" t="s">
        <v>21</v>
      </c>
      <c r="D7" s="9" t="s">
        <v>13</v>
      </c>
      <c r="E7" s="9" t="s">
        <v>47</v>
      </c>
      <c r="F7" s="10">
        <v>114</v>
      </c>
      <c r="G7" s="11">
        <v>44210</v>
      </c>
      <c r="H7" s="14">
        <f t="shared" si="0"/>
        <v>2021</v>
      </c>
      <c r="I7" s="12">
        <f>187.6*50978</f>
        <v>9563472.7999999989</v>
      </c>
      <c r="J7" s="10">
        <v>250</v>
      </c>
      <c r="K7" s="11">
        <v>44953</v>
      </c>
      <c r="L7" s="14">
        <f t="shared" si="1"/>
        <v>2023</v>
      </c>
      <c r="M7" s="12">
        <v>8971946</v>
      </c>
    </row>
    <row r="8" spans="1:13" x14ac:dyDescent="0.25">
      <c r="A8" s="9" t="s">
        <v>15</v>
      </c>
      <c r="B8" s="9" t="s">
        <v>20</v>
      </c>
      <c r="C8" s="10" t="s">
        <v>21</v>
      </c>
      <c r="D8" s="9" t="s">
        <v>22</v>
      </c>
      <c r="E8" s="9" t="s">
        <v>47</v>
      </c>
      <c r="F8" s="10">
        <v>168</v>
      </c>
      <c r="G8" s="11">
        <v>44211</v>
      </c>
      <c r="H8" s="14">
        <f t="shared" si="0"/>
        <v>2021</v>
      </c>
      <c r="I8" s="12">
        <f>1416.8*50978</f>
        <v>72225630.399999991</v>
      </c>
      <c r="J8" s="10">
        <v>983</v>
      </c>
      <c r="K8" s="11">
        <v>45005</v>
      </c>
      <c r="L8" s="14">
        <f t="shared" si="1"/>
        <v>2023</v>
      </c>
      <c r="M8" s="12">
        <v>68107971</v>
      </c>
    </row>
    <row r="9" spans="1:13" x14ac:dyDescent="0.25">
      <c r="A9" s="9" t="s">
        <v>15</v>
      </c>
      <c r="B9" s="9" t="s">
        <v>20</v>
      </c>
      <c r="C9" s="10" t="s">
        <v>21</v>
      </c>
      <c r="D9" s="9" t="s">
        <v>13</v>
      </c>
      <c r="E9" s="9" t="s">
        <v>47</v>
      </c>
      <c r="F9" s="10">
        <v>173</v>
      </c>
      <c r="G9" s="11">
        <v>44211</v>
      </c>
      <c r="H9" s="14">
        <f t="shared" si="0"/>
        <v>2021</v>
      </c>
      <c r="I9" s="12">
        <f>217.7*50978</f>
        <v>11097910.6</v>
      </c>
      <c r="J9" s="10">
        <v>214</v>
      </c>
      <c r="K9" s="11">
        <v>44953</v>
      </c>
      <c r="L9" s="14">
        <f t="shared" si="1"/>
        <v>2023</v>
      </c>
      <c r="M9" s="12">
        <v>11804055</v>
      </c>
    </row>
    <row r="10" spans="1:13" x14ac:dyDescent="0.25">
      <c r="A10" s="9" t="s">
        <v>15</v>
      </c>
      <c r="B10" s="9" t="s">
        <v>20</v>
      </c>
      <c r="C10" s="10" t="s">
        <v>21</v>
      </c>
      <c r="D10" s="9" t="s">
        <v>13</v>
      </c>
      <c r="E10" s="9" t="s">
        <v>14</v>
      </c>
      <c r="F10" s="10">
        <v>216</v>
      </c>
      <c r="G10" s="11">
        <v>44215</v>
      </c>
      <c r="H10" s="14">
        <f t="shared" si="0"/>
        <v>2021</v>
      </c>
      <c r="I10" s="12">
        <f>31.85*50978</f>
        <v>1623649.3</v>
      </c>
      <c r="J10" s="10">
        <v>249</v>
      </c>
      <c r="K10" s="11">
        <v>44953</v>
      </c>
      <c r="L10" s="14">
        <f t="shared" si="1"/>
        <v>2023</v>
      </c>
      <c r="M10" s="12">
        <v>1967342</v>
      </c>
    </row>
    <row r="11" spans="1:13" x14ac:dyDescent="0.25">
      <c r="A11" s="9" t="s">
        <v>15</v>
      </c>
      <c r="B11" s="9" t="s">
        <v>20</v>
      </c>
      <c r="C11" s="10" t="s">
        <v>21</v>
      </c>
      <c r="D11" s="9">
        <v>22</v>
      </c>
      <c r="E11" s="9" t="s">
        <v>14</v>
      </c>
      <c r="F11" s="10">
        <v>218</v>
      </c>
      <c r="G11" s="11">
        <v>44215</v>
      </c>
      <c r="H11" s="14">
        <f t="shared" si="0"/>
        <v>2021</v>
      </c>
      <c r="I11" s="12">
        <f>4355.05*50978</f>
        <v>222011738.90000001</v>
      </c>
      <c r="J11" s="10">
        <v>224</v>
      </c>
      <c r="K11" s="11">
        <v>44953</v>
      </c>
      <c r="L11" s="14">
        <f t="shared" si="1"/>
        <v>2023</v>
      </c>
      <c r="M11" s="12">
        <v>247214967</v>
      </c>
    </row>
    <row r="12" spans="1:13" x14ac:dyDescent="0.25">
      <c r="A12" s="9" t="s">
        <v>15</v>
      </c>
      <c r="B12" s="9" t="s">
        <v>20</v>
      </c>
      <c r="C12" s="10" t="s">
        <v>21</v>
      </c>
      <c r="D12" s="9" t="s">
        <v>13</v>
      </c>
      <c r="E12" s="9" t="s">
        <v>47</v>
      </c>
      <c r="F12" s="10">
        <v>209</v>
      </c>
      <c r="G12" s="11">
        <v>44580</v>
      </c>
      <c r="H12" s="14">
        <f t="shared" si="0"/>
        <v>2022</v>
      </c>
      <c r="I12" s="12">
        <f>92.75*54442</f>
        <v>5049495.5</v>
      </c>
      <c r="J12" s="10">
        <v>1259</v>
      </c>
      <c r="K12" s="11">
        <v>45029</v>
      </c>
      <c r="L12" s="14">
        <f t="shared" si="1"/>
        <v>2023</v>
      </c>
      <c r="M12" s="12">
        <v>5415278</v>
      </c>
    </row>
    <row r="13" spans="1:13" x14ac:dyDescent="0.25">
      <c r="A13" s="9" t="s">
        <v>15</v>
      </c>
      <c r="B13" s="9" t="s">
        <v>20</v>
      </c>
      <c r="C13" s="10" t="s">
        <v>21</v>
      </c>
      <c r="D13" s="9" t="s">
        <v>75</v>
      </c>
      <c r="E13" s="9" t="s">
        <v>14</v>
      </c>
      <c r="F13" s="10">
        <v>207</v>
      </c>
      <c r="G13" s="11">
        <v>44580</v>
      </c>
      <c r="H13" s="14">
        <f t="shared" si="0"/>
        <v>2022</v>
      </c>
      <c r="I13" s="12">
        <f>94.5*54442</f>
        <v>5144769</v>
      </c>
      <c r="J13" s="10">
        <v>213</v>
      </c>
      <c r="K13" s="11">
        <v>44953</v>
      </c>
      <c r="L13" s="14">
        <f t="shared" si="1"/>
        <v>2023</v>
      </c>
      <c r="M13" s="12">
        <v>5837166</v>
      </c>
    </row>
    <row r="14" spans="1:13" x14ac:dyDescent="0.25">
      <c r="A14" s="9" t="s">
        <v>10</v>
      </c>
      <c r="B14" s="9" t="s">
        <v>20</v>
      </c>
      <c r="C14" s="10" t="s">
        <v>21</v>
      </c>
      <c r="D14" s="9" t="s">
        <v>13</v>
      </c>
      <c r="E14" s="9" t="s">
        <v>14</v>
      </c>
      <c r="F14" s="10">
        <v>1948</v>
      </c>
      <c r="G14" s="11">
        <v>44748</v>
      </c>
      <c r="H14" s="14">
        <f t="shared" si="0"/>
        <v>2022</v>
      </c>
      <c r="I14" s="12">
        <f>100.58*58298</f>
        <v>5863612.8399999999</v>
      </c>
      <c r="J14" s="10">
        <v>51</v>
      </c>
      <c r="K14" s="11">
        <v>44937</v>
      </c>
      <c r="L14" s="14">
        <f t="shared" si="1"/>
        <v>2023</v>
      </c>
      <c r="M14" s="12">
        <v>6212726</v>
      </c>
    </row>
    <row r="15" spans="1:13" x14ac:dyDescent="0.25">
      <c r="A15" s="9" t="s">
        <v>15</v>
      </c>
      <c r="B15" s="9" t="s">
        <v>20</v>
      </c>
      <c r="C15" s="10" t="s">
        <v>82</v>
      </c>
      <c r="D15" s="9" t="s">
        <v>83</v>
      </c>
      <c r="E15" s="9" t="s">
        <v>91</v>
      </c>
      <c r="F15" s="10">
        <v>810</v>
      </c>
      <c r="G15" s="11">
        <v>44634</v>
      </c>
      <c r="H15" s="14">
        <f t="shared" si="0"/>
        <v>2022</v>
      </c>
      <c r="I15" s="12">
        <v>52024270.733534999</v>
      </c>
      <c r="J15" s="10">
        <v>2037</v>
      </c>
      <c r="K15" s="11">
        <v>45077</v>
      </c>
      <c r="L15" s="14">
        <f t="shared" si="1"/>
        <v>2023</v>
      </c>
      <c r="M15" s="12">
        <v>52024271</v>
      </c>
    </row>
    <row r="16" spans="1:13" x14ac:dyDescent="0.25">
      <c r="A16" s="9" t="s">
        <v>15</v>
      </c>
      <c r="B16" s="9" t="s">
        <v>20</v>
      </c>
      <c r="C16" s="10" t="s">
        <v>82</v>
      </c>
      <c r="D16" s="9" t="s">
        <v>83</v>
      </c>
      <c r="E16" s="9" t="s">
        <v>91</v>
      </c>
      <c r="F16" s="10">
        <v>1084</v>
      </c>
      <c r="G16" s="11">
        <v>44658</v>
      </c>
      <c r="H16" s="14">
        <f t="shared" si="0"/>
        <v>2022</v>
      </c>
      <c r="I16" s="12">
        <v>123333610.4816</v>
      </c>
      <c r="J16" s="10">
        <v>520</v>
      </c>
      <c r="K16" s="11">
        <v>44964</v>
      </c>
      <c r="L16" s="14">
        <f t="shared" si="1"/>
        <v>2023</v>
      </c>
      <c r="M16" s="12">
        <v>123333610</v>
      </c>
    </row>
    <row r="17" spans="1:13" x14ac:dyDescent="0.25">
      <c r="A17" s="9" t="s">
        <v>15</v>
      </c>
      <c r="B17" s="9" t="s">
        <v>20</v>
      </c>
      <c r="C17" s="10" t="s">
        <v>21</v>
      </c>
      <c r="D17" s="9" t="s">
        <v>83</v>
      </c>
      <c r="E17" s="9" t="s">
        <v>72</v>
      </c>
      <c r="F17" s="10">
        <v>1620</v>
      </c>
      <c r="G17" s="11">
        <v>44713</v>
      </c>
      <c r="H17" s="14">
        <f t="shared" si="0"/>
        <v>2022</v>
      </c>
      <c r="I17" s="12">
        <f>22951*57557</f>
        <v>1320990707</v>
      </c>
      <c r="J17" s="10">
        <v>1113</v>
      </c>
      <c r="K17" s="11">
        <v>45016</v>
      </c>
      <c r="L17" s="14">
        <f t="shared" si="1"/>
        <v>2023</v>
      </c>
      <c r="M17" s="12">
        <v>1355727050</v>
      </c>
    </row>
    <row r="18" spans="1:13" x14ac:dyDescent="0.25">
      <c r="A18" s="9" t="s">
        <v>15</v>
      </c>
      <c r="B18" s="9" t="s">
        <v>20</v>
      </c>
      <c r="C18" s="10" t="s">
        <v>21</v>
      </c>
      <c r="D18" s="9" t="s">
        <v>83</v>
      </c>
      <c r="E18" s="9" t="s">
        <v>72</v>
      </c>
      <c r="F18" s="10">
        <v>1644</v>
      </c>
      <c r="G18" s="11">
        <v>44714</v>
      </c>
      <c r="H18" s="14">
        <f t="shared" si="0"/>
        <v>2022</v>
      </c>
      <c r="I18" s="12">
        <f>12284*57557</f>
        <v>707030188</v>
      </c>
      <c r="J18" s="10">
        <v>956</v>
      </c>
      <c r="K18" s="11">
        <v>45005</v>
      </c>
      <c r="L18" s="14">
        <f t="shared" si="1"/>
        <v>2023</v>
      </c>
      <c r="M18" s="12">
        <v>745653000</v>
      </c>
    </row>
    <row r="19" spans="1:13" ht="15.75" customHeight="1" x14ac:dyDescent="0.25">
      <c r="A19" s="9" t="s">
        <v>59</v>
      </c>
      <c r="B19" s="9" t="s">
        <v>20</v>
      </c>
      <c r="C19" s="10" t="s">
        <v>21</v>
      </c>
      <c r="D19" s="9" t="s">
        <v>22</v>
      </c>
      <c r="E19" s="9" t="s">
        <v>14</v>
      </c>
      <c r="F19" s="10">
        <v>2365</v>
      </c>
      <c r="G19" s="11">
        <v>44771</v>
      </c>
      <c r="H19" s="14">
        <f t="shared" si="0"/>
        <v>2022</v>
      </c>
      <c r="I19" s="12">
        <f>567.7*58298</f>
        <v>33095774.600000001</v>
      </c>
      <c r="J19" s="10">
        <v>221</v>
      </c>
      <c r="K19" s="11">
        <v>44953</v>
      </c>
      <c r="L19" s="14">
        <f t="shared" si="1"/>
        <v>2023</v>
      </c>
      <c r="M19" s="12">
        <v>35066261</v>
      </c>
    </row>
    <row r="20" spans="1:13" ht="15.75" customHeight="1" x14ac:dyDescent="0.25">
      <c r="A20" s="9" t="s">
        <v>59</v>
      </c>
      <c r="B20" s="9" t="s">
        <v>20</v>
      </c>
      <c r="C20" s="10" t="s">
        <v>21</v>
      </c>
      <c r="D20" s="9" t="s">
        <v>13</v>
      </c>
      <c r="E20" s="9" t="s">
        <v>14</v>
      </c>
      <c r="F20" s="10">
        <v>2363</v>
      </c>
      <c r="G20" s="11">
        <v>44771</v>
      </c>
      <c r="H20" s="14">
        <f t="shared" si="0"/>
        <v>2022</v>
      </c>
      <c r="I20" s="12">
        <f>2684.85*58298</f>
        <v>156521385.29999998</v>
      </c>
      <c r="J20" s="10">
        <v>222</v>
      </c>
      <c r="K20" s="11">
        <v>44953</v>
      </c>
      <c r="L20" s="14">
        <f t="shared" si="1"/>
        <v>2023</v>
      </c>
      <c r="M20" s="12">
        <v>165840500</v>
      </c>
    </row>
    <row r="21" spans="1:13" ht="15.75" customHeight="1" x14ac:dyDescent="0.25">
      <c r="A21" s="9" t="s">
        <v>59</v>
      </c>
      <c r="B21" s="9" t="s">
        <v>20</v>
      </c>
      <c r="C21" s="10" t="s">
        <v>21</v>
      </c>
      <c r="D21" s="9" t="s">
        <v>75</v>
      </c>
      <c r="E21" s="9" t="s">
        <v>14</v>
      </c>
      <c r="F21" s="10">
        <v>2364</v>
      </c>
      <c r="G21" s="11">
        <v>44771</v>
      </c>
      <c r="H21" s="14">
        <f t="shared" si="0"/>
        <v>2022</v>
      </c>
      <c r="I21" s="12">
        <f>78.75*58298</f>
        <v>4590967.5</v>
      </c>
      <c r="J21" s="10">
        <v>220</v>
      </c>
      <c r="K21" s="11">
        <v>44953</v>
      </c>
      <c r="L21" s="14">
        <f t="shared" si="1"/>
        <v>2023</v>
      </c>
      <c r="M21" s="12">
        <v>4864309</v>
      </c>
    </row>
    <row r="22" spans="1:13" ht="15.75" customHeight="1" x14ac:dyDescent="0.25">
      <c r="A22" s="9" t="s">
        <v>10</v>
      </c>
      <c r="B22" s="9" t="s">
        <v>20</v>
      </c>
      <c r="C22" s="10" t="s">
        <v>21</v>
      </c>
      <c r="D22" s="9" t="s">
        <v>22</v>
      </c>
      <c r="E22" s="9" t="s">
        <v>14</v>
      </c>
      <c r="F22" s="10">
        <v>2039</v>
      </c>
      <c r="G22" s="11">
        <v>44754</v>
      </c>
      <c r="H22" s="14">
        <f t="shared" si="0"/>
        <v>2022</v>
      </c>
      <c r="I22" s="12">
        <f>5218.15*58298</f>
        <v>304207708.69999999</v>
      </c>
      <c r="J22" s="10">
        <v>720</v>
      </c>
      <c r="K22" s="11">
        <v>44984</v>
      </c>
      <c r="L22" s="14">
        <f t="shared" si="1"/>
        <v>2023</v>
      </c>
      <c r="M22" s="12">
        <v>323285265</v>
      </c>
    </row>
    <row r="23" spans="1:13" ht="15.75" customHeight="1" x14ac:dyDescent="0.25">
      <c r="A23" s="9" t="s">
        <v>10</v>
      </c>
      <c r="B23" s="9" t="s">
        <v>20</v>
      </c>
      <c r="C23" s="10" t="s">
        <v>21</v>
      </c>
      <c r="D23" s="9" t="s">
        <v>22</v>
      </c>
      <c r="E23" s="9" t="s">
        <v>14</v>
      </c>
      <c r="F23" s="10">
        <v>2035</v>
      </c>
      <c r="G23" s="11">
        <v>44754</v>
      </c>
      <c r="H23" s="14">
        <f t="shared" si="0"/>
        <v>2022</v>
      </c>
      <c r="I23" s="12">
        <f>5138*58298</f>
        <v>299535124</v>
      </c>
      <c r="J23" s="10">
        <v>830</v>
      </c>
      <c r="K23" s="11">
        <v>44993</v>
      </c>
      <c r="L23" s="14">
        <f t="shared" si="1"/>
        <v>2023</v>
      </c>
      <c r="M23" s="12">
        <v>316324733</v>
      </c>
    </row>
    <row r="24" spans="1:13" ht="15.75" customHeight="1" x14ac:dyDescent="0.25">
      <c r="A24" s="9" t="s">
        <v>10</v>
      </c>
      <c r="B24" s="9" t="s">
        <v>20</v>
      </c>
      <c r="C24" s="10" t="s">
        <v>21</v>
      </c>
      <c r="D24" s="9" t="s">
        <v>22</v>
      </c>
      <c r="E24" s="9" t="s">
        <v>14</v>
      </c>
      <c r="F24" s="10">
        <v>2040</v>
      </c>
      <c r="G24" s="11">
        <v>44754</v>
      </c>
      <c r="H24" s="14">
        <f t="shared" si="0"/>
        <v>2022</v>
      </c>
      <c r="I24" s="12">
        <f>3377.5*58298</f>
        <v>196901495</v>
      </c>
      <c r="J24" s="10">
        <v>723</v>
      </c>
      <c r="K24" s="11">
        <v>44984</v>
      </c>
      <c r="L24" s="14">
        <f t="shared" si="1"/>
        <v>2023</v>
      </c>
      <c r="M24" s="12">
        <v>209249635</v>
      </c>
    </row>
    <row r="25" spans="1:13" ht="15.75" customHeight="1" x14ac:dyDescent="0.25">
      <c r="A25" s="9" t="s">
        <v>10</v>
      </c>
      <c r="B25" s="9" t="s">
        <v>20</v>
      </c>
      <c r="C25" s="10" t="s">
        <v>21</v>
      </c>
      <c r="D25" s="9" t="s">
        <v>13</v>
      </c>
      <c r="E25" s="9" t="s">
        <v>14</v>
      </c>
      <c r="F25" s="10">
        <v>2038</v>
      </c>
      <c r="G25" s="11">
        <v>44754</v>
      </c>
      <c r="H25" s="14">
        <f t="shared" si="0"/>
        <v>2022</v>
      </c>
      <c r="I25" s="12">
        <f>1680.35*28298</f>
        <v>47550544.299999997</v>
      </c>
      <c r="J25" s="10">
        <v>754</v>
      </c>
      <c r="K25" s="11">
        <v>44984</v>
      </c>
      <c r="L25" s="14">
        <f t="shared" si="1"/>
        <v>2023</v>
      </c>
      <c r="M25" s="12">
        <v>104104404</v>
      </c>
    </row>
    <row r="26" spans="1:13" ht="15.75" customHeight="1" x14ac:dyDescent="0.25">
      <c r="A26" s="9" t="s">
        <v>10</v>
      </c>
      <c r="B26" s="9" t="s">
        <v>20</v>
      </c>
      <c r="C26" s="10" t="s">
        <v>21</v>
      </c>
      <c r="D26" s="9" t="s">
        <v>13</v>
      </c>
      <c r="E26" s="9" t="s">
        <v>14</v>
      </c>
      <c r="F26" s="10">
        <v>2037</v>
      </c>
      <c r="G26" s="11">
        <v>44754</v>
      </c>
      <c r="H26" s="14">
        <f t="shared" si="0"/>
        <v>2022</v>
      </c>
      <c r="I26" s="12">
        <f>1208.9*58298</f>
        <v>70476452.200000003</v>
      </c>
      <c r="J26" s="10">
        <v>722</v>
      </c>
      <c r="K26" s="11">
        <v>44984</v>
      </c>
      <c r="L26" s="14">
        <f t="shared" si="1"/>
        <v>2023</v>
      </c>
      <c r="M26" s="12">
        <v>73920415</v>
      </c>
    </row>
    <row r="27" spans="1:13" ht="15.75" customHeight="1" x14ac:dyDescent="0.25">
      <c r="A27" s="9" t="s">
        <v>10</v>
      </c>
      <c r="B27" s="9" t="s">
        <v>20</v>
      </c>
      <c r="C27" s="10" t="s">
        <v>21</v>
      </c>
      <c r="D27" s="9" t="s">
        <v>13</v>
      </c>
      <c r="E27" s="9" t="s">
        <v>14</v>
      </c>
      <c r="F27" s="10">
        <v>2036</v>
      </c>
      <c r="G27" s="11">
        <v>44754</v>
      </c>
      <c r="H27" s="14">
        <f t="shared" si="0"/>
        <v>2022</v>
      </c>
      <c r="I27" s="12">
        <f>1120*58298</f>
        <v>65293760</v>
      </c>
      <c r="J27" s="10">
        <v>721</v>
      </c>
      <c r="K27" s="11">
        <v>44984</v>
      </c>
      <c r="L27" s="14">
        <f t="shared" si="1"/>
        <v>2023</v>
      </c>
      <c r="M27" s="12">
        <v>64791493</v>
      </c>
    </row>
    <row r="28" spans="1:13" ht="15.75" customHeight="1" x14ac:dyDescent="0.25">
      <c r="A28" s="9" t="s">
        <v>10</v>
      </c>
      <c r="B28" s="9" t="s">
        <v>20</v>
      </c>
      <c r="C28" s="10" t="s">
        <v>21</v>
      </c>
      <c r="D28" s="9" t="s">
        <v>75</v>
      </c>
      <c r="E28" s="9" t="s">
        <v>14</v>
      </c>
      <c r="F28" s="10">
        <v>2041</v>
      </c>
      <c r="G28" s="11">
        <v>44754</v>
      </c>
      <c r="H28" s="14">
        <f t="shared" si="0"/>
        <v>2022</v>
      </c>
      <c r="I28" s="12">
        <f>15.75*58298</f>
        <v>918193.5</v>
      </c>
      <c r="J28" s="10">
        <v>1542</v>
      </c>
      <c r="K28" s="11">
        <v>45048</v>
      </c>
      <c r="L28" s="14">
        <f t="shared" si="1"/>
        <v>2023</v>
      </c>
      <c r="M28" s="12">
        <v>982611</v>
      </c>
    </row>
    <row r="29" spans="1:13" ht="15.75" customHeight="1" x14ac:dyDescent="0.25">
      <c r="A29" s="9" t="s">
        <v>59</v>
      </c>
      <c r="B29" s="9" t="s">
        <v>20</v>
      </c>
      <c r="C29" s="10" t="s">
        <v>21</v>
      </c>
      <c r="D29" s="9" t="s">
        <v>83</v>
      </c>
      <c r="E29" s="9" t="s">
        <v>72</v>
      </c>
      <c r="F29" s="10">
        <v>1943</v>
      </c>
      <c r="G29" s="11">
        <v>44748</v>
      </c>
      <c r="H29" s="14">
        <f t="shared" si="0"/>
        <v>2022</v>
      </c>
      <c r="I29" s="12">
        <f>6021.46*58298</f>
        <v>351039075.07999998</v>
      </c>
      <c r="J29" s="10">
        <v>982</v>
      </c>
      <c r="K29" s="11">
        <v>45005</v>
      </c>
      <c r="L29" s="14">
        <f t="shared" si="1"/>
        <v>2023</v>
      </c>
      <c r="M29" s="12">
        <v>376040177</v>
      </c>
    </row>
    <row r="30" spans="1:13" ht="15.75" customHeight="1" x14ac:dyDescent="0.25">
      <c r="A30" s="9" t="s">
        <v>10</v>
      </c>
      <c r="B30" s="9" t="s">
        <v>20</v>
      </c>
      <c r="C30" s="10" t="s">
        <v>21</v>
      </c>
      <c r="D30" s="9" t="s">
        <v>83</v>
      </c>
      <c r="E30" s="9" t="s">
        <v>72</v>
      </c>
      <c r="F30" s="10">
        <v>2937</v>
      </c>
      <c r="G30" s="11">
        <v>44834</v>
      </c>
      <c r="H30" s="14">
        <f t="shared" si="0"/>
        <v>2022</v>
      </c>
      <c r="I30" s="12">
        <f>5666.37*59595</f>
        <v>337687320.14999998</v>
      </c>
      <c r="J30" s="10">
        <v>952</v>
      </c>
      <c r="K30" s="11">
        <v>45005</v>
      </c>
      <c r="L30" s="14">
        <f t="shared" si="1"/>
        <v>2023</v>
      </c>
      <c r="M30" s="12">
        <f>5666.37*62450</f>
        <v>353864806.5</v>
      </c>
    </row>
    <row r="31" spans="1:13" ht="15.75" customHeight="1" x14ac:dyDescent="0.25">
      <c r="A31" s="9" t="s">
        <v>10</v>
      </c>
      <c r="B31" s="9" t="s">
        <v>20</v>
      </c>
      <c r="C31" s="10" t="s">
        <v>21</v>
      </c>
      <c r="D31" s="9" t="s">
        <v>83</v>
      </c>
      <c r="E31" s="9" t="s">
        <v>72</v>
      </c>
      <c r="F31" s="10">
        <v>2939</v>
      </c>
      <c r="G31" s="11">
        <v>44834</v>
      </c>
      <c r="H31" s="14">
        <f t="shared" si="0"/>
        <v>2022</v>
      </c>
      <c r="I31" s="12">
        <f>5209.62*59959</f>
        <v>312363605.57999998</v>
      </c>
      <c r="J31" s="10">
        <v>1539</v>
      </c>
      <c r="K31" s="11">
        <v>45048</v>
      </c>
      <c r="L31" s="14">
        <f t="shared" si="1"/>
        <v>2023</v>
      </c>
      <c r="M31" s="12">
        <v>325017773</v>
      </c>
    </row>
    <row r="32" spans="1:13" ht="15.75" customHeight="1" x14ac:dyDescent="0.25">
      <c r="A32" s="9" t="s">
        <v>10</v>
      </c>
      <c r="B32" s="9" t="s">
        <v>20</v>
      </c>
      <c r="C32" s="10" t="s">
        <v>21</v>
      </c>
      <c r="D32" s="9" t="s">
        <v>83</v>
      </c>
      <c r="E32" s="9" t="s">
        <v>72</v>
      </c>
      <c r="F32" s="10">
        <v>2940</v>
      </c>
      <c r="G32" s="11">
        <v>44834</v>
      </c>
      <c r="H32" s="14">
        <f t="shared" si="0"/>
        <v>2022</v>
      </c>
      <c r="I32" s="12">
        <f>10712.47*59595</f>
        <v>638409649.64999998</v>
      </c>
      <c r="J32" s="10">
        <v>950</v>
      </c>
      <c r="K32" s="11">
        <v>45005</v>
      </c>
      <c r="L32" s="14">
        <f t="shared" si="1"/>
        <v>2023</v>
      </c>
      <c r="M32" s="12">
        <v>668993752</v>
      </c>
    </row>
    <row r="33" spans="1:13" ht="15.75" customHeight="1" x14ac:dyDescent="0.25">
      <c r="A33" s="9" t="s">
        <v>59</v>
      </c>
      <c r="B33" s="9" t="s">
        <v>20</v>
      </c>
      <c r="C33" s="10" t="s">
        <v>56</v>
      </c>
      <c r="D33" s="9" t="s">
        <v>40</v>
      </c>
      <c r="E33" s="9" t="s">
        <v>14</v>
      </c>
      <c r="F33" s="10">
        <v>3706</v>
      </c>
      <c r="G33" s="11">
        <v>44904</v>
      </c>
      <c r="H33" s="14">
        <f t="shared" si="0"/>
        <v>2022</v>
      </c>
      <c r="I33" s="12">
        <f>981.75*61157</f>
        <v>60040884.75</v>
      </c>
      <c r="J33" s="10">
        <v>174</v>
      </c>
      <c r="K33" s="11">
        <v>44949</v>
      </c>
      <c r="L33" s="14">
        <f t="shared" si="1"/>
        <v>2023</v>
      </c>
      <c r="M33" s="12">
        <v>48463590</v>
      </c>
    </row>
    <row r="34" spans="1:13" ht="15.75" customHeight="1" x14ac:dyDescent="0.25">
      <c r="A34" s="9" t="s">
        <v>10</v>
      </c>
      <c r="B34" s="9" t="s">
        <v>20</v>
      </c>
      <c r="C34" s="10" t="s">
        <v>56</v>
      </c>
      <c r="D34" s="9" t="s">
        <v>40</v>
      </c>
      <c r="E34" s="9" t="s">
        <v>14</v>
      </c>
      <c r="F34" s="10">
        <v>3764</v>
      </c>
      <c r="G34" s="11">
        <v>44908</v>
      </c>
      <c r="H34" s="14">
        <f t="shared" si="0"/>
        <v>2022</v>
      </c>
      <c r="I34" s="12">
        <f>2060.45*51157</f>
        <v>105406440.64999999</v>
      </c>
      <c r="J34" s="10">
        <v>173</v>
      </c>
      <c r="K34" s="11">
        <v>44949</v>
      </c>
      <c r="L34" s="14">
        <f t="shared" si="1"/>
        <v>2023</v>
      </c>
      <c r="M34" s="12">
        <v>101323110</v>
      </c>
    </row>
    <row r="35" spans="1:13" ht="15.75" customHeight="1" x14ac:dyDescent="0.25">
      <c r="A35" s="9" t="s">
        <v>15</v>
      </c>
      <c r="B35" s="9" t="s">
        <v>20</v>
      </c>
      <c r="C35" s="10" t="s">
        <v>56</v>
      </c>
      <c r="D35" s="9" t="s">
        <v>40</v>
      </c>
      <c r="E35" s="9" t="s">
        <v>19</v>
      </c>
      <c r="F35" s="10">
        <v>661</v>
      </c>
      <c r="G35" s="11">
        <v>44978</v>
      </c>
      <c r="H35" s="14">
        <f t="shared" si="0"/>
        <v>2023</v>
      </c>
      <c r="I35" s="12">
        <v>176392</v>
      </c>
      <c r="J35" s="10">
        <v>1960</v>
      </c>
      <c r="K35" s="11">
        <v>45077</v>
      </c>
      <c r="L35" s="14">
        <f t="shared" si="1"/>
        <v>2023</v>
      </c>
      <c r="M35" s="12">
        <v>176392</v>
      </c>
    </row>
    <row r="36" spans="1:13" ht="15.75" customHeight="1" x14ac:dyDescent="0.25">
      <c r="A36" s="9" t="s">
        <v>15</v>
      </c>
      <c r="B36" s="9" t="s">
        <v>20</v>
      </c>
      <c r="C36" s="10" t="s">
        <v>56</v>
      </c>
      <c r="D36" s="9" t="s">
        <v>40</v>
      </c>
      <c r="E36" s="9" t="s">
        <v>23</v>
      </c>
      <c r="F36" s="10">
        <v>660</v>
      </c>
      <c r="G36" s="11">
        <v>44978</v>
      </c>
      <c r="H36" s="14">
        <f t="shared" si="0"/>
        <v>2023</v>
      </c>
      <c r="I36" s="12">
        <v>223353887</v>
      </c>
      <c r="J36" s="10">
        <v>2326</v>
      </c>
      <c r="K36" s="11">
        <v>45097</v>
      </c>
      <c r="L36" s="14">
        <f t="shared" si="1"/>
        <v>2023</v>
      </c>
      <c r="M36" s="12">
        <v>223353887</v>
      </c>
    </row>
    <row r="37" spans="1:13" ht="15.75" customHeight="1" x14ac:dyDescent="0.25">
      <c r="A37" s="9" t="s">
        <v>15</v>
      </c>
      <c r="B37" s="9" t="s">
        <v>20</v>
      </c>
      <c r="C37" s="10" t="s">
        <v>56</v>
      </c>
      <c r="D37" s="9" t="s">
        <v>40</v>
      </c>
      <c r="E37" s="9" t="s">
        <v>23</v>
      </c>
      <c r="F37" s="10">
        <v>602</v>
      </c>
      <c r="G37" s="11">
        <v>44974</v>
      </c>
      <c r="H37" s="14">
        <f t="shared" si="0"/>
        <v>2023</v>
      </c>
      <c r="I37" s="12">
        <v>61986304</v>
      </c>
      <c r="J37" s="10">
        <v>2331</v>
      </c>
      <c r="K37" s="11">
        <v>45097</v>
      </c>
      <c r="L37" s="14">
        <f t="shared" si="1"/>
        <v>2023</v>
      </c>
      <c r="M37" s="12">
        <v>61986304</v>
      </c>
    </row>
    <row r="38" spans="1:13" ht="15.75" customHeight="1" x14ac:dyDescent="0.25">
      <c r="A38" s="9" t="s">
        <v>59</v>
      </c>
      <c r="B38" s="9" t="s">
        <v>20</v>
      </c>
      <c r="C38" s="10" t="s">
        <v>56</v>
      </c>
      <c r="D38" s="9" t="s">
        <v>40</v>
      </c>
      <c r="E38" s="9" t="s">
        <v>72</v>
      </c>
      <c r="F38" s="10">
        <v>64</v>
      </c>
      <c r="G38" s="11">
        <v>44937</v>
      </c>
      <c r="H38" s="14">
        <f t="shared" si="0"/>
        <v>2023</v>
      </c>
      <c r="I38" s="12">
        <v>83058</v>
      </c>
      <c r="J38" s="10">
        <v>1972</v>
      </c>
      <c r="K38" s="11">
        <v>45077</v>
      </c>
      <c r="L38" s="14">
        <f t="shared" si="1"/>
        <v>2023</v>
      </c>
      <c r="M38" s="12">
        <v>83058</v>
      </c>
    </row>
    <row r="39" spans="1:13" ht="15.75" customHeight="1" x14ac:dyDescent="0.25">
      <c r="A39" s="9" t="s">
        <v>10</v>
      </c>
      <c r="B39" s="9" t="s">
        <v>20</v>
      </c>
      <c r="C39" s="10" t="s">
        <v>56</v>
      </c>
      <c r="D39" s="9" t="s">
        <v>40</v>
      </c>
      <c r="E39" s="9" t="s">
        <v>72</v>
      </c>
      <c r="F39" s="10">
        <v>353</v>
      </c>
      <c r="G39" s="11">
        <v>44959</v>
      </c>
      <c r="H39" s="14">
        <f t="shared" si="0"/>
        <v>2023</v>
      </c>
      <c r="I39" s="12">
        <v>1319931</v>
      </c>
      <c r="J39" s="10">
        <v>1349</v>
      </c>
      <c r="K39" s="11">
        <v>45036</v>
      </c>
      <c r="L39" s="14">
        <f t="shared" si="1"/>
        <v>2023</v>
      </c>
      <c r="M39" s="12">
        <v>1319931</v>
      </c>
    </row>
    <row r="40" spans="1:13" ht="15.75" customHeight="1" x14ac:dyDescent="0.25">
      <c r="A40" s="9" t="s">
        <v>10</v>
      </c>
      <c r="B40" s="9" t="s">
        <v>20</v>
      </c>
      <c r="C40" s="10" t="s">
        <v>56</v>
      </c>
      <c r="D40" s="9" t="s">
        <v>40</v>
      </c>
      <c r="E40" s="9" t="s">
        <v>72</v>
      </c>
      <c r="F40" s="10">
        <v>433</v>
      </c>
      <c r="G40" s="11">
        <v>44964</v>
      </c>
      <c r="H40" s="14">
        <f t="shared" si="0"/>
        <v>2023</v>
      </c>
      <c r="I40" s="12">
        <v>27082502</v>
      </c>
      <c r="J40" s="10">
        <v>1401</v>
      </c>
      <c r="K40" s="11">
        <v>45042</v>
      </c>
      <c r="L40" s="14">
        <f t="shared" si="1"/>
        <v>2023</v>
      </c>
      <c r="M40" s="12">
        <v>27082502</v>
      </c>
    </row>
    <row r="41" spans="1:13" ht="15.75" customHeight="1" x14ac:dyDescent="0.25">
      <c r="A41" s="9" t="s">
        <v>10</v>
      </c>
      <c r="B41" s="9" t="s">
        <v>20</v>
      </c>
      <c r="C41" s="10" t="s">
        <v>56</v>
      </c>
      <c r="D41" s="9" t="s">
        <v>40</v>
      </c>
      <c r="E41" s="9" t="s">
        <v>72</v>
      </c>
      <c r="F41" s="10">
        <v>434</v>
      </c>
      <c r="G41" s="11">
        <v>44964</v>
      </c>
      <c r="H41" s="14">
        <f t="shared" si="0"/>
        <v>2023</v>
      </c>
      <c r="I41" s="12">
        <v>529198</v>
      </c>
      <c r="J41" s="10">
        <v>1402</v>
      </c>
      <c r="K41" s="11">
        <v>45042</v>
      </c>
      <c r="L41" s="14">
        <f t="shared" si="1"/>
        <v>2023</v>
      </c>
      <c r="M41" s="12">
        <v>529198</v>
      </c>
    </row>
    <row r="42" spans="1:13" ht="15.75" customHeight="1" x14ac:dyDescent="0.25">
      <c r="A42" s="9" t="s">
        <v>15</v>
      </c>
      <c r="B42" s="9" t="s">
        <v>20</v>
      </c>
      <c r="C42" s="10" t="s">
        <v>56</v>
      </c>
      <c r="D42" s="9" t="s">
        <v>40</v>
      </c>
      <c r="E42" s="9" t="s">
        <v>72</v>
      </c>
      <c r="F42" s="10">
        <v>637</v>
      </c>
      <c r="G42" s="11">
        <v>44978</v>
      </c>
      <c r="H42" s="14">
        <f t="shared" si="0"/>
        <v>2023</v>
      </c>
      <c r="I42" s="12">
        <v>99565077</v>
      </c>
      <c r="J42" s="10">
        <v>1336</v>
      </c>
      <c r="K42" s="11">
        <v>45036</v>
      </c>
      <c r="L42" s="14">
        <f t="shared" si="1"/>
        <v>2023</v>
      </c>
      <c r="M42" s="12">
        <v>99565077</v>
      </c>
    </row>
    <row r="43" spans="1:13" ht="15.75" customHeight="1" x14ac:dyDescent="0.25">
      <c r="A43" s="9" t="s">
        <v>10</v>
      </c>
      <c r="B43" s="9" t="s">
        <v>20</v>
      </c>
      <c r="C43" s="10" t="s">
        <v>82</v>
      </c>
      <c r="D43" s="9" t="s">
        <v>13</v>
      </c>
      <c r="E43" s="9" t="s">
        <v>14</v>
      </c>
      <c r="F43" s="10">
        <v>1790</v>
      </c>
      <c r="G43" s="11">
        <v>45065</v>
      </c>
      <c r="H43" s="14">
        <f t="shared" si="0"/>
        <v>2023</v>
      </c>
      <c r="I43" s="12">
        <f>320.25*60074</f>
        <v>19238698.5</v>
      </c>
      <c r="J43" s="10">
        <v>5965</v>
      </c>
      <c r="K43" s="11">
        <v>45240</v>
      </c>
      <c r="L43" s="14">
        <f t="shared" si="1"/>
        <v>2023</v>
      </c>
      <c r="M43" s="12">
        <v>16875731</v>
      </c>
    </row>
    <row r="44" spans="1:13" ht="15.75" customHeight="1" x14ac:dyDescent="0.25">
      <c r="A44" s="9" t="s">
        <v>59</v>
      </c>
      <c r="B44" s="9" t="s">
        <v>20</v>
      </c>
      <c r="C44" s="10" t="s">
        <v>82</v>
      </c>
      <c r="D44" s="9" t="s">
        <v>34</v>
      </c>
      <c r="E44" s="9" t="s">
        <v>14</v>
      </c>
      <c r="F44" s="10">
        <v>1753</v>
      </c>
      <c r="G44" s="11">
        <v>45065</v>
      </c>
      <c r="H44" s="14">
        <f t="shared" si="0"/>
        <v>2023</v>
      </c>
      <c r="I44" s="12">
        <f>725.2*60074</f>
        <v>43565664.800000004</v>
      </c>
      <c r="J44" s="10">
        <v>6087</v>
      </c>
      <c r="K44" s="11">
        <v>45250</v>
      </c>
      <c r="L44" s="14">
        <f t="shared" si="1"/>
        <v>2023</v>
      </c>
      <c r="M44" s="12">
        <v>27809039</v>
      </c>
    </row>
    <row r="45" spans="1:13" ht="15.75" customHeight="1" x14ac:dyDescent="0.25">
      <c r="A45" s="9" t="s">
        <v>59</v>
      </c>
      <c r="B45" s="9" t="s">
        <v>20</v>
      </c>
      <c r="C45" s="10" t="s">
        <v>82</v>
      </c>
      <c r="D45" s="9" t="s">
        <v>22</v>
      </c>
      <c r="E45" s="9" t="s">
        <v>14</v>
      </c>
      <c r="F45" s="10">
        <v>1752</v>
      </c>
      <c r="G45" s="11">
        <v>45065</v>
      </c>
      <c r="H45" s="14">
        <f t="shared" si="0"/>
        <v>2023</v>
      </c>
      <c r="I45" s="12">
        <f>2104.9*63074</f>
        <v>132764462.60000001</v>
      </c>
      <c r="J45" s="10">
        <v>6088</v>
      </c>
      <c r="K45" s="11">
        <v>45250</v>
      </c>
      <c r="L45" s="14">
        <f t="shared" si="1"/>
        <v>2023</v>
      </c>
      <c r="M45" s="12">
        <v>81591222</v>
      </c>
    </row>
    <row r="46" spans="1:13" ht="15.75" customHeight="1" x14ac:dyDescent="0.25">
      <c r="A46" s="9" t="s">
        <v>59</v>
      </c>
      <c r="B46" s="9" t="s">
        <v>20</v>
      </c>
      <c r="C46" s="10" t="s">
        <v>82</v>
      </c>
      <c r="D46" s="9" t="s">
        <v>13</v>
      </c>
      <c r="E46" s="9" t="s">
        <v>14</v>
      </c>
      <c r="F46" s="10">
        <v>1751</v>
      </c>
      <c r="G46" s="11">
        <v>45065</v>
      </c>
      <c r="H46" s="14">
        <f t="shared" si="0"/>
        <v>2023</v>
      </c>
      <c r="I46" s="12">
        <f>253.4*63074</f>
        <v>15982951.6</v>
      </c>
      <c r="J46" s="10">
        <v>5950</v>
      </c>
      <c r="K46" s="11">
        <v>45240</v>
      </c>
      <c r="L46" s="14">
        <f t="shared" si="1"/>
        <v>2023</v>
      </c>
      <c r="M46" s="12">
        <v>5674132</v>
      </c>
    </row>
    <row r="47" spans="1:13" ht="15.75" hidden="1" customHeight="1" x14ac:dyDescent="0.25">
      <c r="A47" s="9" t="s">
        <v>57</v>
      </c>
      <c r="B47" s="9" t="s">
        <v>92</v>
      </c>
      <c r="C47" s="10" t="s">
        <v>82</v>
      </c>
      <c r="D47" s="9" t="s">
        <v>83</v>
      </c>
      <c r="E47" s="9" t="s">
        <v>84</v>
      </c>
      <c r="F47" s="10">
        <v>3610</v>
      </c>
      <c r="G47" s="11">
        <v>44561</v>
      </c>
      <c r="H47" s="14">
        <f t="shared" si="0"/>
        <v>2021</v>
      </c>
      <c r="I47" s="12">
        <v>10380300</v>
      </c>
      <c r="J47" s="10">
        <v>6101</v>
      </c>
      <c r="K47" s="11">
        <v>45251</v>
      </c>
      <c r="L47" s="14">
        <f t="shared" si="1"/>
        <v>2023</v>
      </c>
      <c r="M47" s="12">
        <v>0</v>
      </c>
    </row>
    <row r="48" spans="1:13" ht="15.75" hidden="1" customHeight="1" x14ac:dyDescent="0.25">
      <c r="A48" s="9" t="s">
        <v>15</v>
      </c>
      <c r="B48" s="9" t="s">
        <v>92</v>
      </c>
      <c r="C48" s="10" t="s">
        <v>82</v>
      </c>
      <c r="D48" s="9" t="s">
        <v>83</v>
      </c>
      <c r="E48" s="9" t="s">
        <v>84</v>
      </c>
      <c r="F48" s="10">
        <v>2113</v>
      </c>
      <c r="G48" s="11">
        <v>44407</v>
      </c>
      <c r="H48" s="14">
        <f t="shared" si="0"/>
        <v>2021</v>
      </c>
      <c r="I48" s="12">
        <v>6191040</v>
      </c>
      <c r="J48" s="10">
        <v>5495</v>
      </c>
      <c r="K48" s="11">
        <v>45205</v>
      </c>
      <c r="L48" s="14">
        <f t="shared" si="1"/>
        <v>2023</v>
      </c>
      <c r="M48" s="12">
        <v>0</v>
      </c>
    </row>
    <row r="49" spans="1:13" ht="15.75" hidden="1" customHeight="1" x14ac:dyDescent="0.25">
      <c r="A49" s="9" t="s">
        <v>15</v>
      </c>
      <c r="B49" s="9" t="s">
        <v>92</v>
      </c>
      <c r="C49" s="10" t="s">
        <v>82</v>
      </c>
      <c r="D49" s="9" t="s">
        <v>83</v>
      </c>
      <c r="E49" s="9" t="s">
        <v>91</v>
      </c>
      <c r="F49" s="10">
        <v>947</v>
      </c>
      <c r="G49" s="11">
        <v>44645</v>
      </c>
      <c r="H49" s="14">
        <f t="shared" si="0"/>
        <v>2022</v>
      </c>
      <c r="I49" s="12">
        <v>7817375.1131250001</v>
      </c>
      <c r="J49" s="10">
        <v>1902</v>
      </c>
      <c r="K49" s="11">
        <v>45077</v>
      </c>
      <c r="L49" s="14">
        <f t="shared" si="1"/>
        <v>2023</v>
      </c>
      <c r="M49" s="12">
        <v>7817375</v>
      </c>
    </row>
    <row r="50" spans="1:13" ht="15.75" hidden="1" customHeight="1" x14ac:dyDescent="0.25">
      <c r="A50" s="9" t="s">
        <v>15</v>
      </c>
      <c r="B50" s="9" t="s">
        <v>92</v>
      </c>
      <c r="C50" s="10" t="s">
        <v>82</v>
      </c>
      <c r="D50" s="9" t="s">
        <v>83</v>
      </c>
      <c r="E50" s="9" t="s">
        <v>91</v>
      </c>
      <c r="F50" s="10">
        <v>1077</v>
      </c>
      <c r="G50" s="11">
        <v>44658</v>
      </c>
      <c r="H50" s="14">
        <f t="shared" si="0"/>
        <v>2022</v>
      </c>
      <c r="I50" s="12">
        <v>2082637.5</v>
      </c>
      <c r="J50" s="10">
        <v>517</v>
      </c>
      <c r="K50" s="11">
        <v>44964</v>
      </c>
      <c r="L50" s="14">
        <f t="shared" si="1"/>
        <v>2023</v>
      </c>
      <c r="M50" s="12">
        <v>2082638</v>
      </c>
    </row>
    <row r="51" spans="1:13" ht="15.75" hidden="1" customHeight="1" x14ac:dyDescent="0.25">
      <c r="A51" s="9" t="s">
        <v>15</v>
      </c>
      <c r="B51" s="9" t="s">
        <v>42</v>
      </c>
      <c r="C51" s="10" t="s">
        <v>21</v>
      </c>
      <c r="D51" s="9" t="s">
        <v>22</v>
      </c>
      <c r="E51" s="9" t="s">
        <v>14</v>
      </c>
      <c r="F51" s="10">
        <v>253</v>
      </c>
      <c r="G51" s="11">
        <v>44215</v>
      </c>
      <c r="H51" s="14">
        <f t="shared" si="0"/>
        <v>2021</v>
      </c>
      <c r="I51" s="12">
        <f>2597*50978</f>
        <v>132389866</v>
      </c>
      <c r="J51" s="10">
        <v>1724</v>
      </c>
      <c r="K51" s="11">
        <v>45064</v>
      </c>
      <c r="L51" s="14">
        <f t="shared" si="1"/>
        <v>2023</v>
      </c>
      <c r="M51" s="12">
        <v>155171495</v>
      </c>
    </row>
    <row r="52" spans="1:13" ht="15.75" hidden="1" customHeight="1" x14ac:dyDescent="0.25">
      <c r="A52" s="9" t="s">
        <v>15</v>
      </c>
      <c r="B52" s="9" t="s">
        <v>42</v>
      </c>
      <c r="C52" s="10" t="s">
        <v>21</v>
      </c>
      <c r="D52" s="9" t="s">
        <v>75</v>
      </c>
      <c r="E52" s="9" t="s">
        <v>14</v>
      </c>
      <c r="F52" s="10">
        <v>1083</v>
      </c>
      <c r="G52" s="11">
        <v>44302</v>
      </c>
      <c r="H52" s="14">
        <f t="shared" si="0"/>
        <v>2021</v>
      </c>
      <c r="I52" s="12">
        <f>511.35*51592</f>
        <v>26381569.200000003</v>
      </c>
      <c r="J52" s="10">
        <v>1247</v>
      </c>
      <c r="K52" s="11">
        <v>45029</v>
      </c>
      <c r="L52" s="14">
        <f t="shared" si="1"/>
        <v>2023</v>
      </c>
      <c r="M52" s="12">
        <v>30242584</v>
      </c>
    </row>
    <row r="53" spans="1:13" ht="15.75" hidden="1" customHeight="1" x14ac:dyDescent="0.25">
      <c r="A53" s="9" t="s">
        <v>15</v>
      </c>
      <c r="B53" s="9" t="s">
        <v>42</v>
      </c>
      <c r="C53" s="10" t="s">
        <v>21</v>
      </c>
      <c r="D53" s="9" t="s">
        <v>75</v>
      </c>
      <c r="E53" s="9" t="s">
        <v>47</v>
      </c>
      <c r="F53" s="10">
        <v>1364</v>
      </c>
      <c r="G53" s="11">
        <v>44326</v>
      </c>
      <c r="H53" s="14">
        <f t="shared" si="0"/>
        <v>2021</v>
      </c>
      <c r="I53" s="12">
        <f>168.35*51798</f>
        <v>8720193.2999999989</v>
      </c>
      <c r="J53" s="10">
        <v>985</v>
      </c>
      <c r="K53" s="11">
        <v>45005</v>
      </c>
      <c r="L53" s="14">
        <f t="shared" si="1"/>
        <v>2023</v>
      </c>
      <c r="M53" s="12">
        <v>8043559</v>
      </c>
    </row>
    <row r="54" spans="1:13" ht="15.75" hidden="1" customHeight="1" x14ac:dyDescent="0.25">
      <c r="A54" s="9" t="s">
        <v>15</v>
      </c>
      <c r="B54" s="9" t="s">
        <v>42</v>
      </c>
      <c r="C54" s="10" t="s">
        <v>21</v>
      </c>
      <c r="D54" s="9" t="s">
        <v>75</v>
      </c>
      <c r="E54" s="9" t="s">
        <v>47</v>
      </c>
      <c r="F54" s="10">
        <v>185</v>
      </c>
      <c r="G54" s="11">
        <v>44580</v>
      </c>
      <c r="H54" s="14">
        <f t="shared" si="0"/>
        <v>2022</v>
      </c>
      <c r="I54" s="12">
        <f>181.3*54442</f>
        <v>9870334.6000000015</v>
      </c>
      <c r="J54" s="10">
        <v>984</v>
      </c>
      <c r="K54" s="11">
        <v>45005</v>
      </c>
      <c r="L54" s="14">
        <f t="shared" si="1"/>
        <v>2023</v>
      </c>
      <c r="M54" s="12">
        <v>7934274</v>
      </c>
    </row>
    <row r="55" spans="1:13" ht="15.75" hidden="1" customHeight="1" x14ac:dyDescent="0.25">
      <c r="A55" s="9" t="s">
        <v>59</v>
      </c>
      <c r="B55" s="9" t="s">
        <v>42</v>
      </c>
      <c r="C55" s="10" t="s">
        <v>21</v>
      </c>
      <c r="D55" s="9" t="s">
        <v>22</v>
      </c>
      <c r="E55" s="9" t="s">
        <v>14</v>
      </c>
      <c r="F55" s="10">
        <v>2281</v>
      </c>
      <c r="G55" s="11">
        <v>44770</v>
      </c>
      <c r="H55" s="14">
        <f t="shared" si="0"/>
        <v>2022</v>
      </c>
      <c r="I55" s="12">
        <f>571.9*58298</f>
        <v>33340626.199999999</v>
      </c>
      <c r="J55" s="10">
        <v>471</v>
      </c>
      <c r="K55" s="11">
        <v>44964</v>
      </c>
      <c r="L55" s="14">
        <f t="shared" si="1"/>
        <v>2023</v>
      </c>
      <c r="M55" s="12">
        <v>34325614</v>
      </c>
    </row>
    <row r="56" spans="1:13" ht="15.75" hidden="1" customHeight="1" x14ac:dyDescent="0.25">
      <c r="A56" s="9" t="s">
        <v>59</v>
      </c>
      <c r="B56" s="9" t="s">
        <v>42</v>
      </c>
      <c r="C56" s="10" t="s">
        <v>21</v>
      </c>
      <c r="D56" s="9" t="s">
        <v>75</v>
      </c>
      <c r="E56" s="9" t="s">
        <v>14</v>
      </c>
      <c r="F56" s="10">
        <v>2338</v>
      </c>
      <c r="G56" s="11">
        <v>44771</v>
      </c>
      <c r="H56" s="14">
        <f t="shared" si="0"/>
        <v>2022</v>
      </c>
      <c r="I56" s="12">
        <f>15.75*58298</f>
        <v>918193.5</v>
      </c>
      <c r="J56" s="10">
        <v>470</v>
      </c>
      <c r="K56" s="11">
        <v>44964</v>
      </c>
      <c r="L56" s="14">
        <f t="shared" si="1"/>
        <v>2023</v>
      </c>
      <c r="M56" s="12">
        <v>975776</v>
      </c>
    </row>
    <row r="57" spans="1:13" ht="15.75" hidden="1" customHeight="1" x14ac:dyDescent="0.25">
      <c r="A57" s="9" t="s">
        <v>10</v>
      </c>
      <c r="B57" s="9" t="s">
        <v>42</v>
      </c>
      <c r="C57" s="10" t="s">
        <v>21</v>
      </c>
      <c r="D57" s="9" t="s">
        <v>22</v>
      </c>
      <c r="E57" s="9" t="s">
        <v>14</v>
      </c>
      <c r="F57" s="10">
        <v>2060</v>
      </c>
      <c r="G57" s="11">
        <v>44754</v>
      </c>
      <c r="H57" s="14">
        <f t="shared" si="0"/>
        <v>2022</v>
      </c>
      <c r="I57" s="12">
        <f>1021.65*58298</f>
        <v>59560151.699999996</v>
      </c>
      <c r="J57" s="10">
        <v>751</v>
      </c>
      <c r="K57" s="11">
        <v>44984</v>
      </c>
      <c r="L57" s="14">
        <f t="shared" si="1"/>
        <v>2023</v>
      </c>
      <c r="M57" s="12">
        <v>58741685</v>
      </c>
    </row>
    <row r="58" spans="1:13" ht="15.75" hidden="1" customHeight="1" x14ac:dyDescent="0.25">
      <c r="A58" s="9" t="s">
        <v>10</v>
      </c>
      <c r="B58" s="9" t="s">
        <v>42</v>
      </c>
      <c r="C58" s="10" t="s">
        <v>21</v>
      </c>
      <c r="D58" s="9" t="s">
        <v>22</v>
      </c>
      <c r="E58" s="9" t="s">
        <v>14</v>
      </c>
      <c r="F58" s="10">
        <v>2058</v>
      </c>
      <c r="G58" s="11">
        <v>44754</v>
      </c>
      <c r="H58" s="14">
        <f t="shared" si="0"/>
        <v>2022</v>
      </c>
      <c r="I58" s="12">
        <f>1026.2*58298</f>
        <v>59825407.600000001</v>
      </c>
      <c r="J58" s="10">
        <v>986</v>
      </c>
      <c r="K58" s="11">
        <v>45005</v>
      </c>
      <c r="L58" s="14">
        <f t="shared" si="1"/>
        <v>2023</v>
      </c>
      <c r="M58" s="12">
        <v>58119093</v>
      </c>
    </row>
    <row r="59" spans="1:13" ht="15.75" hidden="1" customHeight="1" x14ac:dyDescent="0.25">
      <c r="A59" s="9" t="s">
        <v>10</v>
      </c>
      <c r="B59" s="9" t="s">
        <v>42</v>
      </c>
      <c r="C59" s="10" t="s">
        <v>21</v>
      </c>
      <c r="D59" s="9" t="s">
        <v>83</v>
      </c>
      <c r="E59" s="9" t="s">
        <v>72</v>
      </c>
      <c r="F59" s="10">
        <v>2891</v>
      </c>
      <c r="G59" s="11">
        <v>44834</v>
      </c>
      <c r="H59" s="14">
        <f t="shared" si="0"/>
        <v>2022</v>
      </c>
      <c r="I59" s="12">
        <f>2602.97*59595</f>
        <v>155123997.14999998</v>
      </c>
      <c r="J59" s="10">
        <v>951</v>
      </c>
      <c r="K59" s="11">
        <v>45005</v>
      </c>
      <c r="L59" s="14">
        <f t="shared" si="1"/>
        <v>2023</v>
      </c>
      <c r="M59" s="12">
        <f>2602.97*62450</f>
        <v>162555476.5</v>
      </c>
    </row>
    <row r="60" spans="1:13" ht="15.75" hidden="1" customHeight="1" x14ac:dyDescent="0.25">
      <c r="A60" s="9" t="s">
        <v>10</v>
      </c>
      <c r="B60" s="9" t="s">
        <v>42</v>
      </c>
      <c r="C60" s="10" t="s">
        <v>21</v>
      </c>
      <c r="D60" s="9" t="s">
        <v>83</v>
      </c>
      <c r="E60" s="9" t="s">
        <v>72</v>
      </c>
      <c r="F60" s="10">
        <v>2889</v>
      </c>
      <c r="G60" s="11">
        <v>44834</v>
      </c>
      <c r="H60" s="14">
        <f t="shared" si="0"/>
        <v>2022</v>
      </c>
      <c r="I60" s="12">
        <f>1665.34*59595</f>
        <v>99245937.299999997</v>
      </c>
      <c r="J60" s="10">
        <v>280</v>
      </c>
      <c r="K60" s="11">
        <v>44953</v>
      </c>
      <c r="L60" s="14">
        <f t="shared" si="1"/>
        <v>2023</v>
      </c>
      <c r="M60" s="12">
        <v>102866386</v>
      </c>
    </row>
    <row r="61" spans="1:13" ht="15.75" hidden="1" customHeight="1" x14ac:dyDescent="0.25">
      <c r="A61" s="9" t="s">
        <v>10</v>
      </c>
      <c r="B61" s="9" t="s">
        <v>42</v>
      </c>
      <c r="C61" s="10" t="s">
        <v>21</v>
      </c>
      <c r="D61" s="9" t="s">
        <v>83</v>
      </c>
      <c r="E61" s="9" t="s">
        <v>72</v>
      </c>
      <c r="F61" s="10">
        <v>2890</v>
      </c>
      <c r="G61" s="11">
        <v>44834</v>
      </c>
      <c r="H61" s="14">
        <f t="shared" si="0"/>
        <v>2022</v>
      </c>
      <c r="I61" s="12">
        <f>3452.49*59595</f>
        <v>205751141.54999998</v>
      </c>
      <c r="J61" s="10">
        <v>282</v>
      </c>
      <c r="K61" s="11">
        <v>44953</v>
      </c>
      <c r="L61" s="14">
        <f t="shared" si="1"/>
        <v>2023</v>
      </c>
      <c r="M61" s="12">
        <v>213187805</v>
      </c>
    </row>
    <row r="62" spans="1:13" ht="15.75" hidden="1" customHeight="1" x14ac:dyDescent="0.25">
      <c r="A62" s="9" t="s">
        <v>59</v>
      </c>
      <c r="B62" s="9" t="s">
        <v>16</v>
      </c>
      <c r="C62" s="10" t="s">
        <v>17</v>
      </c>
      <c r="D62" s="9" t="s">
        <v>18</v>
      </c>
      <c r="E62" s="9" t="s">
        <v>14</v>
      </c>
      <c r="F62" s="10">
        <v>1436</v>
      </c>
      <c r="G62" s="11">
        <v>45042</v>
      </c>
      <c r="H62" s="14">
        <f t="shared" si="0"/>
        <v>2023</v>
      </c>
      <c r="I62" s="12">
        <f>1441.65*60386</f>
        <v>87055476.900000006</v>
      </c>
      <c r="J62" s="10">
        <v>2974</v>
      </c>
      <c r="K62" s="11">
        <v>45161</v>
      </c>
      <c r="L62" s="14">
        <f t="shared" si="1"/>
        <v>2023</v>
      </c>
      <c r="M62" s="12">
        <v>91110838</v>
      </c>
    </row>
    <row r="63" spans="1:13" ht="15.75" hidden="1" customHeight="1" x14ac:dyDescent="0.25">
      <c r="A63" s="9" t="s">
        <v>59</v>
      </c>
      <c r="B63" s="9" t="s">
        <v>16</v>
      </c>
      <c r="C63" s="10" t="s">
        <v>17</v>
      </c>
      <c r="D63" s="9" t="s">
        <v>18</v>
      </c>
      <c r="E63" s="9" t="s">
        <v>14</v>
      </c>
      <c r="F63" s="10">
        <v>1438</v>
      </c>
      <c r="G63" s="11">
        <v>45042</v>
      </c>
      <c r="H63" s="14">
        <f t="shared" si="0"/>
        <v>2023</v>
      </c>
      <c r="I63" s="12">
        <f>1960.35*60386</f>
        <v>118377695.09999999</v>
      </c>
      <c r="J63" s="10">
        <v>2977</v>
      </c>
      <c r="K63" s="11">
        <v>45161</v>
      </c>
      <c r="L63" s="14">
        <f t="shared" si="1"/>
        <v>2023</v>
      </c>
      <c r="M63" s="12">
        <v>123892160</v>
      </c>
    </row>
    <row r="64" spans="1:13" ht="15.75" hidden="1" customHeight="1" x14ac:dyDescent="0.25">
      <c r="A64" s="9" t="s">
        <v>59</v>
      </c>
      <c r="B64" s="9" t="s">
        <v>16</v>
      </c>
      <c r="C64" s="10" t="s">
        <v>17</v>
      </c>
      <c r="D64" s="9" t="s">
        <v>18</v>
      </c>
      <c r="E64" s="9" t="s">
        <v>14</v>
      </c>
      <c r="F64" s="10">
        <v>1437</v>
      </c>
      <c r="G64" s="11">
        <v>45042</v>
      </c>
      <c r="H64" s="14">
        <f t="shared" si="0"/>
        <v>2023</v>
      </c>
      <c r="I64" s="12">
        <f>347.9*62386</f>
        <v>21704089.399999999</v>
      </c>
      <c r="J64" s="10">
        <v>2975</v>
      </c>
      <c r="K64" s="11">
        <v>45161</v>
      </c>
      <c r="L64" s="14">
        <f t="shared" si="1"/>
        <v>2023</v>
      </c>
      <c r="M64" s="12">
        <v>21986932</v>
      </c>
    </row>
    <row r="65" spans="1:13" ht="15.75" hidden="1" customHeight="1" x14ac:dyDescent="0.25">
      <c r="A65" s="9" t="s">
        <v>59</v>
      </c>
      <c r="B65" s="9" t="s">
        <v>16</v>
      </c>
      <c r="C65" s="10" t="s">
        <v>17</v>
      </c>
      <c r="D65" s="9" t="s">
        <v>18</v>
      </c>
      <c r="E65" s="9" t="s">
        <v>14</v>
      </c>
      <c r="F65" s="10">
        <v>1435</v>
      </c>
      <c r="G65" s="11">
        <v>45042</v>
      </c>
      <c r="H65" s="14">
        <f t="shared" si="0"/>
        <v>2023</v>
      </c>
      <c r="I65" s="12">
        <f>3588.9*60386</f>
        <v>216719315.40000001</v>
      </c>
      <c r="J65" s="10">
        <v>2976</v>
      </c>
      <c r="K65" s="11">
        <v>45161</v>
      </c>
      <c r="L65" s="14">
        <f t="shared" si="1"/>
        <v>2023</v>
      </c>
      <c r="M65" s="12">
        <v>226814891</v>
      </c>
    </row>
    <row r="66" spans="1:13" ht="15.75" hidden="1" customHeight="1" x14ac:dyDescent="0.25">
      <c r="A66" s="9" t="s">
        <v>10</v>
      </c>
      <c r="B66" s="9" t="s">
        <v>16</v>
      </c>
      <c r="C66" s="10" t="s">
        <v>17</v>
      </c>
      <c r="D66" s="9" t="s">
        <v>18</v>
      </c>
      <c r="E66" s="9" t="s">
        <v>14</v>
      </c>
      <c r="F66" s="10">
        <v>1883</v>
      </c>
      <c r="G66" s="11">
        <v>45077</v>
      </c>
      <c r="H66" s="14">
        <f t="shared" ref="H66:H129" si="2">YEAR(G66)</f>
        <v>2023</v>
      </c>
      <c r="I66" s="12">
        <f>2703.4*63074</f>
        <v>170514251.59999999</v>
      </c>
      <c r="J66" s="10">
        <v>6037</v>
      </c>
      <c r="K66" s="11">
        <v>45245</v>
      </c>
      <c r="L66" s="14">
        <f t="shared" ref="L66:L129" si="3">YEAR(K66)</f>
        <v>2023</v>
      </c>
      <c r="M66" s="12">
        <v>95745687</v>
      </c>
    </row>
    <row r="67" spans="1:13" ht="15.75" hidden="1" customHeight="1" x14ac:dyDescent="0.25">
      <c r="A67" s="9" t="s">
        <v>10</v>
      </c>
      <c r="B67" s="9" t="s">
        <v>16</v>
      </c>
      <c r="C67" s="10" t="s">
        <v>17</v>
      </c>
      <c r="D67" s="9" t="s">
        <v>18</v>
      </c>
      <c r="E67" s="9" t="s">
        <v>14</v>
      </c>
      <c r="F67" s="10">
        <v>1877</v>
      </c>
      <c r="G67" s="11">
        <v>45077</v>
      </c>
      <c r="H67" s="14">
        <f t="shared" si="2"/>
        <v>2023</v>
      </c>
      <c r="I67" s="12">
        <f>731.85*63074</f>
        <v>46160706.899999999</v>
      </c>
      <c r="J67" s="10">
        <v>5890</v>
      </c>
      <c r="K67" s="11">
        <v>45236</v>
      </c>
      <c r="L67" s="14">
        <f t="shared" si="3"/>
        <v>2023</v>
      </c>
      <c r="M67" s="12">
        <v>36768833</v>
      </c>
    </row>
    <row r="68" spans="1:13" ht="15.75" hidden="1" customHeight="1" x14ac:dyDescent="0.25">
      <c r="A68" s="9" t="s">
        <v>10</v>
      </c>
      <c r="B68" s="9" t="s">
        <v>16</v>
      </c>
      <c r="C68" s="10" t="s">
        <v>17</v>
      </c>
      <c r="D68" s="9" t="s">
        <v>18</v>
      </c>
      <c r="E68" s="9" t="s">
        <v>14</v>
      </c>
      <c r="F68" s="10">
        <v>1879</v>
      </c>
      <c r="G68" s="11">
        <v>45077</v>
      </c>
      <c r="H68" s="14">
        <f t="shared" si="2"/>
        <v>2023</v>
      </c>
      <c r="I68" s="12">
        <f>2771.65*63074</f>
        <v>174819052.09999999</v>
      </c>
      <c r="J68" s="10">
        <v>6091</v>
      </c>
      <c r="K68" s="11">
        <v>45250</v>
      </c>
      <c r="L68" s="14">
        <f t="shared" si="3"/>
        <v>2023</v>
      </c>
      <c r="M68" s="12">
        <v>149001216</v>
      </c>
    </row>
    <row r="69" spans="1:13" ht="15.75" hidden="1" customHeight="1" x14ac:dyDescent="0.25">
      <c r="A69" s="9" t="s">
        <v>59</v>
      </c>
      <c r="B69" s="9" t="s">
        <v>93</v>
      </c>
      <c r="C69" s="10" t="s">
        <v>94</v>
      </c>
      <c r="D69" s="9" t="s">
        <v>13</v>
      </c>
      <c r="E69" s="9" t="s">
        <v>19</v>
      </c>
      <c r="F69" s="10">
        <v>3697</v>
      </c>
      <c r="G69" s="11">
        <v>44904</v>
      </c>
      <c r="H69" s="14">
        <f t="shared" si="2"/>
        <v>2022</v>
      </c>
      <c r="I69" s="12">
        <v>1170785</v>
      </c>
      <c r="J69" s="10">
        <v>840</v>
      </c>
      <c r="K69" s="11">
        <v>44994</v>
      </c>
      <c r="L69" s="14">
        <f t="shared" si="3"/>
        <v>2023</v>
      </c>
      <c r="M69" s="12">
        <v>1170785</v>
      </c>
    </row>
    <row r="70" spans="1:13" ht="15.75" hidden="1" customHeight="1" x14ac:dyDescent="0.25">
      <c r="A70" s="9" t="s">
        <v>15</v>
      </c>
      <c r="B70" s="9" t="s">
        <v>93</v>
      </c>
      <c r="C70" s="10" t="s">
        <v>94</v>
      </c>
      <c r="D70" s="9" t="s">
        <v>13</v>
      </c>
      <c r="E70" s="9" t="s">
        <v>91</v>
      </c>
      <c r="F70" s="10">
        <v>3954</v>
      </c>
      <c r="G70" s="11">
        <v>44918</v>
      </c>
      <c r="H70" s="14">
        <f t="shared" si="2"/>
        <v>2022</v>
      </c>
      <c r="I70" s="12">
        <v>933248517</v>
      </c>
      <c r="J70" s="10">
        <v>719</v>
      </c>
      <c r="K70" s="11">
        <v>44984</v>
      </c>
      <c r="L70" s="14">
        <f t="shared" si="3"/>
        <v>2023</v>
      </c>
      <c r="M70" s="12">
        <v>933248517</v>
      </c>
    </row>
    <row r="71" spans="1:13" ht="15.75" hidden="1" customHeight="1" x14ac:dyDescent="0.25">
      <c r="A71" s="9" t="s">
        <v>10</v>
      </c>
      <c r="B71" s="9" t="s">
        <v>93</v>
      </c>
      <c r="C71" s="10" t="s">
        <v>94</v>
      </c>
      <c r="D71" s="9" t="s">
        <v>13</v>
      </c>
      <c r="E71" s="9" t="s">
        <v>14</v>
      </c>
      <c r="F71" s="10">
        <v>4259</v>
      </c>
      <c r="G71" s="11">
        <v>44925</v>
      </c>
      <c r="H71" s="14">
        <f t="shared" si="2"/>
        <v>2022</v>
      </c>
      <c r="I71" s="12">
        <v>0</v>
      </c>
      <c r="J71" s="10">
        <v>448</v>
      </c>
      <c r="K71" s="11">
        <v>44964</v>
      </c>
      <c r="L71" s="14">
        <f t="shared" si="3"/>
        <v>2023</v>
      </c>
      <c r="M71" s="12">
        <v>18043111</v>
      </c>
    </row>
    <row r="72" spans="1:13" ht="15.75" hidden="1" customHeight="1" x14ac:dyDescent="0.25">
      <c r="A72" s="9" t="s">
        <v>10</v>
      </c>
      <c r="B72" s="9" t="s">
        <v>27</v>
      </c>
      <c r="C72" s="10" t="s">
        <v>17</v>
      </c>
      <c r="D72" s="9" t="s">
        <v>18</v>
      </c>
      <c r="E72" s="9" t="s">
        <v>14</v>
      </c>
      <c r="F72" s="10">
        <v>1882</v>
      </c>
      <c r="G72" s="11">
        <v>45077</v>
      </c>
      <c r="H72" s="14">
        <f t="shared" si="2"/>
        <v>2023</v>
      </c>
      <c r="I72" s="12">
        <f>1741.6*53074</f>
        <v>92433678.399999991</v>
      </c>
      <c r="J72" s="10">
        <v>5303</v>
      </c>
      <c r="K72" s="11">
        <v>45195</v>
      </c>
      <c r="L72" s="14">
        <f t="shared" si="3"/>
        <v>2023</v>
      </c>
      <c r="M72" s="12">
        <v>110508003</v>
      </c>
    </row>
    <row r="73" spans="1:13" ht="15.75" hidden="1" customHeight="1" x14ac:dyDescent="0.25">
      <c r="A73" s="9" t="s">
        <v>10</v>
      </c>
      <c r="B73" s="9" t="s">
        <v>27</v>
      </c>
      <c r="C73" s="10" t="s">
        <v>17</v>
      </c>
      <c r="D73" s="9" t="s">
        <v>18</v>
      </c>
      <c r="E73" s="9" t="s">
        <v>14</v>
      </c>
      <c r="F73" s="10">
        <v>1893</v>
      </c>
      <c r="G73" s="11">
        <v>45077</v>
      </c>
      <c r="H73" s="14">
        <f t="shared" si="2"/>
        <v>2023</v>
      </c>
      <c r="I73" s="12">
        <f>962.15*63074</f>
        <v>60686649.100000001</v>
      </c>
      <c r="J73" s="10">
        <v>5304</v>
      </c>
      <c r="K73" s="11">
        <v>45195</v>
      </c>
      <c r="L73" s="14">
        <f t="shared" si="3"/>
        <v>2023</v>
      </c>
      <c r="M73" s="12">
        <v>61050342</v>
      </c>
    </row>
    <row r="74" spans="1:13" ht="15.75" hidden="1" customHeight="1" x14ac:dyDescent="0.25">
      <c r="A74" s="9" t="s">
        <v>10</v>
      </c>
      <c r="B74" s="9" t="s">
        <v>27</v>
      </c>
      <c r="C74" s="10" t="s">
        <v>17</v>
      </c>
      <c r="D74" s="9" t="s">
        <v>18</v>
      </c>
      <c r="E74" s="9" t="s">
        <v>14</v>
      </c>
      <c r="F74" s="10">
        <v>1889</v>
      </c>
      <c r="G74" s="11">
        <v>45077</v>
      </c>
      <c r="H74" s="14">
        <f t="shared" si="2"/>
        <v>2023</v>
      </c>
      <c r="I74" s="12">
        <f>320.25*63074</f>
        <v>20199448.5</v>
      </c>
      <c r="J74" s="10">
        <v>5306</v>
      </c>
      <c r="K74" s="11">
        <v>45195</v>
      </c>
      <c r="L74" s="14">
        <f t="shared" si="3"/>
        <v>2023</v>
      </c>
      <c r="M74" s="12">
        <v>20320503</v>
      </c>
    </row>
    <row r="75" spans="1:13" ht="15.75" hidden="1" customHeight="1" x14ac:dyDescent="0.25">
      <c r="A75" s="9" t="s">
        <v>10</v>
      </c>
      <c r="B75" s="9" t="s">
        <v>27</v>
      </c>
      <c r="C75" s="10" t="s">
        <v>17</v>
      </c>
      <c r="D75" s="9" t="s">
        <v>18</v>
      </c>
      <c r="E75" s="9" t="s">
        <v>14</v>
      </c>
      <c r="F75" s="10">
        <v>1887</v>
      </c>
      <c r="G75" s="11">
        <v>45077</v>
      </c>
      <c r="H75" s="14">
        <f t="shared" si="2"/>
        <v>2023</v>
      </c>
      <c r="I75" s="12">
        <f>416.5*63074</f>
        <v>26270321</v>
      </c>
      <c r="J75" s="10">
        <v>5310</v>
      </c>
      <c r="K75" s="11">
        <v>45195</v>
      </c>
      <c r="L75" s="14">
        <f t="shared" si="3"/>
        <v>2023</v>
      </c>
      <c r="M75" s="12">
        <v>26427758</v>
      </c>
    </row>
    <row r="76" spans="1:13" ht="15.75" hidden="1" customHeight="1" x14ac:dyDescent="0.25">
      <c r="A76" s="9" t="s">
        <v>10</v>
      </c>
      <c r="B76" s="9" t="s">
        <v>27</v>
      </c>
      <c r="C76" s="10" t="s">
        <v>17</v>
      </c>
      <c r="D76" s="9" t="s">
        <v>28</v>
      </c>
      <c r="E76" s="9" t="s">
        <v>14</v>
      </c>
      <c r="F76" s="10">
        <v>1885</v>
      </c>
      <c r="G76" s="11">
        <v>45077</v>
      </c>
      <c r="H76" s="14">
        <f t="shared" si="2"/>
        <v>2023</v>
      </c>
      <c r="I76" s="12">
        <f>6195.35*63074</f>
        <v>390765505.90000004</v>
      </c>
      <c r="J76" s="10">
        <v>5308</v>
      </c>
      <c r="K76" s="11">
        <v>45195</v>
      </c>
      <c r="L76" s="14">
        <f t="shared" si="3"/>
        <v>2023</v>
      </c>
      <c r="M76" s="12">
        <v>393107348</v>
      </c>
    </row>
    <row r="77" spans="1:13" ht="15.75" hidden="1" customHeight="1" x14ac:dyDescent="0.25">
      <c r="A77" s="9" t="s">
        <v>10</v>
      </c>
      <c r="B77" s="9" t="s">
        <v>27</v>
      </c>
      <c r="C77" s="10" t="s">
        <v>17</v>
      </c>
      <c r="D77" s="9" t="s">
        <v>28</v>
      </c>
      <c r="E77" s="9" t="s">
        <v>14</v>
      </c>
      <c r="F77" s="10">
        <v>1888</v>
      </c>
      <c r="G77" s="11">
        <v>45077</v>
      </c>
      <c r="H77" s="14">
        <f t="shared" si="2"/>
        <v>2023</v>
      </c>
      <c r="I77" s="12">
        <f>840.7*63074</f>
        <v>53026311.800000004</v>
      </c>
      <c r="J77" s="10">
        <v>5323</v>
      </c>
      <c r="K77" s="11">
        <v>45195</v>
      </c>
      <c r="L77" s="14">
        <f t="shared" si="3"/>
        <v>2023</v>
      </c>
      <c r="M77" s="12">
        <v>53344096</v>
      </c>
    </row>
    <row r="78" spans="1:13" ht="15.75" hidden="1" customHeight="1" x14ac:dyDescent="0.25">
      <c r="A78" s="9" t="s">
        <v>15</v>
      </c>
      <c r="B78" s="9" t="s">
        <v>27</v>
      </c>
      <c r="C78" s="10" t="s">
        <v>17</v>
      </c>
      <c r="D78" s="9" t="s">
        <v>34</v>
      </c>
      <c r="E78" s="9" t="s">
        <v>73</v>
      </c>
      <c r="F78" s="10">
        <v>1030</v>
      </c>
      <c r="G78" s="11">
        <v>45013</v>
      </c>
      <c r="H78" s="14">
        <f t="shared" si="2"/>
        <v>2023</v>
      </c>
      <c r="I78" s="12">
        <f>800*62450</f>
        <v>49960000</v>
      </c>
      <c r="J78" s="10">
        <v>2717</v>
      </c>
      <c r="K78" s="11">
        <v>45138</v>
      </c>
      <c r="L78" s="14">
        <f t="shared" si="3"/>
        <v>2023</v>
      </c>
      <c r="M78" s="12">
        <v>50559200</v>
      </c>
    </row>
    <row r="79" spans="1:13" ht="15.75" hidden="1" customHeight="1" x14ac:dyDescent="0.25">
      <c r="A79" s="9" t="s">
        <v>59</v>
      </c>
      <c r="B79" s="9" t="s">
        <v>27</v>
      </c>
      <c r="C79" s="10" t="s">
        <v>17</v>
      </c>
      <c r="D79" s="9" t="s">
        <v>18</v>
      </c>
      <c r="E79" s="9" t="s">
        <v>14</v>
      </c>
      <c r="F79" s="10">
        <v>1434</v>
      </c>
      <c r="G79" s="11">
        <v>45042</v>
      </c>
      <c r="H79" s="14">
        <f t="shared" si="2"/>
        <v>2023</v>
      </c>
      <c r="I79" s="12">
        <f>973.35*60386</f>
        <v>58776713.100000001</v>
      </c>
      <c r="J79" s="10">
        <v>5579</v>
      </c>
      <c r="K79" s="11">
        <v>45210</v>
      </c>
      <c r="L79" s="14">
        <f t="shared" si="3"/>
        <v>2023</v>
      </c>
      <c r="M79" s="12">
        <v>61822325</v>
      </c>
    </row>
    <row r="80" spans="1:13" ht="15.75" hidden="1" customHeight="1" x14ac:dyDescent="0.25">
      <c r="A80" s="9" t="s">
        <v>59</v>
      </c>
      <c r="B80" s="9" t="s">
        <v>27</v>
      </c>
      <c r="C80" s="10" t="s">
        <v>17</v>
      </c>
      <c r="D80" s="9" t="s">
        <v>28</v>
      </c>
      <c r="E80" s="9" t="s">
        <v>14</v>
      </c>
      <c r="F80" s="10">
        <v>1428</v>
      </c>
      <c r="G80" s="11">
        <v>45042</v>
      </c>
      <c r="H80" s="14">
        <f t="shared" si="2"/>
        <v>2023</v>
      </c>
      <c r="I80" s="12">
        <f>773.15*60386</f>
        <v>46687435.899999999</v>
      </c>
      <c r="J80" s="10">
        <v>5311</v>
      </c>
      <c r="K80" s="11">
        <v>45195</v>
      </c>
      <c r="L80" s="14">
        <f t="shared" si="3"/>
        <v>2023</v>
      </c>
      <c r="M80" s="12">
        <v>49057914</v>
      </c>
    </row>
    <row r="81" spans="1:13" ht="15.75" hidden="1" customHeight="1" x14ac:dyDescent="0.25">
      <c r="A81" s="9" t="s">
        <v>59</v>
      </c>
      <c r="B81" s="9" t="s">
        <v>27</v>
      </c>
      <c r="C81" s="10" t="s">
        <v>17</v>
      </c>
      <c r="D81" s="9" t="s">
        <v>28</v>
      </c>
      <c r="E81" s="9" t="s">
        <v>14</v>
      </c>
      <c r="F81" s="10">
        <v>1429</v>
      </c>
      <c r="G81" s="11">
        <v>45042</v>
      </c>
      <c r="H81" s="14">
        <f t="shared" si="2"/>
        <v>2023</v>
      </c>
      <c r="I81" s="12">
        <f>678.65*60386</f>
        <v>40980958.899999999</v>
      </c>
      <c r="J81" s="10">
        <v>5268</v>
      </c>
      <c r="K81" s="11">
        <v>45190</v>
      </c>
      <c r="L81" s="14">
        <f t="shared" si="3"/>
        <v>2023</v>
      </c>
      <c r="M81" s="12">
        <v>43061700</v>
      </c>
    </row>
    <row r="82" spans="1:13" ht="15.75" hidden="1" customHeight="1" x14ac:dyDescent="0.25">
      <c r="A82" s="9" t="s">
        <v>59</v>
      </c>
      <c r="B82" s="9" t="s">
        <v>27</v>
      </c>
      <c r="C82" s="10" t="s">
        <v>17</v>
      </c>
      <c r="D82" s="9" t="s">
        <v>28</v>
      </c>
      <c r="E82" s="9" t="s">
        <v>14</v>
      </c>
      <c r="F82" s="10">
        <v>1430</v>
      </c>
      <c r="G82" s="11">
        <v>45042</v>
      </c>
      <c r="H82" s="14">
        <f t="shared" si="2"/>
        <v>2023</v>
      </c>
      <c r="I82" s="12">
        <f>383.6*60386</f>
        <v>23164069.600000001</v>
      </c>
      <c r="J82" s="10">
        <v>5321</v>
      </c>
      <c r="K82" s="11">
        <v>45195</v>
      </c>
      <c r="L82" s="14">
        <f t="shared" si="3"/>
        <v>2023</v>
      </c>
      <c r="M82" s="12">
        <v>24340187</v>
      </c>
    </row>
    <row r="83" spans="1:13" ht="15.75" hidden="1" customHeight="1" x14ac:dyDescent="0.25">
      <c r="A83" s="9" t="s">
        <v>59</v>
      </c>
      <c r="B83" s="9" t="s">
        <v>27</v>
      </c>
      <c r="C83" s="10" t="s">
        <v>17</v>
      </c>
      <c r="D83" s="9" t="s">
        <v>28</v>
      </c>
      <c r="E83" s="9" t="s">
        <v>14</v>
      </c>
      <c r="F83" s="10">
        <v>1431</v>
      </c>
      <c r="G83" s="11">
        <v>45042</v>
      </c>
      <c r="H83" s="14">
        <f t="shared" si="2"/>
        <v>2023</v>
      </c>
      <c r="I83" s="12">
        <f>932.4*60386</f>
        <v>56303906.399999999</v>
      </c>
      <c r="J83" s="10">
        <v>5322</v>
      </c>
      <c r="K83" s="11">
        <v>45195</v>
      </c>
      <c r="L83" s="14">
        <f t="shared" si="3"/>
        <v>2023</v>
      </c>
      <c r="M83" s="12">
        <v>59162645</v>
      </c>
    </row>
    <row r="84" spans="1:13" ht="15.75" hidden="1" customHeight="1" x14ac:dyDescent="0.25">
      <c r="A84" s="9" t="s">
        <v>59</v>
      </c>
      <c r="B84" s="9" t="s">
        <v>27</v>
      </c>
      <c r="C84" s="10" t="s">
        <v>17</v>
      </c>
      <c r="D84" s="9" t="s">
        <v>13</v>
      </c>
      <c r="E84" s="9" t="s">
        <v>14</v>
      </c>
      <c r="F84" s="10">
        <v>1433</v>
      </c>
      <c r="G84" s="11">
        <v>45040</v>
      </c>
      <c r="H84" s="14">
        <f t="shared" si="2"/>
        <v>2023</v>
      </c>
      <c r="I84" s="12">
        <f>1530.55*60386</f>
        <v>92423792.299999997</v>
      </c>
      <c r="J84" s="10">
        <v>5796</v>
      </c>
      <c r="K84" s="11">
        <v>45229</v>
      </c>
      <c r="L84" s="14">
        <f t="shared" si="3"/>
        <v>2023</v>
      </c>
      <c r="M84" s="12">
        <v>81059930</v>
      </c>
    </row>
    <row r="85" spans="1:13" ht="15.75" hidden="1" customHeight="1" x14ac:dyDescent="0.25">
      <c r="A85" s="9" t="s">
        <v>59</v>
      </c>
      <c r="B85" s="9" t="s">
        <v>27</v>
      </c>
      <c r="C85" s="10" t="s">
        <v>17</v>
      </c>
      <c r="D85" s="9" t="s">
        <v>34</v>
      </c>
      <c r="E85" s="9" t="s">
        <v>14</v>
      </c>
      <c r="F85" s="10">
        <v>1432</v>
      </c>
      <c r="G85" s="11">
        <v>45042</v>
      </c>
      <c r="H85" s="14">
        <f t="shared" si="2"/>
        <v>2023</v>
      </c>
      <c r="I85" s="12">
        <f>1111.6*60386</f>
        <v>67125077.599999994</v>
      </c>
      <c r="J85" s="10">
        <v>5286</v>
      </c>
      <c r="K85" s="11">
        <v>45190</v>
      </c>
      <c r="L85" s="14">
        <f t="shared" si="3"/>
        <v>2023</v>
      </c>
      <c r="M85" s="12">
        <v>70533243</v>
      </c>
    </row>
    <row r="86" spans="1:13" ht="15.75" hidden="1" customHeight="1" x14ac:dyDescent="0.25">
      <c r="A86" s="9" t="s">
        <v>10</v>
      </c>
      <c r="B86" s="9" t="s">
        <v>27</v>
      </c>
      <c r="C86" s="10" t="s">
        <v>17</v>
      </c>
      <c r="D86" s="9" t="s">
        <v>95</v>
      </c>
      <c r="E86" s="9" t="s">
        <v>14</v>
      </c>
      <c r="F86" s="10">
        <v>1449</v>
      </c>
      <c r="G86" s="11">
        <v>45042</v>
      </c>
      <c r="H86" s="14">
        <f t="shared" si="2"/>
        <v>2023</v>
      </c>
      <c r="I86" s="12">
        <f>458.15*60386</f>
        <v>27665845.899999999</v>
      </c>
      <c r="J86" s="10">
        <v>5145</v>
      </c>
      <c r="K86" s="11">
        <v>45177</v>
      </c>
      <c r="L86" s="14">
        <f t="shared" si="3"/>
        <v>2023</v>
      </c>
      <c r="M86" s="12">
        <v>29070534</v>
      </c>
    </row>
    <row r="87" spans="1:13" ht="15.75" hidden="1" customHeight="1" x14ac:dyDescent="0.25">
      <c r="A87" s="9" t="s">
        <v>10</v>
      </c>
      <c r="B87" s="9" t="s">
        <v>27</v>
      </c>
      <c r="C87" s="10" t="s">
        <v>17</v>
      </c>
      <c r="D87" s="9" t="s">
        <v>95</v>
      </c>
      <c r="E87" s="9" t="s">
        <v>14</v>
      </c>
      <c r="F87" s="10">
        <v>1447</v>
      </c>
      <c r="G87" s="11">
        <v>45042</v>
      </c>
      <c r="H87" s="14">
        <f t="shared" si="2"/>
        <v>2023</v>
      </c>
      <c r="I87" s="12">
        <f>18.77*60386</f>
        <v>1133445.22</v>
      </c>
      <c r="J87" s="10">
        <v>5141</v>
      </c>
      <c r="K87" s="11">
        <v>45177</v>
      </c>
      <c r="L87" s="14">
        <f t="shared" si="3"/>
        <v>2023</v>
      </c>
      <c r="M87" s="12">
        <v>1190994</v>
      </c>
    </row>
    <row r="88" spans="1:13" ht="15.75" hidden="1" customHeight="1" x14ac:dyDescent="0.25">
      <c r="A88" s="9" t="s">
        <v>10</v>
      </c>
      <c r="B88" s="9" t="s">
        <v>27</v>
      </c>
      <c r="C88" s="10" t="s">
        <v>17</v>
      </c>
      <c r="D88" s="9" t="s">
        <v>95</v>
      </c>
      <c r="E88" s="9" t="s">
        <v>14</v>
      </c>
      <c r="F88" s="10">
        <v>1448</v>
      </c>
      <c r="G88" s="11">
        <v>45042</v>
      </c>
      <c r="H88" s="14">
        <f t="shared" si="2"/>
        <v>2023</v>
      </c>
      <c r="I88" s="12">
        <f>4.69*603863</f>
        <v>2832117.47</v>
      </c>
      <c r="J88" s="10">
        <v>5144</v>
      </c>
      <c r="K88" s="11">
        <v>45177</v>
      </c>
      <c r="L88" s="14">
        <f t="shared" si="3"/>
        <v>2023</v>
      </c>
      <c r="M88" s="12">
        <v>297590</v>
      </c>
    </row>
    <row r="89" spans="1:13" ht="15.75" hidden="1" customHeight="1" x14ac:dyDescent="0.25">
      <c r="A89" s="9" t="s">
        <v>10</v>
      </c>
      <c r="B89" s="9" t="s">
        <v>27</v>
      </c>
      <c r="C89" s="10" t="s">
        <v>17</v>
      </c>
      <c r="D89" s="9" t="s">
        <v>95</v>
      </c>
      <c r="E89" s="9" t="s">
        <v>14</v>
      </c>
      <c r="F89" s="10">
        <v>1450</v>
      </c>
      <c r="G89" s="11">
        <v>45042</v>
      </c>
      <c r="H89" s="14">
        <f t="shared" si="2"/>
        <v>2023</v>
      </c>
      <c r="I89" s="12">
        <f>47.5*60386</f>
        <v>2868335</v>
      </c>
      <c r="J89" s="10">
        <v>5146</v>
      </c>
      <c r="K89" s="11">
        <v>45177</v>
      </c>
      <c r="L89" s="14">
        <f t="shared" si="3"/>
        <v>2023</v>
      </c>
      <c r="M89" s="12">
        <v>3013970</v>
      </c>
    </row>
    <row r="90" spans="1:13" ht="15.75" hidden="1" customHeight="1" x14ac:dyDescent="0.25">
      <c r="A90" s="9" t="s">
        <v>10</v>
      </c>
      <c r="B90" s="9" t="s">
        <v>27</v>
      </c>
      <c r="C90" s="10" t="s">
        <v>17</v>
      </c>
      <c r="D90" s="9" t="s">
        <v>18</v>
      </c>
      <c r="E90" s="9" t="s">
        <v>14</v>
      </c>
      <c r="F90" s="10">
        <v>1884</v>
      </c>
      <c r="G90" s="11">
        <v>45077</v>
      </c>
      <c r="H90" s="14">
        <f t="shared" si="2"/>
        <v>2023</v>
      </c>
      <c r="I90" s="12">
        <f>205.45*63074</f>
        <v>12958553.299999999</v>
      </c>
      <c r="J90" s="10">
        <v>5312</v>
      </c>
      <c r="K90" s="11">
        <v>45195</v>
      </c>
      <c r="L90" s="14">
        <f t="shared" si="3"/>
        <v>2023</v>
      </c>
      <c r="M90" s="12">
        <v>10038106</v>
      </c>
    </row>
    <row r="91" spans="1:13" ht="15.75" hidden="1" customHeight="1" x14ac:dyDescent="0.25">
      <c r="A91" s="9" t="s">
        <v>10</v>
      </c>
      <c r="B91" s="9" t="s">
        <v>27</v>
      </c>
      <c r="C91" s="10" t="s">
        <v>17</v>
      </c>
      <c r="D91" s="9" t="s">
        <v>28</v>
      </c>
      <c r="E91" s="9" t="s">
        <v>14</v>
      </c>
      <c r="F91" s="10">
        <v>1890</v>
      </c>
      <c r="G91" s="11">
        <v>45077</v>
      </c>
      <c r="H91" s="14">
        <f t="shared" si="2"/>
        <v>2023</v>
      </c>
      <c r="I91" s="12">
        <f>3684.8*63074</f>
        <v>232415075.20000002</v>
      </c>
      <c r="J91" s="10">
        <v>5490</v>
      </c>
      <c r="K91" s="11">
        <v>45205</v>
      </c>
      <c r="L91" s="14">
        <f t="shared" si="3"/>
        <v>2023</v>
      </c>
      <c r="M91" s="12">
        <v>233807929</v>
      </c>
    </row>
    <row r="92" spans="1:13" ht="15.75" hidden="1" customHeight="1" x14ac:dyDescent="0.25">
      <c r="A92" s="9" t="s">
        <v>10</v>
      </c>
      <c r="B92" s="9" t="s">
        <v>27</v>
      </c>
      <c r="C92" s="10" t="s">
        <v>17</v>
      </c>
      <c r="D92" s="9" t="s">
        <v>34</v>
      </c>
      <c r="E92" s="9" t="s">
        <v>14</v>
      </c>
      <c r="F92" s="10">
        <v>1880</v>
      </c>
      <c r="G92" s="11">
        <v>45077</v>
      </c>
      <c r="H92" s="14">
        <f t="shared" si="2"/>
        <v>2023</v>
      </c>
      <c r="I92" s="12">
        <f>729.75*63074</f>
        <v>46028251.5</v>
      </c>
      <c r="J92" s="10">
        <v>6370</v>
      </c>
      <c r="K92" s="11">
        <v>45270</v>
      </c>
      <c r="L92" s="14">
        <f t="shared" si="3"/>
        <v>2023</v>
      </c>
      <c r="M92" s="12">
        <v>46674810</v>
      </c>
    </row>
    <row r="93" spans="1:13" ht="15.75" hidden="1" customHeight="1" x14ac:dyDescent="0.25">
      <c r="A93" s="9" t="s">
        <v>10</v>
      </c>
      <c r="B93" s="9" t="s">
        <v>27</v>
      </c>
      <c r="C93" s="10" t="s">
        <v>17</v>
      </c>
      <c r="D93" s="9" t="s">
        <v>13</v>
      </c>
      <c r="E93" s="9" t="s">
        <v>14</v>
      </c>
      <c r="F93" s="10">
        <v>1875</v>
      </c>
      <c r="G93" s="11">
        <v>45077</v>
      </c>
      <c r="H93" s="14">
        <f t="shared" si="2"/>
        <v>2023</v>
      </c>
      <c r="I93" s="12">
        <f>2476.6*63074</f>
        <v>156209068.40000001</v>
      </c>
      <c r="J93" s="10">
        <v>6008</v>
      </c>
      <c r="K93" s="11">
        <v>45244</v>
      </c>
      <c r="L93" s="14">
        <f t="shared" si="3"/>
        <v>2023</v>
      </c>
      <c r="M93" s="12">
        <v>130291495</v>
      </c>
    </row>
    <row r="94" spans="1:13" ht="15.75" hidden="1" customHeight="1" x14ac:dyDescent="0.25">
      <c r="A94" s="9" t="s">
        <v>10</v>
      </c>
      <c r="B94" s="9" t="s">
        <v>27</v>
      </c>
      <c r="C94" s="10" t="s">
        <v>17</v>
      </c>
      <c r="D94" s="9" t="s">
        <v>13</v>
      </c>
      <c r="E94" s="9" t="s">
        <v>14</v>
      </c>
      <c r="F94" s="10">
        <v>1878</v>
      </c>
      <c r="G94" s="11">
        <v>45077</v>
      </c>
      <c r="H94" s="14">
        <f t="shared" si="2"/>
        <v>2023</v>
      </c>
      <c r="I94" s="12">
        <f>1060.9*63074</f>
        <v>66915206.600000009</v>
      </c>
      <c r="J94" s="10">
        <v>6215</v>
      </c>
      <c r="K94" s="11">
        <v>45259</v>
      </c>
      <c r="L94" s="14">
        <f t="shared" si="3"/>
        <v>2023</v>
      </c>
      <c r="M94" s="12">
        <v>59457216</v>
      </c>
    </row>
    <row r="95" spans="1:13" ht="15.75" hidden="1" customHeight="1" x14ac:dyDescent="0.25">
      <c r="A95" s="9" t="s">
        <v>10</v>
      </c>
      <c r="B95" s="9" t="s">
        <v>27</v>
      </c>
      <c r="C95" s="10" t="s">
        <v>17</v>
      </c>
      <c r="D95" s="9" t="s">
        <v>28</v>
      </c>
      <c r="E95" s="9" t="s">
        <v>14</v>
      </c>
      <c r="F95" s="10">
        <v>2033</v>
      </c>
      <c r="G95" s="11">
        <v>45077</v>
      </c>
      <c r="H95" s="14">
        <f t="shared" si="2"/>
        <v>2023</v>
      </c>
      <c r="I95" s="12">
        <f>3569.65*63074</f>
        <v>225152104.09999999</v>
      </c>
      <c r="J95" s="10">
        <v>5309</v>
      </c>
      <c r="K95" s="11">
        <v>45195</v>
      </c>
      <c r="L95" s="14">
        <f t="shared" si="3"/>
        <v>2023</v>
      </c>
      <c r="M95" s="12">
        <v>226501432</v>
      </c>
    </row>
    <row r="96" spans="1:13" ht="15.75" hidden="1" customHeight="1" x14ac:dyDescent="0.25">
      <c r="A96" s="9" t="s">
        <v>10</v>
      </c>
      <c r="B96" s="9" t="s">
        <v>27</v>
      </c>
      <c r="C96" s="10" t="s">
        <v>17</v>
      </c>
      <c r="D96" s="9" t="s">
        <v>13</v>
      </c>
      <c r="E96" s="9" t="s">
        <v>14</v>
      </c>
      <c r="F96" s="10">
        <v>1975</v>
      </c>
      <c r="G96" s="11">
        <v>45077</v>
      </c>
      <c r="H96" s="14">
        <f t="shared" si="2"/>
        <v>2023</v>
      </c>
      <c r="I96" s="12">
        <f>319.27*63074</f>
        <v>20137635.98</v>
      </c>
      <c r="J96" s="10">
        <v>5137</v>
      </c>
      <c r="K96" s="11">
        <v>45177</v>
      </c>
      <c r="L96" s="14">
        <f t="shared" si="3"/>
        <v>2023</v>
      </c>
      <c r="M96" s="12">
        <v>20258320</v>
      </c>
    </row>
    <row r="97" spans="1:13" ht="15.75" hidden="1" customHeight="1" x14ac:dyDescent="0.25">
      <c r="A97" s="9" t="s">
        <v>10</v>
      </c>
      <c r="B97" s="9" t="s">
        <v>27</v>
      </c>
      <c r="C97" s="10" t="s">
        <v>17</v>
      </c>
      <c r="D97" s="9" t="s">
        <v>18</v>
      </c>
      <c r="E97" s="9" t="s">
        <v>14</v>
      </c>
      <c r="F97" s="10">
        <v>2004</v>
      </c>
      <c r="G97" s="11">
        <v>45077</v>
      </c>
      <c r="H97" s="14">
        <f t="shared" si="2"/>
        <v>2023</v>
      </c>
      <c r="I97" s="12">
        <f>32.48*63074</f>
        <v>2048643.5199999998</v>
      </c>
      <c r="J97" s="10">
        <v>5157</v>
      </c>
      <c r="K97" s="11">
        <v>45177</v>
      </c>
      <c r="L97" s="14">
        <f t="shared" si="3"/>
        <v>2023</v>
      </c>
      <c r="M97" s="12">
        <v>2060921</v>
      </c>
    </row>
    <row r="98" spans="1:13" ht="15.75" hidden="1" customHeight="1" x14ac:dyDescent="0.25">
      <c r="A98" s="9" t="s">
        <v>10</v>
      </c>
      <c r="B98" s="9" t="s">
        <v>27</v>
      </c>
      <c r="C98" s="10" t="s">
        <v>17</v>
      </c>
      <c r="D98" s="9" t="s">
        <v>18</v>
      </c>
      <c r="E98" s="9" t="s">
        <v>14</v>
      </c>
      <c r="F98" s="10">
        <v>1978</v>
      </c>
      <c r="G98" s="11">
        <v>45077</v>
      </c>
      <c r="H98" s="14">
        <f t="shared" si="2"/>
        <v>2023</v>
      </c>
      <c r="I98" s="12">
        <f>13.27*63074</f>
        <v>836991.98</v>
      </c>
      <c r="J98" s="10">
        <v>5151</v>
      </c>
      <c r="K98" s="11">
        <v>45177</v>
      </c>
      <c r="L98" s="14">
        <f t="shared" si="3"/>
        <v>2023</v>
      </c>
      <c r="M98" s="12">
        <v>842008</v>
      </c>
    </row>
    <row r="99" spans="1:13" ht="15.75" hidden="1" customHeight="1" x14ac:dyDescent="0.25">
      <c r="A99" s="9" t="s">
        <v>10</v>
      </c>
      <c r="B99" s="9" t="s">
        <v>27</v>
      </c>
      <c r="C99" s="10" t="s">
        <v>17</v>
      </c>
      <c r="D99" s="9" t="s">
        <v>28</v>
      </c>
      <c r="E99" s="9" t="s">
        <v>14</v>
      </c>
      <c r="F99" s="10">
        <v>2003</v>
      </c>
      <c r="G99" s="11">
        <v>45077</v>
      </c>
      <c r="H99" s="14">
        <f t="shared" si="2"/>
        <v>2023</v>
      </c>
      <c r="I99" s="12">
        <f>41.22*63074</f>
        <v>2599910.2799999998</v>
      </c>
      <c r="J99" s="10">
        <v>5153</v>
      </c>
      <c r="K99" s="11">
        <v>45177</v>
      </c>
      <c r="L99" s="14">
        <f t="shared" si="3"/>
        <v>2023</v>
      </c>
      <c r="M99" s="12">
        <v>2615491</v>
      </c>
    </row>
    <row r="100" spans="1:13" ht="15.75" hidden="1" customHeight="1" x14ac:dyDescent="0.25">
      <c r="A100" s="9" t="s">
        <v>10</v>
      </c>
      <c r="B100" s="9" t="s">
        <v>27</v>
      </c>
      <c r="C100" s="10" t="s">
        <v>17</v>
      </c>
      <c r="D100" s="9" t="s">
        <v>28</v>
      </c>
      <c r="E100" s="9" t="s">
        <v>14</v>
      </c>
      <c r="F100" s="10">
        <v>1979</v>
      </c>
      <c r="G100" s="11">
        <v>45077</v>
      </c>
      <c r="H100" s="14">
        <f t="shared" si="2"/>
        <v>2023</v>
      </c>
      <c r="I100" s="12">
        <f>82.82*63074</f>
        <v>5223788.68</v>
      </c>
      <c r="J100" s="10">
        <v>5156</v>
      </c>
      <c r="K100" s="11">
        <v>45177</v>
      </c>
      <c r="L100" s="14">
        <f t="shared" si="3"/>
        <v>2023</v>
      </c>
      <c r="M100" s="12">
        <v>5255095</v>
      </c>
    </row>
    <row r="101" spans="1:13" ht="15.75" hidden="1" customHeight="1" x14ac:dyDescent="0.25">
      <c r="A101" s="9" t="s">
        <v>10</v>
      </c>
      <c r="B101" s="9" t="s">
        <v>27</v>
      </c>
      <c r="C101" s="10" t="s">
        <v>17</v>
      </c>
      <c r="D101" s="9" t="s">
        <v>34</v>
      </c>
      <c r="E101" s="9" t="s">
        <v>14</v>
      </c>
      <c r="F101" s="10">
        <v>2009</v>
      </c>
      <c r="G101" s="11">
        <v>45077</v>
      </c>
      <c r="H101" s="14">
        <f t="shared" si="2"/>
        <v>2023</v>
      </c>
      <c r="I101" s="12">
        <f>20.87*63074</f>
        <v>1316354.3800000001</v>
      </c>
      <c r="J101" s="10">
        <v>5320</v>
      </c>
      <c r="K101" s="11">
        <v>45195</v>
      </c>
      <c r="L101" s="14">
        <f t="shared" si="3"/>
        <v>2023</v>
      </c>
      <c r="M101" s="12">
        <v>1324243</v>
      </c>
    </row>
    <row r="102" spans="1:13" ht="15.75" hidden="1" customHeight="1" x14ac:dyDescent="0.25">
      <c r="A102" s="9" t="s">
        <v>10</v>
      </c>
      <c r="B102" s="9" t="s">
        <v>27</v>
      </c>
      <c r="C102" s="10" t="s">
        <v>17</v>
      </c>
      <c r="D102" s="9" t="s">
        <v>34</v>
      </c>
      <c r="E102" s="9" t="s">
        <v>14</v>
      </c>
      <c r="F102" s="10">
        <v>2008</v>
      </c>
      <c r="G102" s="11">
        <v>45077</v>
      </c>
      <c r="H102" s="14">
        <f t="shared" si="2"/>
        <v>2023</v>
      </c>
      <c r="I102" s="12">
        <f>26.49*63074</f>
        <v>1670830.26</v>
      </c>
      <c r="J102" s="10">
        <v>5269</v>
      </c>
      <c r="K102" s="11">
        <v>45190</v>
      </c>
      <c r="L102" s="14">
        <f t="shared" si="3"/>
        <v>2023</v>
      </c>
      <c r="M102" s="12">
        <v>1680843</v>
      </c>
    </row>
    <row r="103" spans="1:13" ht="15.75" hidden="1" customHeight="1" x14ac:dyDescent="0.25">
      <c r="A103" s="9" t="s">
        <v>59</v>
      </c>
      <c r="B103" s="9" t="s">
        <v>27</v>
      </c>
      <c r="C103" s="10" t="s">
        <v>17</v>
      </c>
      <c r="D103" s="9" t="s">
        <v>18</v>
      </c>
      <c r="E103" s="9" t="s">
        <v>14</v>
      </c>
      <c r="F103" s="10">
        <v>1988</v>
      </c>
      <c r="G103" s="11">
        <v>45077</v>
      </c>
      <c r="H103" s="14">
        <f t="shared" si="2"/>
        <v>2023</v>
      </c>
      <c r="I103" s="12">
        <f>0.02*63074</f>
        <v>1261.48</v>
      </c>
      <c r="J103" s="10">
        <v>5138</v>
      </c>
      <c r="K103" s="11">
        <v>45177</v>
      </c>
      <c r="L103" s="14">
        <f t="shared" si="3"/>
        <v>2023</v>
      </c>
      <c r="M103" s="12">
        <v>1269</v>
      </c>
    </row>
    <row r="104" spans="1:13" ht="15.75" hidden="1" customHeight="1" x14ac:dyDescent="0.25">
      <c r="A104" s="9" t="s">
        <v>59</v>
      </c>
      <c r="B104" s="9" t="s">
        <v>27</v>
      </c>
      <c r="C104" s="10" t="s">
        <v>17</v>
      </c>
      <c r="D104" s="9" t="s">
        <v>28</v>
      </c>
      <c r="E104" s="9" t="s">
        <v>14</v>
      </c>
      <c r="F104" s="10">
        <v>1991</v>
      </c>
      <c r="G104" s="11">
        <v>45077</v>
      </c>
      <c r="H104" s="14">
        <f t="shared" si="2"/>
        <v>2023</v>
      </c>
      <c r="I104" s="12">
        <f>26.27*63074</f>
        <v>1656953.98</v>
      </c>
      <c r="J104" s="10">
        <v>5142</v>
      </c>
      <c r="K104" s="11">
        <v>45177</v>
      </c>
      <c r="L104" s="14">
        <f t="shared" si="3"/>
        <v>2023</v>
      </c>
      <c r="M104" s="12">
        <v>1666884</v>
      </c>
    </row>
    <row r="105" spans="1:13" ht="15.75" hidden="1" customHeight="1" x14ac:dyDescent="0.25">
      <c r="A105" s="9" t="s">
        <v>59</v>
      </c>
      <c r="B105" s="9" t="s">
        <v>27</v>
      </c>
      <c r="C105" s="10" t="s">
        <v>17</v>
      </c>
      <c r="D105" s="9" t="s">
        <v>13</v>
      </c>
      <c r="E105" s="9" t="s">
        <v>14</v>
      </c>
      <c r="F105" s="10">
        <v>2001</v>
      </c>
      <c r="G105" s="11">
        <v>45077</v>
      </c>
      <c r="H105" s="14">
        <f t="shared" si="2"/>
        <v>2023</v>
      </c>
      <c r="I105" s="12">
        <f>8.28*63075</f>
        <v>522260.99999999994</v>
      </c>
      <c r="J105" s="10">
        <v>5139</v>
      </c>
      <c r="K105" s="11">
        <v>45177</v>
      </c>
      <c r="L105" s="14">
        <f t="shared" si="3"/>
        <v>2023</v>
      </c>
      <c r="M105" s="12">
        <v>525383</v>
      </c>
    </row>
    <row r="106" spans="1:13" ht="15.75" hidden="1" customHeight="1" x14ac:dyDescent="0.25">
      <c r="A106" s="9" t="s">
        <v>59</v>
      </c>
      <c r="B106" s="9" t="s">
        <v>27</v>
      </c>
      <c r="C106" s="10" t="s">
        <v>17</v>
      </c>
      <c r="D106" s="9" t="s">
        <v>34</v>
      </c>
      <c r="E106" s="9" t="s">
        <v>14</v>
      </c>
      <c r="F106" s="10">
        <v>1992</v>
      </c>
      <c r="G106" s="11">
        <v>45077</v>
      </c>
      <c r="H106" s="14">
        <f t="shared" si="2"/>
        <v>2023</v>
      </c>
      <c r="I106" s="12">
        <f>14.24*63074</f>
        <v>898173.76</v>
      </c>
      <c r="J106" s="10">
        <v>5143</v>
      </c>
      <c r="K106" s="11">
        <v>45177</v>
      </c>
      <c r="L106" s="14">
        <f t="shared" si="3"/>
        <v>2023</v>
      </c>
      <c r="M106" s="12">
        <v>903556</v>
      </c>
    </row>
    <row r="107" spans="1:13" ht="15.75" hidden="1" customHeight="1" x14ac:dyDescent="0.25">
      <c r="A107" s="9" t="s">
        <v>59</v>
      </c>
      <c r="B107" s="9" t="s">
        <v>27</v>
      </c>
      <c r="C107" s="10" t="s">
        <v>17</v>
      </c>
      <c r="D107" s="9" t="s">
        <v>28</v>
      </c>
      <c r="E107" s="9" t="s">
        <v>14</v>
      </c>
      <c r="F107" s="10">
        <v>1989</v>
      </c>
      <c r="G107" s="11">
        <v>45077</v>
      </c>
      <c r="H107" s="14">
        <f t="shared" si="2"/>
        <v>2023</v>
      </c>
      <c r="I107" s="12">
        <f>38.54*63074</f>
        <v>2430871.96</v>
      </c>
      <c r="J107" s="10">
        <v>5285</v>
      </c>
      <c r="K107" s="11">
        <v>45190</v>
      </c>
      <c r="L107" s="14">
        <f t="shared" si="3"/>
        <v>2023</v>
      </c>
      <c r="M107" s="12">
        <v>2445440</v>
      </c>
    </row>
    <row r="108" spans="1:13" ht="15.75" hidden="1" customHeight="1" x14ac:dyDescent="0.25">
      <c r="A108" s="9" t="s">
        <v>59</v>
      </c>
      <c r="B108" s="9" t="s">
        <v>27</v>
      </c>
      <c r="C108" s="10" t="s">
        <v>17</v>
      </c>
      <c r="D108" s="9" t="s">
        <v>28</v>
      </c>
      <c r="E108" s="9" t="s">
        <v>14</v>
      </c>
      <c r="F108" s="10">
        <v>1994</v>
      </c>
      <c r="G108" s="11">
        <v>45077</v>
      </c>
      <c r="H108" s="14">
        <f t="shared" si="2"/>
        <v>2023</v>
      </c>
      <c r="I108" s="12">
        <f>7.79*63074</f>
        <v>491346.46</v>
      </c>
      <c r="J108" s="10">
        <v>5147</v>
      </c>
      <c r="K108" s="11">
        <v>45177</v>
      </c>
      <c r="L108" s="14">
        <f t="shared" si="3"/>
        <v>2023</v>
      </c>
      <c r="M108" s="12">
        <v>494291</v>
      </c>
    </row>
    <row r="109" spans="1:13" ht="15.75" hidden="1" customHeight="1" x14ac:dyDescent="0.25">
      <c r="A109" s="9" t="s">
        <v>59</v>
      </c>
      <c r="B109" s="9" t="s">
        <v>32</v>
      </c>
      <c r="C109" s="10" t="s">
        <v>21</v>
      </c>
      <c r="D109" s="9" t="s">
        <v>41</v>
      </c>
      <c r="E109" s="9" t="s">
        <v>19</v>
      </c>
      <c r="F109" s="10">
        <v>2280</v>
      </c>
      <c r="G109" s="11">
        <v>44770</v>
      </c>
      <c r="H109" s="14">
        <f t="shared" si="2"/>
        <v>2022</v>
      </c>
      <c r="I109" s="12">
        <v>3847617</v>
      </c>
      <c r="J109" s="10">
        <v>218</v>
      </c>
      <c r="K109" s="11">
        <v>44953</v>
      </c>
      <c r="L109" s="14">
        <f t="shared" si="3"/>
        <v>2023</v>
      </c>
      <c r="M109" s="12">
        <v>3847617</v>
      </c>
    </row>
    <row r="110" spans="1:13" ht="15.75" hidden="1" customHeight="1" x14ac:dyDescent="0.25">
      <c r="A110" s="9" t="s">
        <v>15</v>
      </c>
      <c r="B110" s="9" t="s">
        <v>32</v>
      </c>
      <c r="C110" s="10" t="s">
        <v>21</v>
      </c>
      <c r="D110" s="9" t="s">
        <v>13</v>
      </c>
      <c r="E110" s="9" t="s">
        <v>14</v>
      </c>
      <c r="F110" s="10">
        <v>237</v>
      </c>
      <c r="G110" s="11">
        <v>44215</v>
      </c>
      <c r="H110" s="14">
        <f t="shared" si="2"/>
        <v>2021</v>
      </c>
      <c r="I110" s="12">
        <f>147.7*50978</f>
        <v>7529450.5999999996</v>
      </c>
      <c r="J110" s="10">
        <v>970</v>
      </c>
      <c r="K110" s="11">
        <v>45005</v>
      </c>
      <c r="L110" s="14">
        <f t="shared" si="3"/>
        <v>2023</v>
      </c>
      <c r="M110" s="12">
        <v>8240276</v>
      </c>
    </row>
    <row r="111" spans="1:13" ht="15.75" hidden="1" customHeight="1" x14ac:dyDescent="0.25">
      <c r="A111" s="9" t="s">
        <v>15</v>
      </c>
      <c r="B111" s="9" t="s">
        <v>32</v>
      </c>
      <c r="C111" s="10" t="s">
        <v>21</v>
      </c>
      <c r="D111" s="9" t="s">
        <v>41</v>
      </c>
      <c r="E111" s="9" t="s">
        <v>14</v>
      </c>
      <c r="F111" s="10">
        <v>50</v>
      </c>
      <c r="G111" s="11">
        <v>44207</v>
      </c>
      <c r="H111" s="14">
        <f t="shared" si="2"/>
        <v>2021</v>
      </c>
      <c r="I111" s="12">
        <f>2656.85*50978</f>
        <v>135440899.29999998</v>
      </c>
      <c r="J111" s="10">
        <v>948</v>
      </c>
      <c r="K111" s="11">
        <v>45005</v>
      </c>
      <c r="L111" s="14">
        <f t="shared" si="3"/>
        <v>2023</v>
      </c>
      <c r="M111" s="12">
        <v>139297847</v>
      </c>
    </row>
    <row r="112" spans="1:13" ht="15.75" hidden="1" customHeight="1" x14ac:dyDescent="0.25">
      <c r="A112" s="9" t="s">
        <v>10</v>
      </c>
      <c r="B112" s="9" t="s">
        <v>32</v>
      </c>
      <c r="C112" s="10" t="s">
        <v>21</v>
      </c>
      <c r="D112" s="9" t="s">
        <v>41</v>
      </c>
      <c r="E112" s="9" t="s">
        <v>14</v>
      </c>
      <c r="F112" s="10">
        <v>1928</v>
      </c>
      <c r="G112" s="11">
        <v>44748</v>
      </c>
      <c r="H112" s="14">
        <f t="shared" si="2"/>
        <v>2022</v>
      </c>
      <c r="I112" s="12">
        <f>51.67*58298</f>
        <v>3012257.66</v>
      </c>
      <c r="J112" s="10">
        <v>1148</v>
      </c>
      <c r="K112" s="11">
        <v>45016</v>
      </c>
      <c r="L112" s="14">
        <f t="shared" si="3"/>
        <v>2023</v>
      </c>
      <c r="M112" s="12">
        <v>3226792</v>
      </c>
    </row>
    <row r="113" spans="1:13" ht="15.75" hidden="1" customHeight="1" x14ac:dyDescent="0.25">
      <c r="A113" s="9" t="s">
        <v>10</v>
      </c>
      <c r="B113" s="9" t="s">
        <v>32</v>
      </c>
      <c r="C113" s="10" t="s">
        <v>21</v>
      </c>
      <c r="D113" s="9" t="s">
        <v>41</v>
      </c>
      <c r="E113" s="9" t="s">
        <v>14</v>
      </c>
      <c r="F113" s="10">
        <v>1926</v>
      </c>
      <c r="G113" s="11">
        <v>44748</v>
      </c>
      <c r="H113" s="14">
        <f t="shared" si="2"/>
        <v>2022</v>
      </c>
      <c r="I113" s="12">
        <f>72.8*58298</f>
        <v>4244094.3999999994</v>
      </c>
      <c r="J113" s="10">
        <v>1147</v>
      </c>
      <c r="K113" s="11">
        <v>45016</v>
      </c>
      <c r="L113" s="14">
        <f t="shared" si="3"/>
        <v>2023</v>
      </c>
      <c r="M113" s="12">
        <v>4546360</v>
      </c>
    </row>
    <row r="114" spans="1:13" ht="15.75" hidden="1" customHeight="1" x14ac:dyDescent="0.25">
      <c r="A114" s="9" t="s">
        <v>10</v>
      </c>
      <c r="B114" s="9" t="s">
        <v>32</v>
      </c>
      <c r="C114" s="10" t="s">
        <v>21</v>
      </c>
      <c r="D114" s="9" t="s">
        <v>41</v>
      </c>
      <c r="E114" s="9" t="s">
        <v>14</v>
      </c>
      <c r="F114" s="10">
        <v>1927</v>
      </c>
      <c r="G114" s="11">
        <v>44748</v>
      </c>
      <c r="H114" s="14">
        <f t="shared" si="2"/>
        <v>2022</v>
      </c>
      <c r="I114" s="12">
        <f>76.82*58298</f>
        <v>4478452.3599999994</v>
      </c>
      <c r="J114" s="10">
        <v>971</v>
      </c>
      <c r="K114" s="11">
        <v>45005</v>
      </c>
      <c r="L114" s="14">
        <f t="shared" si="3"/>
        <v>2023</v>
      </c>
      <c r="M114" s="12">
        <v>9556715</v>
      </c>
    </row>
    <row r="115" spans="1:13" ht="15.75" hidden="1" customHeight="1" x14ac:dyDescent="0.25">
      <c r="A115" s="9" t="s">
        <v>10</v>
      </c>
      <c r="B115" s="9" t="s">
        <v>32</v>
      </c>
      <c r="C115" s="10" t="s">
        <v>21</v>
      </c>
      <c r="D115" s="9" t="s">
        <v>13</v>
      </c>
      <c r="E115" s="9" t="s">
        <v>14</v>
      </c>
      <c r="F115" s="10">
        <v>1929</v>
      </c>
      <c r="G115" s="11">
        <v>44748</v>
      </c>
      <c r="H115" s="14">
        <f t="shared" si="2"/>
        <v>2022</v>
      </c>
      <c r="I115" s="12">
        <f>60.03*58298</f>
        <v>3499628.94</v>
      </c>
      <c r="J115" s="10">
        <v>482</v>
      </c>
      <c r="K115" s="11">
        <v>44964</v>
      </c>
      <c r="L115" s="14">
        <f t="shared" si="3"/>
        <v>2023</v>
      </c>
      <c r="M115" s="12">
        <v>3719099</v>
      </c>
    </row>
    <row r="116" spans="1:13" ht="15.75" hidden="1" customHeight="1" x14ac:dyDescent="0.25">
      <c r="A116" s="9" t="s">
        <v>59</v>
      </c>
      <c r="B116" s="9" t="s">
        <v>32</v>
      </c>
      <c r="C116" s="10" t="s">
        <v>21</v>
      </c>
      <c r="D116" s="9" t="s">
        <v>41</v>
      </c>
      <c r="E116" s="9" t="s">
        <v>14</v>
      </c>
      <c r="F116" s="10">
        <v>1936</v>
      </c>
      <c r="G116" s="11">
        <v>44748</v>
      </c>
      <c r="H116" s="14">
        <f t="shared" si="2"/>
        <v>2022</v>
      </c>
      <c r="I116" s="12">
        <f>51.36*58298</f>
        <v>2994185.28</v>
      </c>
      <c r="J116" s="10">
        <v>1102</v>
      </c>
      <c r="K116" s="11">
        <v>45016</v>
      </c>
      <c r="L116" s="14">
        <f t="shared" si="3"/>
        <v>2023</v>
      </c>
      <c r="M116" s="12">
        <v>3207432</v>
      </c>
    </row>
    <row r="117" spans="1:13" ht="15.75" hidden="1" customHeight="1" x14ac:dyDescent="0.25">
      <c r="A117" s="9" t="s">
        <v>59</v>
      </c>
      <c r="B117" s="9" t="s">
        <v>32</v>
      </c>
      <c r="C117" s="10" t="s">
        <v>21</v>
      </c>
      <c r="D117" s="9" t="s">
        <v>13</v>
      </c>
      <c r="E117" s="9" t="s">
        <v>14</v>
      </c>
      <c r="F117" s="10">
        <v>1937</v>
      </c>
      <c r="G117" s="11">
        <v>44748</v>
      </c>
      <c r="H117" s="14">
        <f t="shared" si="2"/>
        <v>2022</v>
      </c>
      <c r="I117" s="12">
        <f>5.95*58298</f>
        <v>346873.10000000003</v>
      </c>
      <c r="J117" s="10">
        <v>1149</v>
      </c>
      <c r="K117" s="11">
        <v>45016</v>
      </c>
      <c r="L117" s="14">
        <f t="shared" si="3"/>
        <v>2023</v>
      </c>
      <c r="M117" s="12">
        <v>5.95</v>
      </c>
    </row>
    <row r="118" spans="1:13" ht="15.75" hidden="1" customHeight="1" x14ac:dyDescent="0.25">
      <c r="A118" s="9" t="s">
        <v>15</v>
      </c>
      <c r="B118" s="9" t="s">
        <v>32</v>
      </c>
      <c r="C118" s="10" t="s">
        <v>21</v>
      </c>
      <c r="D118" s="9" t="s">
        <v>83</v>
      </c>
      <c r="E118" s="9" t="s">
        <v>72</v>
      </c>
      <c r="F118" s="10">
        <v>2107</v>
      </c>
      <c r="G118" s="11">
        <v>44760</v>
      </c>
      <c r="H118" s="14">
        <f t="shared" si="2"/>
        <v>2022</v>
      </c>
      <c r="I118" s="12">
        <f>9661*58298</f>
        <v>563216978</v>
      </c>
      <c r="J118" s="10">
        <v>281</v>
      </c>
      <c r="K118" s="11">
        <v>44953</v>
      </c>
      <c r="L118" s="14">
        <f t="shared" si="3"/>
        <v>2023</v>
      </c>
      <c r="M118" s="12">
        <v>596750309</v>
      </c>
    </row>
    <row r="119" spans="1:13" ht="15.75" hidden="1" customHeight="1" x14ac:dyDescent="0.25">
      <c r="A119" s="9" t="s">
        <v>15</v>
      </c>
      <c r="B119" s="9" t="s">
        <v>32</v>
      </c>
      <c r="C119" s="10" t="s">
        <v>94</v>
      </c>
      <c r="D119" s="9" t="s">
        <v>83</v>
      </c>
      <c r="E119" s="9" t="s">
        <v>91</v>
      </c>
      <c r="F119" s="10">
        <v>1174</v>
      </c>
      <c r="G119" s="11">
        <v>44665</v>
      </c>
      <c r="H119" s="14">
        <f t="shared" si="2"/>
        <v>2022</v>
      </c>
      <c r="I119" s="12">
        <v>38115629</v>
      </c>
      <c r="J119" s="10">
        <v>6487</v>
      </c>
      <c r="K119" s="11">
        <v>45278</v>
      </c>
      <c r="L119" s="14">
        <f t="shared" si="3"/>
        <v>2023</v>
      </c>
      <c r="M119" s="12">
        <v>805873</v>
      </c>
    </row>
    <row r="120" spans="1:13" ht="15.75" hidden="1" customHeight="1" x14ac:dyDescent="0.25">
      <c r="A120" s="9" t="s">
        <v>15</v>
      </c>
      <c r="B120" s="9" t="s">
        <v>32</v>
      </c>
      <c r="C120" s="10" t="s">
        <v>21</v>
      </c>
      <c r="D120" s="9" t="s">
        <v>83</v>
      </c>
      <c r="E120" s="9" t="s">
        <v>72</v>
      </c>
      <c r="F120" s="10">
        <v>1623</v>
      </c>
      <c r="G120" s="11">
        <v>44713</v>
      </c>
      <c r="H120" s="14">
        <f t="shared" si="2"/>
        <v>2022</v>
      </c>
      <c r="I120" s="12">
        <f>12747*57557</f>
        <v>733679079</v>
      </c>
      <c r="J120" s="10">
        <v>449</v>
      </c>
      <c r="K120" s="11">
        <v>44964</v>
      </c>
      <c r="L120" s="14">
        <f t="shared" si="3"/>
        <v>2023</v>
      </c>
      <c r="M120" s="12">
        <v>789727638</v>
      </c>
    </row>
    <row r="121" spans="1:13" ht="15.75" hidden="1" customHeight="1" x14ac:dyDescent="0.25">
      <c r="A121" s="9" t="s">
        <v>15</v>
      </c>
      <c r="B121" s="9" t="s">
        <v>32</v>
      </c>
      <c r="C121" s="10" t="s">
        <v>21</v>
      </c>
      <c r="D121" s="9" t="s">
        <v>83</v>
      </c>
      <c r="E121" s="9" t="s">
        <v>72</v>
      </c>
      <c r="F121" s="10">
        <v>1651</v>
      </c>
      <c r="G121" s="11">
        <v>44714</v>
      </c>
      <c r="H121" s="14">
        <f t="shared" si="2"/>
        <v>2022</v>
      </c>
      <c r="I121" s="12">
        <f>11028*57557</f>
        <v>634738596</v>
      </c>
      <c r="J121" s="10">
        <v>2088</v>
      </c>
      <c r="K121" s="11">
        <v>45079</v>
      </c>
      <c r="L121" s="14">
        <f t="shared" si="3"/>
        <v>2023</v>
      </c>
      <c r="M121" s="12">
        <v>690958486</v>
      </c>
    </row>
    <row r="122" spans="1:13" ht="15.75" hidden="1" customHeight="1" x14ac:dyDescent="0.25">
      <c r="A122" s="9" t="s">
        <v>59</v>
      </c>
      <c r="B122" s="9" t="s">
        <v>32</v>
      </c>
      <c r="C122" s="10" t="s">
        <v>21</v>
      </c>
      <c r="D122" s="9" t="s">
        <v>41</v>
      </c>
      <c r="E122" s="9" t="s">
        <v>14</v>
      </c>
      <c r="F122" s="10">
        <v>2374</v>
      </c>
      <c r="G122" s="11">
        <v>44771</v>
      </c>
      <c r="H122" s="14">
        <f t="shared" si="2"/>
        <v>2022</v>
      </c>
      <c r="I122" s="12">
        <f>583.45*58298</f>
        <v>34013968.100000001</v>
      </c>
      <c r="J122" s="10">
        <v>1144</v>
      </c>
      <c r="K122" s="11">
        <v>45016</v>
      </c>
      <c r="L122" s="14">
        <f t="shared" si="3"/>
        <v>2023</v>
      </c>
      <c r="M122" s="12">
        <v>583.45000000000005</v>
      </c>
    </row>
    <row r="123" spans="1:13" ht="15.75" hidden="1" customHeight="1" x14ac:dyDescent="0.25">
      <c r="A123" s="9" t="s">
        <v>59</v>
      </c>
      <c r="B123" s="9" t="s">
        <v>32</v>
      </c>
      <c r="C123" s="10" t="s">
        <v>21</v>
      </c>
      <c r="D123" s="9" t="s">
        <v>13</v>
      </c>
      <c r="E123" s="9" t="s">
        <v>14</v>
      </c>
      <c r="F123" s="10">
        <v>2376</v>
      </c>
      <c r="G123" s="11">
        <v>44771</v>
      </c>
      <c r="H123" s="14">
        <f t="shared" si="2"/>
        <v>2022</v>
      </c>
      <c r="I123" s="12">
        <f>435.75*58298</f>
        <v>25403353.5</v>
      </c>
      <c r="J123" s="10">
        <v>1145</v>
      </c>
      <c r="K123" s="11">
        <v>45016</v>
      </c>
      <c r="L123" s="14">
        <f t="shared" si="3"/>
        <v>2023</v>
      </c>
      <c r="M123" s="12">
        <v>27212588</v>
      </c>
    </row>
    <row r="124" spans="1:13" ht="15.75" hidden="1" customHeight="1" x14ac:dyDescent="0.25">
      <c r="A124" s="9" t="s">
        <v>10</v>
      </c>
      <c r="B124" s="9" t="s">
        <v>32</v>
      </c>
      <c r="C124" s="10" t="s">
        <v>21</v>
      </c>
      <c r="D124" s="9" t="s">
        <v>41</v>
      </c>
      <c r="E124" s="9" t="s">
        <v>14</v>
      </c>
      <c r="F124" s="10">
        <v>2047</v>
      </c>
      <c r="G124" s="11">
        <v>44754</v>
      </c>
      <c r="H124" s="14">
        <f t="shared" si="2"/>
        <v>2022</v>
      </c>
      <c r="I124" s="12">
        <f>2988.3*58298</f>
        <v>174211913.40000001</v>
      </c>
      <c r="J124" s="10">
        <v>1111</v>
      </c>
      <c r="K124" s="11">
        <v>45016</v>
      </c>
      <c r="L124" s="14">
        <f t="shared" si="3"/>
        <v>2023</v>
      </c>
      <c r="M124" s="12">
        <v>186619335</v>
      </c>
    </row>
    <row r="125" spans="1:13" ht="15.75" hidden="1" customHeight="1" x14ac:dyDescent="0.25">
      <c r="A125" s="9" t="s">
        <v>10</v>
      </c>
      <c r="B125" s="9" t="s">
        <v>32</v>
      </c>
      <c r="C125" s="10" t="s">
        <v>21</v>
      </c>
      <c r="D125" s="9" t="s">
        <v>41</v>
      </c>
      <c r="E125" s="9" t="s">
        <v>14</v>
      </c>
      <c r="F125" s="10">
        <v>2046</v>
      </c>
      <c r="G125" s="11">
        <v>44754</v>
      </c>
      <c r="H125" s="14">
        <f t="shared" si="2"/>
        <v>2022</v>
      </c>
      <c r="I125" s="12">
        <f>1461.1*58298</f>
        <v>85179207.799999997</v>
      </c>
      <c r="J125" s="10">
        <v>1146</v>
      </c>
      <c r="K125" s="11">
        <v>45016</v>
      </c>
      <c r="L125" s="14">
        <f t="shared" si="3"/>
        <v>2023</v>
      </c>
      <c r="M125" s="12">
        <v>1071.3499999999999</v>
      </c>
    </row>
    <row r="126" spans="1:13" ht="15.75" hidden="1" customHeight="1" x14ac:dyDescent="0.25">
      <c r="A126" s="9" t="s">
        <v>10</v>
      </c>
      <c r="B126" s="9" t="s">
        <v>32</v>
      </c>
      <c r="C126" s="10" t="s">
        <v>21</v>
      </c>
      <c r="D126" s="9" t="s">
        <v>41</v>
      </c>
      <c r="E126" s="9" t="s">
        <v>14</v>
      </c>
      <c r="F126" s="10">
        <v>2045</v>
      </c>
      <c r="G126" s="11">
        <v>44754</v>
      </c>
      <c r="H126" s="14">
        <f t="shared" si="2"/>
        <v>2022</v>
      </c>
      <c r="I126" s="12">
        <f>306.6*58298</f>
        <v>17874166.800000001</v>
      </c>
      <c r="J126" s="10">
        <v>1548</v>
      </c>
      <c r="K126" s="11">
        <v>45048</v>
      </c>
      <c r="L126" s="14">
        <f t="shared" si="3"/>
        <v>2023</v>
      </c>
      <c r="M126" s="12">
        <v>19128160</v>
      </c>
    </row>
    <row r="127" spans="1:13" ht="15.75" hidden="1" customHeight="1" x14ac:dyDescent="0.25">
      <c r="A127" s="9" t="s">
        <v>10</v>
      </c>
      <c r="B127" s="9" t="s">
        <v>32</v>
      </c>
      <c r="C127" s="10" t="s">
        <v>21</v>
      </c>
      <c r="D127" s="9" t="s">
        <v>13</v>
      </c>
      <c r="E127" s="9" t="s">
        <v>14</v>
      </c>
      <c r="F127" s="10">
        <v>2044</v>
      </c>
      <c r="G127" s="11">
        <v>44754</v>
      </c>
      <c r="H127" s="14">
        <f t="shared" si="2"/>
        <v>2022</v>
      </c>
      <c r="I127" s="12">
        <f>1388.1*58298</f>
        <v>80923453.799999997</v>
      </c>
      <c r="J127" s="10">
        <v>1405</v>
      </c>
      <c r="K127" s="11">
        <v>45042</v>
      </c>
      <c r="L127" s="14">
        <f t="shared" si="3"/>
        <v>2023</v>
      </c>
      <c r="M127" s="12">
        <v>86600782</v>
      </c>
    </row>
    <row r="128" spans="1:13" ht="15.75" hidden="1" customHeight="1" x14ac:dyDescent="0.25">
      <c r="A128" s="9" t="s">
        <v>10</v>
      </c>
      <c r="B128" s="9" t="s">
        <v>32</v>
      </c>
      <c r="C128" s="10" t="s">
        <v>21</v>
      </c>
      <c r="D128" s="9" t="s">
        <v>13</v>
      </c>
      <c r="E128" s="9" t="s">
        <v>14</v>
      </c>
      <c r="F128" s="10">
        <v>2043</v>
      </c>
      <c r="G128" s="11">
        <v>44754</v>
      </c>
      <c r="H128" s="14">
        <f t="shared" si="2"/>
        <v>2022</v>
      </c>
      <c r="I128" s="12">
        <f>1101.8*58298</f>
        <v>64232736.399999999</v>
      </c>
      <c r="J128" s="10">
        <v>753</v>
      </c>
      <c r="K128" s="11">
        <v>44984</v>
      </c>
      <c r="L128" s="14">
        <f t="shared" si="3"/>
        <v>2023</v>
      </c>
      <c r="M128" s="12">
        <v>65658849</v>
      </c>
    </row>
    <row r="129" spans="1:13" ht="15.75" hidden="1" customHeight="1" x14ac:dyDescent="0.25">
      <c r="A129" s="9" t="s">
        <v>10</v>
      </c>
      <c r="B129" s="9" t="s">
        <v>32</v>
      </c>
      <c r="C129" s="10" t="s">
        <v>21</v>
      </c>
      <c r="D129" s="9" t="s">
        <v>13</v>
      </c>
      <c r="E129" s="9" t="s">
        <v>14</v>
      </c>
      <c r="F129" s="10">
        <v>2042</v>
      </c>
      <c r="G129" s="11">
        <v>44754</v>
      </c>
      <c r="H129" s="14">
        <f t="shared" si="2"/>
        <v>2022</v>
      </c>
      <c r="I129" s="12">
        <f>850.5*58298</f>
        <v>49582449</v>
      </c>
      <c r="J129" s="10">
        <v>1103</v>
      </c>
      <c r="K129" s="11">
        <v>45016</v>
      </c>
      <c r="L129" s="14">
        <f t="shared" si="3"/>
        <v>2023</v>
      </c>
      <c r="M129" s="12">
        <v>47168485</v>
      </c>
    </row>
    <row r="130" spans="1:13" ht="15.75" hidden="1" customHeight="1" x14ac:dyDescent="0.25">
      <c r="A130" s="9" t="s">
        <v>59</v>
      </c>
      <c r="B130" s="9" t="s">
        <v>32</v>
      </c>
      <c r="C130" s="10" t="s">
        <v>21</v>
      </c>
      <c r="D130" s="9" t="s">
        <v>83</v>
      </c>
      <c r="E130" s="9" t="s">
        <v>72</v>
      </c>
      <c r="F130" s="10">
        <v>1932</v>
      </c>
      <c r="G130" s="11">
        <v>44748</v>
      </c>
      <c r="H130" s="14">
        <f t="shared" ref="H130:H193" si="4">YEAR(G130)</f>
        <v>2022</v>
      </c>
      <c r="I130" s="12">
        <f>3386.31*58298</f>
        <v>197415100.38</v>
      </c>
      <c r="J130" s="10">
        <v>947</v>
      </c>
      <c r="K130" s="11">
        <v>45005</v>
      </c>
      <c r="L130" s="14">
        <f t="shared" ref="L130:L193" si="5">YEAR(K130)</f>
        <v>2023</v>
      </c>
      <c r="M130" s="12">
        <v>211475060</v>
      </c>
    </row>
    <row r="131" spans="1:13" ht="15.75" hidden="1" customHeight="1" x14ac:dyDescent="0.25">
      <c r="A131" s="9" t="s">
        <v>59</v>
      </c>
      <c r="B131" s="9" t="s">
        <v>32</v>
      </c>
      <c r="C131" s="10" t="s">
        <v>21</v>
      </c>
      <c r="D131" s="9" t="s">
        <v>83</v>
      </c>
      <c r="E131" s="9" t="s">
        <v>72</v>
      </c>
      <c r="F131" s="10">
        <v>1935</v>
      </c>
      <c r="G131" s="11">
        <v>44748</v>
      </c>
      <c r="H131" s="14">
        <f t="shared" si="4"/>
        <v>2022</v>
      </c>
      <c r="I131" s="12">
        <f>2439.96*58298</f>
        <v>142244788.08000001</v>
      </c>
      <c r="J131" s="10">
        <v>1128</v>
      </c>
      <c r="K131" s="11">
        <v>45016</v>
      </c>
      <c r="L131" s="14">
        <f t="shared" si="5"/>
        <v>2023</v>
      </c>
      <c r="M131" s="12">
        <v>152375502</v>
      </c>
    </row>
    <row r="132" spans="1:13" ht="15.75" hidden="1" customHeight="1" x14ac:dyDescent="0.25">
      <c r="A132" s="9" t="s">
        <v>59</v>
      </c>
      <c r="B132" s="9" t="s">
        <v>32</v>
      </c>
      <c r="C132" s="10" t="s">
        <v>21</v>
      </c>
      <c r="D132" s="9" t="s">
        <v>83</v>
      </c>
      <c r="E132" s="9" t="s">
        <v>72</v>
      </c>
      <c r="F132" s="10">
        <v>1933</v>
      </c>
      <c r="G132" s="11">
        <v>44748</v>
      </c>
      <c r="H132" s="14">
        <f t="shared" si="4"/>
        <v>2022</v>
      </c>
      <c r="I132" s="12">
        <f>204.14*58298</f>
        <v>11900953.719999999</v>
      </c>
      <c r="J132" s="10">
        <v>459</v>
      </c>
      <c r="K132" s="11">
        <v>44964</v>
      </c>
      <c r="L132" s="14">
        <f t="shared" si="5"/>
        <v>2023</v>
      </c>
      <c r="M132" s="12">
        <v>12647290</v>
      </c>
    </row>
    <row r="133" spans="1:13" ht="15.75" hidden="1" customHeight="1" x14ac:dyDescent="0.25">
      <c r="A133" s="9" t="s">
        <v>10</v>
      </c>
      <c r="B133" s="9" t="s">
        <v>32</v>
      </c>
      <c r="C133" s="10" t="s">
        <v>21</v>
      </c>
      <c r="D133" s="9" t="s">
        <v>83</v>
      </c>
      <c r="E133" s="9" t="s">
        <v>72</v>
      </c>
      <c r="F133" s="10">
        <v>2909</v>
      </c>
      <c r="G133" s="11">
        <v>44834</v>
      </c>
      <c r="H133" s="14">
        <f t="shared" si="4"/>
        <v>2022</v>
      </c>
      <c r="I133" s="12">
        <f>6649.19*59595</f>
        <v>396258478.04999995</v>
      </c>
      <c r="J133" s="10">
        <v>278</v>
      </c>
      <c r="K133" s="11">
        <v>44953</v>
      </c>
      <c r="L133" s="14">
        <f t="shared" si="5"/>
        <v>2023</v>
      </c>
      <c r="M133" s="12">
        <v>410713817</v>
      </c>
    </row>
    <row r="134" spans="1:13" ht="15.75" hidden="1" customHeight="1" x14ac:dyDescent="0.25">
      <c r="A134" s="9" t="s">
        <v>59</v>
      </c>
      <c r="B134" s="9" t="s">
        <v>32</v>
      </c>
      <c r="C134" s="10" t="s">
        <v>21</v>
      </c>
      <c r="D134" s="9" t="s">
        <v>83</v>
      </c>
      <c r="E134" s="9" t="s">
        <v>72</v>
      </c>
      <c r="F134" s="10">
        <v>1934</v>
      </c>
      <c r="G134" s="11">
        <v>44748</v>
      </c>
      <c r="H134" s="14">
        <f t="shared" si="4"/>
        <v>2022</v>
      </c>
      <c r="I134" s="12">
        <f>3073.96*58298</f>
        <v>179205720.08000001</v>
      </c>
      <c r="J134" s="10">
        <v>1118</v>
      </c>
      <c r="K134" s="11">
        <v>45016</v>
      </c>
      <c r="L134" s="14">
        <f t="shared" si="5"/>
        <v>2023</v>
      </c>
      <c r="M134" s="12">
        <v>191541644</v>
      </c>
    </row>
    <row r="135" spans="1:13" ht="15.75" hidden="1" customHeight="1" x14ac:dyDescent="0.25">
      <c r="A135" s="9" t="s">
        <v>10</v>
      </c>
      <c r="B135" s="9" t="s">
        <v>55</v>
      </c>
      <c r="C135" s="10" t="s">
        <v>56</v>
      </c>
      <c r="D135" s="9" t="s">
        <v>25</v>
      </c>
      <c r="E135" s="9" t="s">
        <v>14</v>
      </c>
      <c r="F135" s="10">
        <v>3768</v>
      </c>
      <c r="G135" s="11">
        <v>44908</v>
      </c>
      <c r="H135" s="14">
        <f t="shared" si="4"/>
        <v>2022</v>
      </c>
      <c r="I135" s="12">
        <f>1598.1*61157</f>
        <v>97735001.699999988</v>
      </c>
      <c r="J135" s="10">
        <v>474</v>
      </c>
      <c r="K135" s="11">
        <v>44964</v>
      </c>
      <c r="L135" s="14">
        <f t="shared" si="5"/>
        <v>2023</v>
      </c>
      <c r="M135" s="12">
        <v>86301922</v>
      </c>
    </row>
    <row r="136" spans="1:13" ht="15.75" hidden="1" customHeight="1" x14ac:dyDescent="0.25">
      <c r="A136" s="9" t="s">
        <v>59</v>
      </c>
      <c r="B136" s="9" t="s">
        <v>55</v>
      </c>
      <c r="C136" s="10" t="s">
        <v>56</v>
      </c>
      <c r="D136" s="9" t="s">
        <v>25</v>
      </c>
      <c r="E136" s="9" t="s">
        <v>72</v>
      </c>
      <c r="F136" s="10">
        <v>2004</v>
      </c>
      <c r="G136" s="11">
        <v>44749</v>
      </c>
      <c r="H136" s="14">
        <f t="shared" si="4"/>
        <v>2022</v>
      </c>
      <c r="I136" s="12">
        <v>7295786</v>
      </c>
      <c r="J136" s="10">
        <v>6110</v>
      </c>
      <c r="K136" s="11">
        <v>45251</v>
      </c>
      <c r="L136" s="14">
        <f t="shared" si="5"/>
        <v>2023</v>
      </c>
      <c r="M136" s="12">
        <v>7295794</v>
      </c>
    </row>
    <row r="137" spans="1:13" ht="15.75" hidden="1" customHeight="1" x14ac:dyDescent="0.25">
      <c r="A137" s="9" t="s">
        <v>10</v>
      </c>
      <c r="B137" s="9" t="s">
        <v>55</v>
      </c>
      <c r="C137" s="10" t="s">
        <v>56</v>
      </c>
      <c r="D137" s="9" t="s">
        <v>25</v>
      </c>
      <c r="E137" s="9" t="s">
        <v>72</v>
      </c>
      <c r="F137" s="10">
        <v>2005</v>
      </c>
      <c r="G137" s="11">
        <v>44749</v>
      </c>
      <c r="H137" s="14">
        <f t="shared" si="4"/>
        <v>2022</v>
      </c>
      <c r="I137" s="12">
        <v>5409344</v>
      </c>
      <c r="J137" s="10">
        <v>6150</v>
      </c>
      <c r="K137" s="11">
        <v>45253</v>
      </c>
      <c r="L137" s="14">
        <f t="shared" si="5"/>
        <v>2023</v>
      </c>
      <c r="M137" s="12">
        <v>5409344</v>
      </c>
    </row>
    <row r="138" spans="1:13" ht="15.75" hidden="1" customHeight="1" x14ac:dyDescent="0.25">
      <c r="A138" s="9" t="s">
        <v>15</v>
      </c>
      <c r="B138" s="9" t="s">
        <v>55</v>
      </c>
      <c r="C138" s="10" t="s">
        <v>56</v>
      </c>
      <c r="D138" s="9" t="s">
        <v>25</v>
      </c>
      <c r="E138" s="9" t="s">
        <v>65</v>
      </c>
      <c r="F138" s="10">
        <v>2063</v>
      </c>
      <c r="G138" s="11">
        <v>44754</v>
      </c>
      <c r="H138" s="14">
        <f t="shared" si="4"/>
        <v>2022</v>
      </c>
      <c r="I138" s="12">
        <v>469320</v>
      </c>
      <c r="J138" s="10">
        <v>499</v>
      </c>
      <c r="K138" s="11">
        <v>44964</v>
      </c>
      <c r="L138" s="14">
        <f t="shared" si="5"/>
        <v>2023</v>
      </c>
      <c r="M138" s="12">
        <v>469320</v>
      </c>
    </row>
    <row r="139" spans="1:13" ht="15.75" hidden="1" customHeight="1" x14ac:dyDescent="0.25">
      <c r="A139" s="9" t="s">
        <v>59</v>
      </c>
      <c r="B139" s="9" t="s">
        <v>55</v>
      </c>
      <c r="C139" s="10" t="s">
        <v>56</v>
      </c>
      <c r="D139" s="9" t="s">
        <v>25</v>
      </c>
      <c r="E139" s="9" t="s">
        <v>14</v>
      </c>
      <c r="F139" s="10">
        <v>3712</v>
      </c>
      <c r="G139" s="11">
        <v>44904</v>
      </c>
      <c r="H139" s="14">
        <f t="shared" si="4"/>
        <v>2022</v>
      </c>
      <c r="I139" s="12">
        <f>1045.45*61157</f>
        <v>63936585.650000006</v>
      </c>
      <c r="J139" s="10">
        <v>472</v>
      </c>
      <c r="K139" s="11">
        <v>44964</v>
      </c>
      <c r="L139" s="14">
        <f t="shared" si="5"/>
        <v>2023</v>
      </c>
      <c r="M139" s="12">
        <v>61191966</v>
      </c>
    </row>
    <row r="140" spans="1:13" ht="15.75" hidden="1" customHeight="1" x14ac:dyDescent="0.25">
      <c r="A140" s="9" t="s">
        <v>59</v>
      </c>
      <c r="B140" s="9" t="s">
        <v>55</v>
      </c>
      <c r="C140" s="10" t="s">
        <v>56</v>
      </c>
      <c r="D140" s="9" t="s">
        <v>25</v>
      </c>
      <c r="E140" s="9" t="s">
        <v>14</v>
      </c>
      <c r="F140" s="10">
        <v>3711</v>
      </c>
      <c r="G140" s="11">
        <v>44904</v>
      </c>
      <c r="H140" s="14">
        <f t="shared" si="4"/>
        <v>2022</v>
      </c>
      <c r="I140" s="12">
        <f>1781.85*61157</f>
        <v>108972600.44999999</v>
      </c>
      <c r="J140" s="10">
        <v>475</v>
      </c>
      <c r="K140" s="11">
        <v>44964</v>
      </c>
      <c r="L140" s="14">
        <f t="shared" si="5"/>
        <v>2023</v>
      </c>
      <c r="M140" s="12">
        <v>105817432</v>
      </c>
    </row>
    <row r="141" spans="1:13" ht="15.75" hidden="1" customHeight="1" x14ac:dyDescent="0.25">
      <c r="A141" s="9" t="s">
        <v>10</v>
      </c>
      <c r="B141" s="9" t="s">
        <v>55</v>
      </c>
      <c r="C141" s="10" t="s">
        <v>56</v>
      </c>
      <c r="D141" s="9" t="s">
        <v>25</v>
      </c>
      <c r="E141" s="9" t="s">
        <v>14</v>
      </c>
      <c r="F141" s="10">
        <v>3769</v>
      </c>
      <c r="G141" s="11">
        <v>44908</v>
      </c>
      <c r="H141" s="14">
        <f t="shared" si="4"/>
        <v>2022</v>
      </c>
      <c r="I141" s="12">
        <f>1881.95*61157</f>
        <v>115094416.15000001</v>
      </c>
      <c r="J141" s="10">
        <v>473</v>
      </c>
      <c r="K141" s="11">
        <v>44964</v>
      </c>
      <c r="L141" s="14">
        <f t="shared" si="5"/>
        <v>2023</v>
      </c>
      <c r="M141" s="12">
        <v>107487092</v>
      </c>
    </row>
    <row r="142" spans="1:13" ht="15.75" hidden="1" customHeight="1" x14ac:dyDescent="0.25">
      <c r="A142" s="9" t="s">
        <v>59</v>
      </c>
      <c r="B142" s="9" t="s">
        <v>55</v>
      </c>
      <c r="C142" s="10" t="s">
        <v>56</v>
      </c>
      <c r="D142" s="9" t="s">
        <v>25</v>
      </c>
      <c r="E142" s="9" t="s">
        <v>72</v>
      </c>
      <c r="F142" s="10">
        <v>61</v>
      </c>
      <c r="G142" s="11">
        <v>44937</v>
      </c>
      <c r="H142" s="14">
        <f t="shared" si="4"/>
        <v>2023</v>
      </c>
      <c r="I142" s="12">
        <v>7295794</v>
      </c>
      <c r="J142" s="10">
        <v>1968</v>
      </c>
      <c r="K142" s="11">
        <v>45077</v>
      </c>
      <c r="L142" s="14">
        <f t="shared" si="5"/>
        <v>2023</v>
      </c>
      <c r="M142" s="12">
        <v>7295794</v>
      </c>
    </row>
    <row r="143" spans="1:13" ht="15.75" hidden="1" customHeight="1" x14ac:dyDescent="0.25">
      <c r="A143" s="9" t="s">
        <v>10</v>
      </c>
      <c r="B143" s="9" t="s">
        <v>55</v>
      </c>
      <c r="C143" s="10" t="s">
        <v>56</v>
      </c>
      <c r="D143" s="9" t="s">
        <v>25</v>
      </c>
      <c r="E143" s="9" t="s">
        <v>72</v>
      </c>
      <c r="F143" s="10">
        <v>355</v>
      </c>
      <c r="G143" s="11">
        <v>44959</v>
      </c>
      <c r="H143" s="14">
        <f t="shared" si="4"/>
        <v>2023</v>
      </c>
      <c r="I143" s="12">
        <v>23135914</v>
      </c>
      <c r="J143" s="10">
        <v>1351</v>
      </c>
      <c r="K143" s="11">
        <v>45036</v>
      </c>
      <c r="L143" s="14">
        <f t="shared" si="5"/>
        <v>2023</v>
      </c>
      <c r="M143" s="12">
        <v>23135914</v>
      </c>
    </row>
    <row r="144" spans="1:13" ht="15.75" hidden="1" customHeight="1" x14ac:dyDescent="0.25">
      <c r="A144" s="9" t="s">
        <v>15</v>
      </c>
      <c r="B144" s="9" t="s">
        <v>55</v>
      </c>
      <c r="C144" s="10" t="s">
        <v>56</v>
      </c>
      <c r="D144" s="9" t="s">
        <v>25</v>
      </c>
      <c r="E144" s="9" t="s">
        <v>72</v>
      </c>
      <c r="F144" s="10">
        <v>626</v>
      </c>
      <c r="G144" s="11">
        <v>44978</v>
      </c>
      <c r="H144" s="14">
        <f t="shared" si="4"/>
        <v>2023</v>
      </c>
      <c r="I144" s="12">
        <v>12933429</v>
      </c>
      <c r="J144" s="10">
        <v>2090</v>
      </c>
      <c r="K144" s="11">
        <v>45079</v>
      </c>
      <c r="L144" s="14">
        <f t="shared" si="5"/>
        <v>2023</v>
      </c>
      <c r="M144" s="12">
        <v>12505749</v>
      </c>
    </row>
    <row r="145" spans="1:13" ht="15.75" hidden="1" customHeight="1" x14ac:dyDescent="0.25">
      <c r="A145" s="9" t="s">
        <v>15</v>
      </c>
      <c r="B145" s="9" t="s">
        <v>55</v>
      </c>
      <c r="C145" s="10" t="s">
        <v>56</v>
      </c>
      <c r="D145" s="9" t="s">
        <v>25</v>
      </c>
      <c r="E145" s="9" t="s">
        <v>72</v>
      </c>
      <c r="F145" s="10">
        <v>627</v>
      </c>
      <c r="G145" s="11">
        <v>44978</v>
      </c>
      <c r="H145" s="14">
        <f t="shared" si="4"/>
        <v>2023</v>
      </c>
      <c r="I145" s="12">
        <v>129526787</v>
      </c>
      <c r="J145" s="10">
        <v>2091</v>
      </c>
      <c r="K145" s="11">
        <v>45079</v>
      </c>
      <c r="L145" s="14">
        <f t="shared" si="5"/>
        <v>2023</v>
      </c>
      <c r="M145" s="12">
        <v>126283799</v>
      </c>
    </row>
    <row r="146" spans="1:13" ht="15.75" hidden="1" customHeight="1" x14ac:dyDescent="0.25">
      <c r="A146" s="9" t="s">
        <v>15</v>
      </c>
      <c r="B146" s="9" t="s">
        <v>45</v>
      </c>
      <c r="C146" s="10" t="s">
        <v>21</v>
      </c>
      <c r="D146" s="9" t="s">
        <v>13</v>
      </c>
      <c r="E146" s="9" t="s">
        <v>47</v>
      </c>
      <c r="F146" s="10">
        <v>75</v>
      </c>
      <c r="G146" s="11">
        <v>44207</v>
      </c>
      <c r="H146" s="14">
        <f t="shared" si="4"/>
        <v>2021</v>
      </c>
      <c r="I146" s="12">
        <f>497*50978</f>
        <v>25336066</v>
      </c>
      <c r="J146" s="10">
        <v>252</v>
      </c>
      <c r="K146" s="11">
        <v>44953</v>
      </c>
      <c r="L146" s="14">
        <f t="shared" si="5"/>
        <v>2023</v>
      </c>
      <c r="M146" s="12">
        <f>479.85*61789</f>
        <v>29649451.650000002</v>
      </c>
    </row>
    <row r="147" spans="1:13" ht="15.75" hidden="1" customHeight="1" x14ac:dyDescent="0.25">
      <c r="A147" s="9" t="s">
        <v>15</v>
      </c>
      <c r="B147" s="9" t="s">
        <v>45</v>
      </c>
      <c r="C147" s="10" t="s">
        <v>21</v>
      </c>
      <c r="D147" s="9" t="s">
        <v>13</v>
      </c>
      <c r="E147" s="9" t="s">
        <v>47</v>
      </c>
      <c r="F147" s="10">
        <v>74</v>
      </c>
      <c r="G147" s="11">
        <v>44207</v>
      </c>
      <c r="H147" s="14">
        <f t="shared" si="4"/>
        <v>2021</v>
      </c>
      <c r="I147" s="12">
        <v>30630483</v>
      </c>
      <c r="J147" s="10">
        <v>251</v>
      </c>
      <c r="K147" s="11">
        <v>44953</v>
      </c>
      <c r="L147" s="14">
        <f t="shared" si="5"/>
        <v>2023</v>
      </c>
      <c r="M147" s="12">
        <v>28918087</v>
      </c>
    </row>
    <row r="148" spans="1:13" ht="15.75" hidden="1" customHeight="1" x14ac:dyDescent="0.25">
      <c r="A148" s="9" t="s">
        <v>15</v>
      </c>
      <c r="B148" s="9" t="s">
        <v>45</v>
      </c>
      <c r="C148" s="10" t="s">
        <v>82</v>
      </c>
      <c r="D148" s="9" t="s">
        <v>83</v>
      </c>
      <c r="E148" s="9" t="s">
        <v>91</v>
      </c>
      <c r="F148" s="10">
        <v>808</v>
      </c>
      <c r="G148" s="11">
        <v>44634</v>
      </c>
      <c r="H148" s="14">
        <f t="shared" si="4"/>
        <v>2022</v>
      </c>
      <c r="I148" s="12">
        <v>38220683.164779998</v>
      </c>
      <c r="J148" s="10">
        <v>1898</v>
      </c>
      <c r="K148" s="11">
        <v>45077</v>
      </c>
      <c r="L148" s="14">
        <f t="shared" si="5"/>
        <v>2023</v>
      </c>
      <c r="M148" s="12">
        <v>38220683</v>
      </c>
    </row>
    <row r="149" spans="1:13" ht="15.75" hidden="1" customHeight="1" x14ac:dyDescent="0.25">
      <c r="A149" s="9" t="s">
        <v>15</v>
      </c>
      <c r="B149" s="9" t="s">
        <v>45</v>
      </c>
      <c r="C149" s="10" t="s">
        <v>82</v>
      </c>
      <c r="D149" s="9" t="s">
        <v>83</v>
      </c>
      <c r="E149" s="9" t="s">
        <v>91</v>
      </c>
      <c r="F149" s="10">
        <v>948</v>
      </c>
      <c r="G149" s="11">
        <v>44645</v>
      </c>
      <c r="H149" s="14">
        <f t="shared" si="4"/>
        <v>2022</v>
      </c>
      <c r="I149" s="12">
        <v>166485182.87553</v>
      </c>
      <c r="J149" s="10">
        <v>2035</v>
      </c>
      <c r="K149" s="11">
        <v>45077</v>
      </c>
      <c r="L149" s="14">
        <f t="shared" si="5"/>
        <v>2023</v>
      </c>
      <c r="M149" s="12">
        <v>166485183</v>
      </c>
    </row>
    <row r="150" spans="1:13" ht="15.75" hidden="1" customHeight="1" x14ac:dyDescent="0.25">
      <c r="A150" s="9" t="s">
        <v>15</v>
      </c>
      <c r="B150" s="9" t="s">
        <v>45</v>
      </c>
      <c r="C150" s="10" t="s">
        <v>82</v>
      </c>
      <c r="D150" s="9" t="s">
        <v>83</v>
      </c>
      <c r="E150" s="9" t="s">
        <v>91</v>
      </c>
      <c r="F150" s="10">
        <v>1072</v>
      </c>
      <c r="G150" s="11">
        <v>44658</v>
      </c>
      <c r="H150" s="14">
        <f t="shared" si="4"/>
        <v>2022</v>
      </c>
      <c r="I150" s="12">
        <v>106716145.39856</v>
      </c>
      <c r="J150" s="10">
        <v>515</v>
      </c>
      <c r="K150" s="11">
        <v>44964</v>
      </c>
      <c r="L150" s="14">
        <f t="shared" si="5"/>
        <v>2023</v>
      </c>
      <c r="M150" s="12">
        <v>106716145</v>
      </c>
    </row>
    <row r="151" spans="1:13" ht="15.75" hidden="1" customHeight="1" x14ac:dyDescent="0.25">
      <c r="A151" s="9" t="s">
        <v>15</v>
      </c>
      <c r="B151" s="9" t="s">
        <v>45</v>
      </c>
      <c r="C151" s="10" t="s">
        <v>82</v>
      </c>
      <c r="D151" s="9" t="s">
        <v>83</v>
      </c>
      <c r="E151" s="9" t="s">
        <v>91</v>
      </c>
      <c r="F151" s="10">
        <v>1139</v>
      </c>
      <c r="G151" s="11">
        <v>44663</v>
      </c>
      <c r="H151" s="14">
        <f t="shared" si="4"/>
        <v>2022</v>
      </c>
      <c r="I151" s="12">
        <v>81048141.161245003</v>
      </c>
      <c r="J151" s="10">
        <v>750</v>
      </c>
      <c r="K151" s="11">
        <v>44984</v>
      </c>
      <c r="L151" s="14">
        <f t="shared" si="5"/>
        <v>2023</v>
      </c>
      <c r="M151" s="12">
        <v>81048141</v>
      </c>
    </row>
    <row r="152" spans="1:13" ht="15.75" hidden="1" customHeight="1" x14ac:dyDescent="0.25">
      <c r="A152" s="9" t="s">
        <v>15</v>
      </c>
      <c r="B152" s="9" t="s">
        <v>45</v>
      </c>
      <c r="C152" s="10" t="s">
        <v>21</v>
      </c>
      <c r="D152" s="9" t="s">
        <v>83</v>
      </c>
      <c r="E152" s="9" t="s">
        <v>72</v>
      </c>
      <c r="F152" s="10">
        <v>1626</v>
      </c>
      <c r="G152" s="11">
        <v>44713</v>
      </c>
      <c r="H152" s="14">
        <f t="shared" si="4"/>
        <v>2022</v>
      </c>
      <c r="I152" s="12">
        <f>3923*57557</f>
        <v>225796111</v>
      </c>
      <c r="J152" s="10">
        <v>1135</v>
      </c>
      <c r="K152" s="11">
        <v>45016</v>
      </c>
      <c r="L152" s="14">
        <f t="shared" si="5"/>
        <v>2023</v>
      </c>
      <c r="M152" s="12">
        <f>3613*62450</f>
        <v>225631850</v>
      </c>
    </row>
    <row r="153" spans="1:13" ht="15.75" hidden="1" customHeight="1" x14ac:dyDescent="0.25">
      <c r="A153" s="9" t="s">
        <v>15</v>
      </c>
      <c r="B153" s="9" t="s">
        <v>45</v>
      </c>
      <c r="C153" s="10" t="s">
        <v>21</v>
      </c>
      <c r="D153" s="9" t="s">
        <v>83</v>
      </c>
      <c r="E153" s="9" t="s">
        <v>72</v>
      </c>
      <c r="F153" s="10">
        <v>1649</v>
      </c>
      <c r="G153" s="11">
        <v>44714</v>
      </c>
      <c r="H153" s="14">
        <f t="shared" si="4"/>
        <v>2022</v>
      </c>
      <c r="I153" s="12">
        <f>1867*57557</f>
        <v>107458919</v>
      </c>
      <c r="J153" s="10">
        <v>1108</v>
      </c>
      <c r="K153" s="11">
        <v>45016</v>
      </c>
      <c r="L153" s="14">
        <f t="shared" si="5"/>
        <v>2023</v>
      </c>
      <c r="M153" s="12">
        <f>1867*62450</f>
        <v>116594150</v>
      </c>
    </row>
    <row r="154" spans="1:13" ht="15.75" hidden="1" customHeight="1" x14ac:dyDescent="0.25">
      <c r="A154" s="9" t="s">
        <v>10</v>
      </c>
      <c r="B154" s="9" t="s">
        <v>45</v>
      </c>
      <c r="C154" s="10" t="s">
        <v>21</v>
      </c>
      <c r="D154" s="9" t="s">
        <v>22</v>
      </c>
      <c r="E154" s="9" t="s">
        <v>14</v>
      </c>
      <c r="F154" s="10">
        <v>2072</v>
      </c>
      <c r="G154" s="11">
        <v>44754</v>
      </c>
      <c r="H154" s="14">
        <f t="shared" si="4"/>
        <v>2022</v>
      </c>
      <c r="I154" s="12">
        <f>299.25*58298</f>
        <v>17445676.5</v>
      </c>
      <c r="J154" s="10">
        <v>5974</v>
      </c>
      <c r="K154" s="11">
        <v>45240</v>
      </c>
      <c r="L154" s="14">
        <f t="shared" si="5"/>
        <v>2023</v>
      </c>
      <c r="M154" s="12">
        <v>299.25</v>
      </c>
    </row>
    <row r="155" spans="1:13" ht="15.75" hidden="1" customHeight="1" x14ac:dyDescent="0.25">
      <c r="A155" s="9" t="s">
        <v>10</v>
      </c>
      <c r="B155" s="9" t="s">
        <v>45</v>
      </c>
      <c r="C155" s="10" t="s">
        <v>21</v>
      </c>
      <c r="D155" s="9" t="s">
        <v>13</v>
      </c>
      <c r="E155" s="9" t="s">
        <v>14</v>
      </c>
      <c r="F155" s="10">
        <v>2073</v>
      </c>
      <c r="G155" s="11">
        <v>44754</v>
      </c>
      <c r="H155" s="14">
        <f t="shared" si="4"/>
        <v>2022</v>
      </c>
      <c r="I155" s="12" t="s">
        <v>96</v>
      </c>
      <c r="J155" s="10">
        <v>829</v>
      </c>
      <c r="K155" s="11">
        <v>44993</v>
      </c>
      <c r="L155" s="14">
        <f t="shared" si="5"/>
        <v>2023</v>
      </c>
      <c r="M155" s="12">
        <v>59435570</v>
      </c>
    </row>
    <row r="156" spans="1:13" ht="15.75" hidden="1" customHeight="1" x14ac:dyDescent="0.25">
      <c r="A156" s="9" t="s">
        <v>10</v>
      </c>
      <c r="B156" s="9" t="s">
        <v>45</v>
      </c>
      <c r="C156" s="10" t="s">
        <v>21</v>
      </c>
      <c r="D156" s="9" t="s">
        <v>83</v>
      </c>
      <c r="E156" s="9" t="s">
        <v>72</v>
      </c>
      <c r="F156" s="10">
        <v>2949</v>
      </c>
      <c r="G156" s="11">
        <v>44834</v>
      </c>
      <c r="H156" s="14">
        <f t="shared" si="4"/>
        <v>2022</v>
      </c>
      <c r="I156" s="12">
        <f>1291.35*59595</f>
        <v>76958003.25</v>
      </c>
      <c r="J156" s="10">
        <v>1106</v>
      </c>
      <c r="K156" s="11">
        <v>45016</v>
      </c>
      <c r="L156" s="14">
        <f t="shared" si="5"/>
        <v>2023</v>
      </c>
      <c r="M156" s="12">
        <f>1291.35*62450</f>
        <v>80644807.5</v>
      </c>
    </row>
    <row r="157" spans="1:13" ht="15.75" hidden="1" customHeight="1" x14ac:dyDescent="0.25">
      <c r="A157" s="9" t="s">
        <v>10</v>
      </c>
      <c r="B157" s="9" t="s">
        <v>45</v>
      </c>
      <c r="C157" s="10" t="s">
        <v>21</v>
      </c>
      <c r="D157" s="9" t="s">
        <v>83</v>
      </c>
      <c r="E157" s="9" t="s">
        <v>72</v>
      </c>
      <c r="F157" s="10">
        <v>2948</v>
      </c>
      <c r="G157" s="11">
        <v>44834</v>
      </c>
      <c r="H157" s="14">
        <f t="shared" si="4"/>
        <v>2022</v>
      </c>
      <c r="I157" s="12">
        <f>2472.78*59595</f>
        <v>147365324.10000002</v>
      </c>
      <c r="J157" s="10">
        <v>1112</v>
      </c>
      <c r="K157" s="11">
        <v>45016</v>
      </c>
      <c r="L157" s="14">
        <f t="shared" si="5"/>
        <v>2023</v>
      </c>
      <c r="M157" s="12">
        <f>2472.78*62450</f>
        <v>154425111</v>
      </c>
    </row>
    <row r="158" spans="1:13" ht="15.75" hidden="1" customHeight="1" x14ac:dyDescent="0.25">
      <c r="A158" s="9" t="s">
        <v>57</v>
      </c>
      <c r="B158" s="9" t="s">
        <v>45</v>
      </c>
      <c r="C158" s="10" t="s">
        <v>21</v>
      </c>
      <c r="D158" s="9" t="s">
        <v>13</v>
      </c>
      <c r="E158" s="9" t="s">
        <v>58</v>
      </c>
      <c r="F158" s="10">
        <v>1905</v>
      </c>
      <c r="G158" s="11">
        <v>44748</v>
      </c>
      <c r="H158" s="14">
        <f t="shared" si="4"/>
        <v>2022</v>
      </c>
      <c r="I158" s="12">
        <f>5.25*58298</f>
        <v>306064.5</v>
      </c>
      <c r="J158" s="10">
        <v>69</v>
      </c>
      <c r="K158" s="11">
        <v>44937</v>
      </c>
      <c r="L158" s="14">
        <f t="shared" si="5"/>
        <v>2023</v>
      </c>
      <c r="M158" s="12">
        <v>324287</v>
      </c>
    </row>
    <row r="159" spans="1:13" ht="15.75" hidden="1" customHeight="1" x14ac:dyDescent="0.25">
      <c r="A159" s="9" t="s">
        <v>15</v>
      </c>
      <c r="B159" s="9" t="s">
        <v>67</v>
      </c>
      <c r="C159" s="10" t="s">
        <v>39</v>
      </c>
      <c r="D159" s="9" t="s">
        <v>40</v>
      </c>
      <c r="E159" s="9" t="s">
        <v>65</v>
      </c>
      <c r="F159" s="10">
        <v>355</v>
      </c>
      <c r="G159" s="11">
        <v>44515</v>
      </c>
      <c r="H159" s="14">
        <f t="shared" si="4"/>
        <v>2021</v>
      </c>
      <c r="I159" s="12">
        <f>9.9*53476</f>
        <v>529412.4</v>
      </c>
      <c r="J159" s="10">
        <v>867</v>
      </c>
      <c r="K159" s="11">
        <v>44995</v>
      </c>
      <c r="L159" s="14">
        <f t="shared" si="5"/>
        <v>2023</v>
      </c>
      <c r="M159" s="12">
        <v>529412</v>
      </c>
    </row>
    <row r="160" spans="1:13" ht="15.75" hidden="1" customHeight="1" x14ac:dyDescent="0.25">
      <c r="A160" s="9" t="s">
        <v>15</v>
      </c>
      <c r="B160" s="9" t="s">
        <v>67</v>
      </c>
      <c r="C160" s="10" t="s">
        <v>17</v>
      </c>
      <c r="D160" s="9" t="s">
        <v>34</v>
      </c>
      <c r="E160" s="9" t="s">
        <v>73</v>
      </c>
      <c r="F160" s="10">
        <v>1029</v>
      </c>
      <c r="G160" s="11">
        <v>45013</v>
      </c>
      <c r="H160" s="14">
        <f t="shared" si="4"/>
        <v>2023</v>
      </c>
      <c r="I160" s="12">
        <f>2400*62450</f>
        <v>149880000</v>
      </c>
      <c r="J160" s="10">
        <v>5527</v>
      </c>
      <c r="K160" s="11">
        <v>45205</v>
      </c>
      <c r="L160" s="14">
        <f t="shared" si="5"/>
        <v>2023</v>
      </c>
      <c r="M160" s="12">
        <v>152436000</v>
      </c>
    </row>
    <row r="161" spans="1:13" ht="15.75" hidden="1" customHeight="1" x14ac:dyDescent="0.25">
      <c r="A161" s="9" t="s">
        <v>59</v>
      </c>
      <c r="B161" s="9" t="s">
        <v>67</v>
      </c>
      <c r="C161" s="10" t="s">
        <v>17</v>
      </c>
      <c r="D161" s="9" t="s">
        <v>34</v>
      </c>
      <c r="E161" s="9" t="s">
        <v>14</v>
      </c>
      <c r="F161" s="10">
        <v>1446</v>
      </c>
      <c r="G161" s="11">
        <v>45042</v>
      </c>
      <c r="H161" s="14">
        <f t="shared" si="4"/>
        <v>2023</v>
      </c>
      <c r="I161" s="12">
        <f>1835.75*60386</f>
        <v>110853599.5</v>
      </c>
      <c r="J161" s="10">
        <v>5238</v>
      </c>
      <c r="K161" s="11">
        <v>45189</v>
      </c>
      <c r="L161" s="14">
        <f t="shared" si="5"/>
        <v>2023</v>
      </c>
      <c r="M161" s="12">
        <v>116482009</v>
      </c>
    </row>
    <row r="162" spans="1:13" ht="15.75" hidden="1" customHeight="1" x14ac:dyDescent="0.25">
      <c r="A162" s="9" t="s">
        <v>10</v>
      </c>
      <c r="B162" s="9" t="s">
        <v>67</v>
      </c>
      <c r="C162" s="10" t="s">
        <v>17</v>
      </c>
      <c r="D162" s="9" t="s">
        <v>34</v>
      </c>
      <c r="E162" s="9" t="s">
        <v>14</v>
      </c>
      <c r="F162" s="10">
        <v>1451</v>
      </c>
      <c r="G162" s="11">
        <v>45042</v>
      </c>
      <c r="H162" s="14">
        <f t="shared" si="4"/>
        <v>2023</v>
      </c>
      <c r="I162" s="12">
        <f>5.92*60386</f>
        <v>357485.12</v>
      </c>
      <c r="J162" s="10">
        <v>5140</v>
      </c>
      <c r="K162" s="11">
        <v>45177</v>
      </c>
      <c r="L162" s="14">
        <f t="shared" si="5"/>
        <v>2023</v>
      </c>
      <c r="M162" s="12">
        <v>375636</v>
      </c>
    </row>
    <row r="163" spans="1:13" ht="15.75" hidden="1" customHeight="1" x14ac:dyDescent="0.25">
      <c r="A163" s="9" t="s">
        <v>10</v>
      </c>
      <c r="B163" s="9" t="s">
        <v>67</v>
      </c>
      <c r="C163" s="10" t="s">
        <v>17</v>
      </c>
      <c r="D163" s="9" t="s">
        <v>34</v>
      </c>
      <c r="E163" s="9" t="s">
        <v>14</v>
      </c>
      <c r="F163" s="10">
        <v>1908</v>
      </c>
      <c r="G163" s="11">
        <v>45077</v>
      </c>
      <c r="H163" s="14">
        <f t="shared" si="4"/>
        <v>2023</v>
      </c>
      <c r="I163" s="12">
        <f>4417.7*63074</f>
        <v>278642009.80000001</v>
      </c>
      <c r="J163" s="10">
        <v>6372</v>
      </c>
      <c r="K163" s="11">
        <v>45270</v>
      </c>
      <c r="L163" s="14">
        <f t="shared" si="5"/>
        <v>2023</v>
      </c>
      <c r="M163" s="12">
        <v>282556092</v>
      </c>
    </row>
    <row r="164" spans="1:13" ht="15.75" hidden="1" customHeight="1" x14ac:dyDescent="0.25">
      <c r="A164" s="9" t="s">
        <v>10</v>
      </c>
      <c r="B164" s="9" t="s">
        <v>67</v>
      </c>
      <c r="C164" s="10" t="s">
        <v>17</v>
      </c>
      <c r="D164" s="9" t="s">
        <v>34</v>
      </c>
      <c r="E164" s="9" t="s">
        <v>14</v>
      </c>
      <c r="F164" s="10">
        <v>1987</v>
      </c>
      <c r="G164" s="11">
        <v>45077</v>
      </c>
      <c r="H164" s="14">
        <f t="shared" si="4"/>
        <v>2023</v>
      </c>
      <c r="I164" s="12">
        <f>25.76*63074</f>
        <v>1624786.24</v>
      </c>
      <c r="J164" s="10">
        <v>5149</v>
      </c>
      <c r="K164" s="11">
        <v>45177</v>
      </c>
      <c r="L164" s="14">
        <f t="shared" si="5"/>
        <v>2023</v>
      </c>
      <c r="M164" s="12">
        <v>1634524</v>
      </c>
    </row>
    <row r="165" spans="1:13" ht="15.75" hidden="1" customHeight="1" x14ac:dyDescent="0.25">
      <c r="A165" s="9" t="s">
        <v>10</v>
      </c>
      <c r="B165" s="9" t="s">
        <v>67</v>
      </c>
      <c r="C165" s="10" t="s">
        <v>17</v>
      </c>
      <c r="D165" s="9" t="s">
        <v>34</v>
      </c>
      <c r="E165" s="9" t="s">
        <v>14</v>
      </c>
      <c r="F165" s="10">
        <v>1990</v>
      </c>
      <c r="G165" s="11">
        <v>45077</v>
      </c>
      <c r="H165" s="14">
        <f t="shared" si="4"/>
        <v>2023</v>
      </c>
      <c r="I165" s="12">
        <f>34.52*63074</f>
        <v>2177314.48</v>
      </c>
      <c r="J165" s="10">
        <v>5150</v>
      </c>
      <c r="K165" s="11">
        <v>45177</v>
      </c>
      <c r="L165" s="14">
        <f t="shared" si="5"/>
        <v>2023</v>
      </c>
      <c r="M165" s="12">
        <v>2190363</v>
      </c>
    </row>
    <row r="166" spans="1:13" ht="15.75" hidden="1" customHeight="1" x14ac:dyDescent="0.25">
      <c r="A166" s="9" t="s">
        <v>59</v>
      </c>
      <c r="B166" s="9" t="s">
        <v>67</v>
      </c>
      <c r="C166" s="10" t="s">
        <v>17</v>
      </c>
      <c r="D166" s="9" t="s">
        <v>34</v>
      </c>
      <c r="E166" s="9" t="s">
        <v>14</v>
      </c>
      <c r="F166" s="10">
        <v>1993</v>
      </c>
      <c r="G166" s="11">
        <v>45077</v>
      </c>
      <c r="H166" s="14">
        <f t="shared" si="4"/>
        <v>2023</v>
      </c>
      <c r="I166" s="12">
        <f>7.84*63074</f>
        <v>494500.16</v>
      </c>
      <c r="J166" s="10">
        <v>5072</v>
      </c>
      <c r="K166" s="11">
        <v>45175</v>
      </c>
      <c r="L166" s="14">
        <f t="shared" si="5"/>
        <v>2023</v>
      </c>
      <c r="M166" s="12">
        <v>497464</v>
      </c>
    </row>
    <row r="167" spans="1:13" ht="15.75" hidden="1" customHeight="1" x14ac:dyDescent="0.25">
      <c r="A167" s="9" t="s">
        <v>10</v>
      </c>
      <c r="B167" s="9" t="s">
        <v>52</v>
      </c>
      <c r="C167" s="10" t="s">
        <v>56</v>
      </c>
      <c r="D167" s="9" t="s">
        <v>37</v>
      </c>
      <c r="E167" s="9" t="s">
        <v>14</v>
      </c>
      <c r="F167" s="10">
        <v>3773</v>
      </c>
      <c r="G167" s="11">
        <v>44908</v>
      </c>
      <c r="H167" s="14">
        <f t="shared" si="4"/>
        <v>2022</v>
      </c>
      <c r="I167" s="12">
        <f>910*61157</f>
        <v>55652870</v>
      </c>
      <c r="J167" s="10">
        <v>172</v>
      </c>
      <c r="K167" s="11">
        <v>44949</v>
      </c>
      <c r="L167" s="14">
        <f t="shared" si="5"/>
        <v>2023</v>
      </c>
      <c r="M167" s="12">
        <v>44944631</v>
      </c>
    </row>
    <row r="168" spans="1:13" ht="15.75" hidden="1" customHeight="1" x14ac:dyDescent="0.25">
      <c r="A168" s="9" t="s">
        <v>59</v>
      </c>
      <c r="B168" s="9" t="s">
        <v>52</v>
      </c>
      <c r="C168" s="10" t="s">
        <v>56</v>
      </c>
      <c r="D168" s="9" t="s">
        <v>13</v>
      </c>
      <c r="E168" s="9" t="s">
        <v>14</v>
      </c>
      <c r="F168" s="10">
        <v>3703</v>
      </c>
      <c r="G168" s="11">
        <v>44904</v>
      </c>
      <c r="H168" s="14">
        <f t="shared" si="4"/>
        <v>2022</v>
      </c>
      <c r="I168" s="12">
        <f>453.25*61157</f>
        <v>27719410.25</v>
      </c>
      <c r="J168" s="10">
        <v>171</v>
      </c>
      <c r="K168" s="11">
        <v>44949</v>
      </c>
      <c r="L168" s="14">
        <f t="shared" si="5"/>
        <v>2023</v>
      </c>
      <c r="M168" s="12">
        <v>22189564</v>
      </c>
    </row>
    <row r="169" spans="1:13" ht="15.75" hidden="1" customHeight="1" x14ac:dyDescent="0.25">
      <c r="A169" s="9" t="s">
        <v>59</v>
      </c>
      <c r="B169" s="9" t="s">
        <v>52</v>
      </c>
      <c r="C169" s="10" t="s">
        <v>56</v>
      </c>
      <c r="D169" s="9" t="s">
        <v>37</v>
      </c>
      <c r="E169" s="9" t="s">
        <v>14</v>
      </c>
      <c r="F169" s="10">
        <v>3702</v>
      </c>
      <c r="G169" s="11">
        <v>44904</v>
      </c>
      <c r="H169" s="14">
        <f t="shared" si="4"/>
        <v>2022</v>
      </c>
      <c r="I169" s="12">
        <f>369.6*61157</f>
        <v>22603627.200000003</v>
      </c>
      <c r="J169" s="10">
        <v>170</v>
      </c>
      <c r="K169" s="11">
        <v>44949</v>
      </c>
      <c r="L169" s="14">
        <f t="shared" si="5"/>
        <v>2023</v>
      </c>
      <c r="M169" s="12">
        <v>18149582</v>
      </c>
    </row>
    <row r="170" spans="1:13" ht="15.75" hidden="1" customHeight="1" x14ac:dyDescent="0.25">
      <c r="A170" s="9" t="s">
        <v>10</v>
      </c>
      <c r="B170" s="9" t="s">
        <v>52</v>
      </c>
      <c r="C170" s="10" t="s">
        <v>56</v>
      </c>
      <c r="D170" s="9" t="s">
        <v>13</v>
      </c>
      <c r="E170" s="9" t="s">
        <v>14</v>
      </c>
      <c r="F170" s="10">
        <v>3774</v>
      </c>
      <c r="G170" s="11">
        <v>44908</v>
      </c>
      <c r="H170" s="14">
        <f t="shared" si="4"/>
        <v>2022</v>
      </c>
      <c r="I170" s="12">
        <f>997.5*61157</f>
        <v>61004107.5</v>
      </c>
      <c r="J170" s="10">
        <v>169</v>
      </c>
      <c r="K170" s="11">
        <v>44949</v>
      </c>
      <c r="L170" s="14">
        <f t="shared" si="5"/>
        <v>2023</v>
      </c>
      <c r="M170" s="12">
        <v>48870196</v>
      </c>
    </row>
    <row r="171" spans="1:13" ht="15.75" hidden="1" customHeight="1" x14ac:dyDescent="0.25">
      <c r="A171" s="9" t="s">
        <v>15</v>
      </c>
      <c r="B171" s="9" t="s">
        <v>52</v>
      </c>
      <c r="C171" s="10" t="s">
        <v>56</v>
      </c>
      <c r="D171" s="9" t="s">
        <v>25</v>
      </c>
      <c r="E171" s="9" t="s">
        <v>19</v>
      </c>
      <c r="F171" s="10">
        <v>669</v>
      </c>
      <c r="G171" s="11">
        <v>44978</v>
      </c>
      <c r="H171" s="14">
        <f t="shared" si="4"/>
        <v>2023</v>
      </c>
      <c r="I171" s="12">
        <v>10595699</v>
      </c>
      <c r="J171" s="10">
        <v>1961</v>
      </c>
      <c r="K171" s="11">
        <v>45077</v>
      </c>
      <c r="L171" s="14">
        <f t="shared" si="5"/>
        <v>2023</v>
      </c>
      <c r="M171" s="12">
        <v>10595699</v>
      </c>
    </row>
    <row r="172" spans="1:13" ht="15.75" hidden="1" customHeight="1" x14ac:dyDescent="0.25">
      <c r="A172" s="9" t="s">
        <v>15</v>
      </c>
      <c r="B172" s="9" t="s">
        <v>52</v>
      </c>
      <c r="C172" s="10" t="s">
        <v>56</v>
      </c>
      <c r="D172" s="9" t="s">
        <v>13</v>
      </c>
      <c r="E172" s="9" t="s">
        <v>19</v>
      </c>
      <c r="F172" s="10">
        <v>668</v>
      </c>
      <c r="G172" s="11">
        <v>44978</v>
      </c>
      <c r="H172" s="14">
        <f t="shared" si="4"/>
        <v>2023</v>
      </c>
      <c r="I172" s="12">
        <v>442551</v>
      </c>
      <c r="J172" s="10">
        <v>1696</v>
      </c>
      <c r="K172" s="11">
        <v>45062</v>
      </c>
      <c r="L172" s="14">
        <f t="shared" si="5"/>
        <v>2023</v>
      </c>
      <c r="M172" s="12">
        <v>442551</v>
      </c>
    </row>
    <row r="173" spans="1:13" ht="15.75" hidden="1" customHeight="1" x14ac:dyDescent="0.25">
      <c r="A173" s="9" t="s">
        <v>15</v>
      </c>
      <c r="B173" s="9" t="s">
        <v>52</v>
      </c>
      <c r="C173" s="10" t="s">
        <v>56</v>
      </c>
      <c r="D173" s="9" t="s">
        <v>37</v>
      </c>
      <c r="E173" s="9" t="s">
        <v>19</v>
      </c>
      <c r="F173" s="10">
        <v>667</v>
      </c>
      <c r="G173" s="11">
        <v>44978</v>
      </c>
      <c r="H173" s="14">
        <f t="shared" si="4"/>
        <v>2023</v>
      </c>
      <c r="I173" s="12">
        <v>198488</v>
      </c>
      <c r="J173" s="10">
        <v>1962</v>
      </c>
      <c r="K173" s="11">
        <v>45077</v>
      </c>
      <c r="L173" s="14">
        <f t="shared" si="5"/>
        <v>2023</v>
      </c>
      <c r="M173" s="12">
        <v>198488</v>
      </c>
    </row>
    <row r="174" spans="1:13" ht="15.75" hidden="1" customHeight="1" x14ac:dyDescent="0.25">
      <c r="A174" s="9" t="s">
        <v>10</v>
      </c>
      <c r="B174" s="9" t="s">
        <v>52</v>
      </c>
      <c r="C174" s="10" t="s">
        <v>56</v>
      </c>
      <c r="D174" s="9" t="s">
        <v>37</v>
      </c>
      <c r="E174" s="9" t="s">
        <v>19</v>
      </c>
      <c r="F174" s="10">
        <v>666</v>
      </c>
      <c r="G174" s="11">
        <v>44978</v>
      </c>
      <c r="H174" s="14">
        <f t="shared" si="4"/>
        <v>2023</v>
      </c>
      <c r="I174" s="12">
        <v>203209</v>
      </c>
      <c r="J174" s="10">
        <v>1963</v>
      </c>
      <c r="K174" s="11">
        <v>45077</v>
      </c>
      <c r="L174" s="14">
        <f t="shared" si="5"/>
        <v>2023</v>
      </c>
      <c r="M174" s="12">
        <v>203209</v>
      </c>
    </row>
    <row r="175" spans="1:13" ht="15.75" hidden="1" customHeight="1" x14ac:dyDescent="0.25">
      <c r="A175" s="9" t="s">
        <v>15</v>
      </c>
      <c r="B175" s="9" t="s">
        <v>52</v>
      </c>
      <c r="C175" s="10" t="s">
        <v>56</v>
      </c>
      <c r="D175" s="9" t="s">
        <v>25</v>
      </c>
      <c r="E175" s="9" t="s">
        <v>23</v>
      </c>
      <c r="F175" s="10">
        <v>665</v>
      </c>
      <c r="G175" s="11">
        <v>44978</v>
      </c>
      <c r="H175" s="14">
        <f t="shared" si="4"/>
        <v>2023</v>
      </c>
      <c r="I175" s="12">
        <v>857457630</v>
      </c>
      <c r="J175" s="10">
        <v>2323</v>
      </c>
      <c r="K175" s="11">
        <v>45097</v>
      </c>
      <c r="L175" s="14">
        <f t="shared" si="5"/>
        <v>2023</v>
      </c>
      <c r="M175" s="12">
        <v>857457630</v>
      </c>
    </row>
    <row r="176" spans="1:13" ht="15.75" hidden="1" customHeight="1" x14ac:dyDescent="0.25">
      <c r="A176" s="9" t="s">
        <v>15</v>
      </c>
      <c r="B176" s="9" t="s">
        <v>52</v>
      </c>
      <c r="C176" s="10" t="s">
        <v>56</v>
      </c>
      <c r="D176" s="9" t="s">
        <v>13</v>
      </c>
      <c r="E176" s="9" t="s">
        <v>23</v>
      </c>
      <c r="F176" s="10">
        <v>670</v>
      </c>
      <c r="G176" s="11">
        <v>44978</v>
      </c>
      <c r="H176" s="14">
        <f t="shared" si="4"/>
        <v>2023</v>
      </c>
      <c r="I176" s="12">
        <v>30949737</v>
      </c>
      <c r="J176" s="10">
        <v>2322</v>
      </c>
      <c r="K176" s="11">
        <v>45097</v>
      </c>
      <c r="L176" s="14">
        <f t="shared" si="5"/>
        <v>2023</v>
      </c>
      <c r="M176" s="12">
        <v>30949737</v>
      </c>
    </row>
    <row r="177" spans="1:13" ht="15.75" hidden="1" customHeight="1" x14ac:dyDescent="0.25">
      <c r="A177" s="9" t="s">
        <v>15</v>
      </c>
      <c r="B177" s="9" t="s">
        <v>52</v>
      </c>
      <c r="C177" s="10" t="s">
        <v>56</v>
      </c>
      <c r="D177" s="9" t="s">
        <v>37</v>
      </c>
      <c r="E177" s="9" t="s">
        <v>23</v>
      </c>
      <c r="F177" s="10">
        <v>671</v>
      </c>
      <c r="G177" s="11">
        <v>44980</v>
      </c>
      <c r="H177" s="14">
        <f t="shared" si="4"/>
        <v>2023</v>
      </c>
      <c r="I177" s="12">
        <v>58410096</v>
      </c>
      <c r="J177" s="10">
        <v>2321</v>
      </c>
      <c r="K177" s="11">
        <v>45097</v>
      </c>
      <c r="L177" s="14">
        <f t="shared" si="5"/>
        <v>2023</v>
      </c>
      <c r="M177" s="12">
        <v>58410096</v>
      </c>
    </row>
    <row r="178" spans="1:13" ht="15.75" hidden="1" customHeight="1" x14ac:dyDescent="0.25">
      <c r="A178" s="9" t="s">
        <v>15</v>
      </c>
      <c r="B178" s="9" t="s">
        <v>52</v>
      </c>
      <c r="C178" s="10" t="s">
        <v>56</v>
      </c>
      <c r="D178" s="9" t="s">
        <v>25</v>
      </c>
      <c r="E178" s="9" t="s">
        <v>23</v>
      </c>
      <c r="F178" s="10">
        <v>598</v>
      </c>
      <c r="G178" s="11">
        <v>44974</v>
      </c>
      <c r="H178" s="14">
        <f t="shared" si="4"/>
        <v>2023</v>
      </c>
      <c r="I178" s="12">
        <v>134875940</v>
      </c>
      <c r="J178" s="10">
        <v>2335</v>
      </c>
      <c r="K178" s="11">
        <v>45097</v>
      </c>
      <c r="L178" s="14">
        <f t="shared" si="5"/>
        <v>2023</v>
      </c>
      <c r="M178" s="12">
        <v>134875940</v>
      </c>
    </row>
    <row r="179" spans="1:13" ht="15.75" hidden="1" customHeight="1" x14ac:dyDescent="0.25">
      <c r="A179" s="9" t="s">
        <v>15</v>
      </c>
      <c r="B179" s="9" t="s">
        <v>52</v>
      </c>
      <c r="C179" s="10" t="s">
        <v>56</v>
      </c>
      <c r="D179" s="9" t="s">
        <v>13</v>
      </c>
      <c r="E179" s="9" t="s">
        <v>23</v>
      </c>
      <c r="F179" s="10">
        <v>597</v>
      </c>
      <c r="G179" s="11">
        <v>44974</v>
      </c>
      <c r="H179" s="14">
        <f t="shared" si="4"/>
        <v>2023</v>
      </c>
      <c r="I179" s="12">
        <v>66945202</v>
      </c>
      <c r="J179" s="10">
        <v>2336</v>
      </c>
      <c r="K179" s="11">
        <v>45097</v>
      </c>
      <c r="L179" s="14">
        <f t="shared" si="5"/>
        <v>2023</v>
      </c>
      <c r="M179" s="12">
        <v>66945202</v>
      </c>
    </row>
    <row r="180" spans="1:13" ht="15.75" hidden="1" customHeight="1" x14ac:dyDescent="0.25">
      <c r="A180" s="9" t="s">
        <v>15</v>
      </c>
      <c r="B180" s="9" t="s">
        <v>52</v>
      </c>
      <c r="C180" s="10" t="s">
        <v>56</v>
      </c>
      <c r="D180" s="9" t="s">
        <v>37</v>
      </c>
      <c r="E180" s="9" t="s">
        <v>23</v>
      </c>
      <c r="F180" s="10">
        <v>599</v>
      </c>
      <c r="G180" s="11">
        <v>44974</v>
      </c>
      <c r="H180" s="14">
        <f t="shared" si="4"/>
        <v>2023</v>
      </c>
      <c r="I180" s="12">
        <v>85409438</v>
      </c>
      <c r="J180" s="10">
        <v>2334</v>
      </c>
      <c r="K180" s="11">
        <v>45097</v>
      </c>
      <c r="L180" s="14">
        <f t="shared" si="5"/>
        <v>2023</v>
      </c>
      <c r="M180" s="12">
        <v>85409438</v>
      </c>
    </row>
    <row r="181" spans="1:13" ht="15.75" hidden="1" customHeight="1" x14ac:dyDescent="0.25">
      <c r="A181" s="9" t="s">
        <v>59</v>
      </c>
      <c r="B181" s="9" t="s">
        <v>52</v>
      </c>
      <c r="C181" s="10" t="s">
        <v>56</v>
      </c>
      <c r="D181" s="9" t="s">
        <v>13</v>
      </c>
      <c r="E181" s="9" t="s">
        <v>72</v>
      </c>
      <c r="F181" s="10">
        <v>59</v>
      </c>
      <c r="G181" s="11">
        <v>44937</v>
      </c>
      <c r="H181" s="14">
        <f t="shared" si="4"/>
        <v>2023</v>
      </c>
      <c r="I181" s="12">
        <v>1186359</v>
      </c>
      <c r="J181" s="10">
        <v>1967</v>
      </c>
      <c r="K181" s="11">
        <v>45077</v>
      </c>
      <c r="L181" s="14">
        <f t="shared" si="5"/>
        <v>2023</v>
      </c>
      <c r="M181" s="12">
        <v>1186359</v>
      </c>
    </row>
    <row r="182" spans="1:13" ht="15.75" hidden="1" customHeight="1" x14ac:dyDescent="0.25">
      <c r="A182" s="9" t="s">
        <v>59</v>
      </c>
      <c r="B182" s="9" t="s">
        <v>52</v>
      </c>
      <c r="C182" s="10" t="s">
        <v>56</v>
      </c>
      <c r="D182" s="9" t="s">
        <v>37</v>
      </c>
      <c r="E182" s="9" t="s">
        <v>72</v>
      </c>
      <c r="F182" s="10">
        <v>65</v>
      </c>
      <c r="G182" s="11">
        <v>44937</v>
      </c>
      <c r="H182" s="14">
        <f t="shared" si="4"/>
        <v>2023</v>
      </c>
      <c r="I182" s="12">
        <v>908168</v>
      </c>
      <c r="J182" s="10">
        <v>1973</v>
      </c>
      <c r="K182" s="11">
        <v>45077</v>
      </c>
      <c r="L182" s="14">
        <f t="shared" si="5"/>
        <v>2023</v>
      </c>
      <c r="M182" s="12">
        <v>908168</v>
      </c>
    </row>
    <row r="183" spans="1:13" ht="15.75" hidden="1" customHeight="1" x14ac:dyDescent="0.25">
      <c r="A183" s="9" t="s">
        <v>10</v>
      </c>
      <c r="B183" s="9" t="s">
        <v>52</v>
      </c>
      <c r="C183" s="10" t="s">
        <v>56</v>
      </c>
      <c r="D183" s="9" t="s">
        <v>37</v>
      </c>
      <c r="E183" s="9" t="s">
        <v>72</v>
      </c>
      <c r="F183" s="10">
        <v>348</v>
      </c>
      <c r="G183" s="11">
        <v>44959</v>
      </c>
      <c r="H183" s="14">
        <f t="shared" si="4"/>
        <v>2023</v>
      </c>
      <c r="I183" s="12">
        <v>42675986</v>
      </c>
      <c r="J183" s="10">
        <v>2092</v>
      </c>
      <c r="K183" s="11">
        <v>45079</v>
      </c>
      <c r="L183" s="14">
        <f t="shared" si="5"/>
        <v>2023</v>
      </c>
      <c r="M183" s="12">
        <v>20761749</v>
      </c>
    </row>
    <row r="184" spans="1:13" ht="15.75" hidden="1" customHeight="1" x14ac:dyDescent="0.25">
      <c r="A184" s="9" t="s">
        <v>10</v>
      </c>
      <c r="B184" s="9" t="s">
        <v>52</v>
      </c>
      <c r="C184" s="10" t="s">
        <v>56</v>
      </c>
      <c r="D184" s="9" t="s">
        <v>37</v>
      </c>
      <c r="E184" s="9" t="s">
        <v>72</v>
      </c>
      <c r="F184" s="10">
        <v>349</v>
      </c>
      <c r="G184" s="11">
        <v>44959</v>
      </c>
      <c r="H184" s="14">
        <f t="shared" si="4"/>
        <v>2023</v>
      </c>
      <c r="I184" s="12">
        <v>4313216</v>
      </c>
      <c r="J184" s="10">
        <v>2094</v>
      </c>
      <c r="K184" s="11">
        <v>45079</v>
      </c>
      <c r="L184" s="14">
        <f t="shared" si="5"/>
        <v>2023</v>
      </c>
      <c r="M184" s="12">
        <v>3890685</v>
      </c>
    </row>
    <row r="185" spans="1:13" ht="15.75" hidden="1" customHeight="1" x14ac:dyDescent="0.25">
      <c r="A185" s="9" t="s">
        <v>10</v>
      </c>
      <c r="B185" s="9" t="s">
        <v>52</v>
      </c>
      <c r="C185" s="10" t="s">
        <v>56</v>
      </c>
      <c r="D185" s="9" t="s">
        <v>13</v>
      </c>
      <c r="E185" s="9" t="s">
        <v>72</v>
      </c>
      <c r="F185" s="10">
        <v>350</v>
      </c>
      <c r="G185" s="11">
        <v>44959</v>
      </c>
      <c r="H185" s="14">
        <f t="shared" si="4"/>
        <v>2023</v>
      </c>
      <c r="I185" s="12">
        <v>775325</v>
      </c>
      <c r="J185" s="10">
        <v>2093</v>
      </c>
      <c r="K185" s="11">
        <v>45079</v>
      </c>
      <c r="L185" s="14">
        <f t="shared" si="5"/>
        <v>2023</v>
      </c>
      <c r="M185" s="12">
        <v>460193</v>
      </c>
    </row>
    <row r="186" spans="1:13" ht="15.75" hidden="1" customHeight="1" x14ac:dyDescent="0.25">
      <c r="A186" s="9" t="s">
        <v>15</v>
      </c>
      <c r="B186" s="9" t="s">
        <v>52</v>
      </c>
      <c r="C186" s="10" t="s">
        <v>56</v>
      </c>
      <c r="D186" s="9" t="s">
        <v>13</v>
      </c>
      <c r="E186" s="9" t="s">
        <v>72</v>
      </c>
      <c r="F186" s="10">
        <v>622</v>
      </c>
      <c r="G186" s="11">
        <v>44978</v>
      </c>
      <c r="H186" s="14">
        <f t="shared" si="4"/>
        <v>2023</v>
      </c>
      <c r="I186" s="12">
        <v>85291780</v>
      </c>
      <c r="J186" s="10">
        <v>1355</v>
      </c>
      <c r="K186" s="11">
        <v>45036</v>
      </c>
      <c r="L186" s="14">
        <f t="shared" si="5"/>
        <v>2023</v>
      </c>
      <c r="M186" s="12">
        <v>85291780</v>
      </c>
    </row>
    <row r="187" spans="1:13" ht="15.75" hidden="1" customHeight="1" x14ac:dyDescent="0.25">
      <c r="A187" s="9" t="s">
        <v>15</v>
      </c>
      <c r="B187" s="9" t="s">
        <v>52</v>
      </c>
      <c r="C187" s="10" t="s">
        <v>56</v>
      </c>
      <c r="D187" s="9" t="s">
        <v>25</v>
      </c>
      <c r="E187" s="9" t="s">
        <v>72</v>
      </c>
      <c r="F187" s="10">
        <v>623</v>
      </c>
      <c r="G187" s="11">
        <v>44978</v>
      </c>
      <c r="H187" s="14">
        <f t="shared" si="4"/>
        <v>2023</v>
      </c>
      <c r="I187" s="12">
        <v>13053</v>
      </c>
      <c r="J187" s="10">
        <v>1345</v>
      </c>
      <c r="K187" s="11">
        <v>45036</v>
      </c>
      <c r="L187" s="14">
        <f t="shared" si="5"/>
        <v>2023</v>
      </c>
      <c r="M187" s="12">
        <v>13053</v>
      </c>
    </row>
    <row r="188" spans="1:13" ht="15.75" hidden="1" customHeight="1" x14ac:dyDescent="0.25">
      <c r="A188" s="9" t="s">
        <v>15</v>
      </c>
      <c r="B188" s="9" t="s">
        <v>52</v>
      </c>
      <c r="C188" s="10" t="s">
        <v>56</v>
      </c>
      <c r="D188" s="9" t="s">
        <v>13</v>
      </c>
      <c r="E188" s="9" t="s">
        <v>72</v>
      </c>
      <c r="F188" s="10">
        <v>624</v>
      </c>
      <c r="G188" s="11">
        <v>44978</v>
      </c>
      <c r="H188" s="14">
        <f t="shared" si="4"/>
        <v>2023</v>
      </c>
      <c r="I188" s="12">
        <v>12876922</v>
      </c>
      <c r="J188" s="10">
        <v>1344</v>
      </c>
      <c r="K188" s="11">
        <v>45036</v>
      </c>
      <c r="L188" s="14">
        <f t="shared" si="5"/>
        <v>2023</v>
      </c>
      <c r="M188" s="12">
        <v>12876922</v>
      </c>
    </row>
    <row r="189" spans="1:13" ht="15.75" hidden="1" customHeight="1" x14ac:dyDescent="0.25">
      <c r="A189" s="9" t="s">
        <v>15</v>
      </c>
      <c r="B189" s="9" t="s">
        <v>52</v>
      </c>
      <c r="C189" s="10" t="s">
        <v>56</v>
      </c>
      <c r="D189" s="9" t="s">
        <v>37</v>
      </c>
      <c r="E189" s="9" t="s">
        <v>72</v>
      </c>
      <c r="F189" s="10">
        <v>625</v>
      </c>
      <c r="G189" s="11">
        <v>44978</v>
      </c>
      <c r="H189" s="14">
        <f t="shared" si="4"/>
        <v>2023</v>
      </c>
      <c r="I189" s="12">
        <v>45523379</v>
      </c>
      <c r="J189" s="10">
        <v>1343</v>
      </c>
      <c r="K189" s="11">
        <v>45036</v>
      </c>
      <c r="L189" s="14">
        <f t="shared" si="5"/>
        <v>2023</v>
      </c>
      <c r="M189" s="12">
        <v>45523379</v>
      </c>
    </row>
    <row r="190" spans="1:13" ht="15.75" hidden="1" customHeight="1" x14ac:dyDescent="0.25">
      <c r="A190" s="9" t="s">
        <v>15</v>
      </c>
      <c r="B190" s="9" t="s">
        <v>52</v>
      </c>
      <c r="C190" s="10" t="s">
        <v>56</v>
      </c>
      <c r="D190" s="9" t="s">
        <v>37</v>
      </c>
      <c r="E190" s="9" t="s">
        <v>69</v>
      </c>
      <c r="F190" s="10">
        <v>2701</v>
      </c>
      <c r="G190" s="11">
        <v>45138</v>
      </c>
      <c r="H190" s="14">
        <f t="shared" si="4"/>
        <v>2023</v>
      </c>
      <c r="I190" s="12">
        <f>7.8*48305</f>
        <v>376779</v>
      </c>
      <c r="J190" s="10">
        <v>6089</v>
      </c>
      <c r="K190" s="11">
        <v>45250</v>
      </c>
      <c r="L190" s="14">
        <f t="shared" si="5"/>
        <v>2023</v>
      </c>
      <c r="M190" s="12">
        <v>376779</v>
      </c>
    </row>
    <row r="191" spans="1:13" ht="15.75" hidden="1" customHeight="1" x14ac:dyDescent="0.25">
      <c r="A191" s="9" t="s">
        <v>10</v>
      </c>
      <c r="B191" s="9" t="s">
        <v>43</v>
      </c>
      <c r="C191" s="10" t="s">
        <v>17</v>
      </c>
      <c r="D191" s="9" t="s">
        <v>13</v>
      </c>
      <c r="E191" s="9" t="s">
        <v>14</v>
      </c>
      <c r="F191" s="10">
        <v>1903</v>
      </c>
      <c r="G191" s="11">
        <v>45077</v>
      </c>
      <c r="H191" s="14">
        <f t="shared" si="4"/>
        <v>2023</v>
      </c>
      <c r="I191" s="12">
        <f>47.6*63074</f>
        <v>3002322.4</v>
      </c>
      <c r="J191" s="10">
        <v>2978</v>
      </c>
      <c r="K191" s="11">
        <v>45161</v>
      </c>
      <c r="L191" s="14">
        <f t="shared" si="5"/>
        <v>2023</v>
      </c>
      <c r="M191" s="12">
        <v>3008272</v>
      </c>
    </row>
    <row r="192" spans="1:13" ht="15.75" hidden="1" customHeight="1" x14ac:dyDescent="0.25">
      <c r="A192" s="9" t="s">
        <v>10</v>
      </c>
      <c r="B192" s="9" t="s">
        <v>60</v>
      </c>
      <c r="C192" s="10" t="s">
        <v>79</v>
      </c>
      <c r="D192" s="9" t="s">
        <v>13</v>
      </c>
      <c r="E192" s="9" t="s">
        <v>65</v>
      </c>
      <c r="F192" s="10">
        <v>1933</v>
      </c>
      <c r="G192" s="11">
        <v>44371</v>
      </c>
      <c r="H192" s="14">
        <f t="shared" si="4"/>
        <v>2021</v>
      </c>
      <c r="I192" s="12">
        <f>11.2*52005</f>
        <v>582456</v>
      </c>
      <c r="J192" s="10">
        <v>1414</v>
      </c>
      <c r="K192" s="11">
        <v>45042</v>
      </c>
      <c r="L192" s="14">
        <f t="shared" si="5"/>
        <v>2023</v>
      </c>
      <c r="M192" s="12">
        <v>543211</v>
      </c>
    </row>
    <row r="193" spans="1:13" ht="15.75" hidden="1" customHeight="1" x14ac:dyDescent="0.25">
      <c r="A193" s="9" t="s">
        <v>59</v>
      </c>
      <c r="B193" s="9" t="s">
        <v>60</v>
      </c>
      <c r="C193" s="10" t="s">
        <v>79</v>
      </c>
      <c r="D193" s="9" t="s">
        <v>13</v>
      </c>
      <c r="E193" s="9" t="s">
        <v>65</v>
      </c>
      <c r="F193" s="10">
        <v>1926</v>
      </c>
      <c r="G193" s="11">
        <v>44371</v>
      </c>
      <c r="H193" s="14">
        <f t="shared" si="4"/>
        <v>2021</v>
      </c>
      <c r="I193" s="12">
        <f>14.8*52005</f>
        <v>769674</v>
      </c>
      <c r="J193" s="10">
        <v>1546</v>
      </c>
      <c r="K193" s="11">
        <v>45048</v>
      </c>
      <c r="L193" s="14">
        <f t="shared" si="5"/>
        <v>2023</v>
      </c>
      <c r="M193" s="12">
        <v>924260</v>
      </c>
    </row>
    <row r="194" spans="1:13" ht="15.75" hidden="1" customHeight="1" x14ac:dyDescent="0.25">
      <c r="A194" s="9" t="s">
        <v>15</v>
      </c>
      <c r="B194" s="9" t="s">
        <v>60</v>
      </c>
      <c r="C194" s="10" t="s">
        <v>94</v>
      </c>
      <c r="D194" s="9" t="s">
        <v>83</v>
      </c>
      <c r="E194" s="9" t="s">
        <v>91</v>
      </c>
      <c r="F194" s="10">
        <v>1003</v>
      </c>
      <c r="G194" s="11">
        <v>44651</v>
      </c>
      <c r="H194" s="14">
        <f t="shared" ref="H194:H257" si="6">YEAR(G194)</f>
        <v>2022</v>
      </c>
      <c r="I194" s="12">
        <v>2122659.54758</v>
      </c>
      <c r="J194" s="10">
        <v>514</v>
      </c>
      <c r="K194" s="11">
        <v>44964</v>
      </c>
      <c r="L194" s="14">
        <f t="shared" ref="L194:L257" si="7">YEAR(K194)</f>
        <v>2023</v>
      </c>
      <c r="M194" s="12">
        <v>2122660</v>
      </c>
    </row>
    <row r="195" spans="1:13" ht="15.75" hidden="1" customHeight="1" x14ac:dyDescent="0.25">
      <c r="A195" s="9" t="s">
        <v>15</v>
      </c>
      <c r="B195" s="9" t="s">
        <v>60</v>
      </c>
      <c r="C195" s="10" t="s">
        <v>21</v>
      </c>
      <c r="D195" s="9" t="s">
        <v>83</v>
      </c>
      <c r="E195" s="9" t="s">
        <v>72</v>
      </c>
      <c r="F195" s="10">
        <v>2137</v>
      </c>
      <c r="G195" s="11">
        <v>44760</v>
      </c>
      <c r="H195" s="14">
        <f t="shared" si="6"/>
        <v>2022</v>
      </c>
      <c r="I195" s="12">
        <f>445.54*58298</f>
        <v>25974090.920000002</v>
      </c>
      <c r="J195" s="10">
        <v>3762</v>
      </c>
      <c r="K195" s="11">
        <v>45273</v>
      </c>
      <c r="L195" s="14">
        <f t="shared" si="7"/>
        <v>2023</v>
      </c>
      <c r="M195" s="12">
        <v>27247890</v>
      </c>
    </row>
    <row r="196" spans="1:13" ht="15.75" hidden="1" customHeight="1" x14ac:dyDescent="0.25">
      <c r="A196" s="9" t="s">
        <v>59</v>
      </c>
      <c r="B196" s="9" t="s">
        <v>60</v>
      </c>
      <c r="C196" s="10" t="s">
        <v>79</v>
      </c>
      <c r="D196" s="9" t="s">
        <v>13</v>
      </c>
      <c r="E196" s="9" t="s">
        <v>14</v>
      </c>
      <c r="F196" s="10">
        <v>3705</v>
      </c>
      <c r="G196" s="11">
        <v>44904</v>
      </c>
      <c r="H196" s="14">
        <f t="shared" si="6"/>
        <v>2022</v>
      </c>
      <c r="I196" s="12">
        <f>58.1*61157</f>
        <v>3553221.7</v>
      </c>
      <c r="J196" s="10">
        <v>181</v>
      </c>
      <c r="K196" s="11">
        <v>44949</v>
      </c>
      <c r="L196" s="14">
        <f t="shared" si="7"/>
        <v>2023</v>
      </c>
      <c r="M196" s="12">
        <v>2856569</v>
      </c>
    </row>
    <row r="197" spans="1:13" ht="15.75" hidden="1" customHeight="1" x14ac:dyDescent="0.25">
      <c r="A197" s="9" t="s">
        <v>10</v>
      </c>
      <c r="B197" s="9" t="s">
        <v>60</v>
      </c>
      <c r="C197" s="10" t="s">
        <v>79</v>
      </c>
      <c r="D197" s="9" t="s">
        <v>13</v>
      </c>
      <c r="E197" s="9" t="s">
        <v>14</v>
      </c>
      <c r="F197" s="10">
        <v>3767</v>
      </c>
      <c r="G197" s="11">
        <v>44908</v>
      </c>
      <c r="H197" s="14">
        <f t="shared" si="6"/>
        <v>2022</v>
      </c>
      <c r="I197" s="12">
        <f>163.45*61157</f>
        <v>9996111.6499999985</v>
      </c>
      <c r="J197" s="10">
        <v>182</v>
      </c>
      <c r="K197" s="11">
        <v>44949</v>
      </c>
      <c r="L197" s="14">
        <f t="shared" si="7"/>
        <v>2023</v>
      </c>
      <c r="M197" s="12">
        <v>8045058</v>
      </c>
    </row>
    <row r="198" spans="1:13" ht="15.75" hidden="1" customHeight="1" x14ac:dyDescent="0.25">
      <c r="A198" s="9" t="s">
        <v>10</v>
      </c>
      <c r="B198" s="9" t="s">
        <v>60</v>
      </c>
      <c r="C198" s="10" t="s">
        <v>79</v>
      </c>
      <c r="D198" s="9" t="s">
        <v>13</v>
      </c>
      <c r="E198" s="9" t="s">
        <v>19</v>
      </c>
      <c r="F198" s="10">
        <v>644</v>
      </c>
      <c r="G198" s="11">
        <v>44978</v>
      </c>
      <c r="H198" s="14">
        <f t="shared" si="6"/>
        <v>2023</v>
      </c>
      <c r="I198" s="12">
        <v>150802</v>
      </c>
      <c r="J198" s="10">
        <v>1964</v>
      </c>
      <c r="K198" s="11">
        <v>45077</v>
      </c>
      <c r="L198" s="14">
        <f t="shared" si="7"/>
        <v>2023</v>
      </c>
      <c r="M198" s="12">
        <v>150802</v>
      </c>
    </row>
    <row r="199" spans="1:13" ht="15.75" hidden="1" customHeight="1" x14ac:dyDescent="0.25">
      <c r="A199" s="9" t="s">
        <v>15</v>
      </c>
      <c r="B199" s="9" t="s">
        <v>60</v>
      </c>
      <c r="C199" s="10" t="s">
        <v>79</v>
      </c>
      <c r="D199" s="9" t="s">
        <v>13</v>
      </c>
      <c r="E199" s="9" t="s">
        <v>23</v>
      </c>
      <c r="F199" s="10">
        <v>645</v>
      </c>
      <c r="G199" s="11">
        <v>44978</v>
      </c>
      <c r="H199" s="14">
        <f t="shared" si="6"/>
        <v>2023</v>
      </c>
      <c r="I199" s="12">
        <v>13138939</v>
      </c>
      <c r="J199" s="10">
        <v>2230</v>
      </c>
      <c r="K199" s="11">
        <v>45097</v>
      </c>
      <c r="L199" s="14">
        <f t="shared" si="7"/>
        <v>2023</v>
      </c>
      <c r="M199" s="12">
        <v>13138939</v>
      </c>
    </row>
    <row r="200" spans="1:13" ht="15.75" hidden="1" customHeight="1" x14ac:dyDescent="0.25">
      <c r="A200" s="9" t="s">
        <v>15</v>
      </c>
      <c r="B200" s="9" t="s">
        <v>60</v>
      </c>
      <c r="C200" s="10" t="s">
        <v>79</v>
      </c>
      <c r="D200" s="9" t="s">
        <v>13</v>
      </c>
      <c r="E200" s="9" t="s">
        <v>23</v>
      </c>
      <c r="F200" s="10">
        <v>591</v>
      </c>
      <c r="G200" s="11">
        <v>44974</v>
      </c>
      <c r="H200" s="14">
        <f t="shared" si="6"/>
        <v>2023</v>
      </c>
      <c r="I200" s="12">
        <v>4480231</v>
      </c>
      <c r="J200" s="10">
        <v>2342</v>
      </c>
      <c r="K200" s="11">
        <v>45097</v>
      </c>
      <c r="L200" s="14">
        <f t="shared" si="7"/>
        <v>2023</v>
      </c>
      <c r="M200" s="12">
        <v>4480231</v>
      </c>
    </row>
    <row r="201" spans="1:13" ht="15.75" hidden="1" customHeight="1" x14ac:dyDescent="0.25">
      <c r="A201" s="9" t="s">
        <v>59</v>
      </c>
      <c r="B201" s="9" t="s">
        <v>60</v>
      </c>
      <c r="C201" s="10" t="s">
        <v>79</v>
      </c>
      <c r="D201" s="9" t="s">
        <v>13</v>
      </c>
      <c r="E201" s="9" t="s">
        <v>72</v>
      </c>
      <c r="F201" s="10">
        <v>58</v>
      </c>
      <c r="G201" s="11">
        <v>44937</v>
      </c>
      <c r="H201" s="14">
        <f t="shared" si="6"/>
        <v>2023</v>
      </c>
      <c r="I201" s="12">
        <v>501813</v>
      </c>
      <c r="J201" s="10">
        <v>1693</v>
      </c>
      <c r="K201" s="11">
        <v>45062</v>
      </c>
      <c r="L201" s="14">
        <f t="shared" si="7"/>
        <v>2023</v>
      </c>
      <c r="M201" s="12">
        <v>501813</v>
      </c>
    </row>
    <row r="202" spans="1:13" ht="15.75" hidden="1" customHeight="1" x14ac:dyDescent="0.25">
      <c r="A202" s="9" t="s">
        <v>10</v>
      </c>
      <c r="B202" s="9" t="s">
        <v>60</v>
      </c>
      <c r="C202" s="10" t="s">
        <v>79</v>
      </c>
      <c r="D202" s="9" t="s">
        <v>13</v>
      </c>
      <c r="E202" s="9" t="s">
        <v>72</v>
      </c>
      <c r="F202" s="10">
        <v>356</v>
      </c>
      <c r="G202" s="11">
        <v>44959</v>
      </c>
      <c r="H202" s="14">
        <f t="shared" si="6"/>
        <v>2023</v>
      </c>
      <c r="I202" s="12">
        <v>2281101</v>
      </c>
      <c r="J202" s="10">
        <v>1348</v>
      </c>
      <c r="K202" s="11">
        <v>45036</v>
      </c>
      <c r="L202" s="14">
        <f t="shared" si="7"/>
        <v>2023</v>
      </c>
      <c r="M202" s="12">
        <v>2281101</v>
      </c>
    </row>
    <row r="203" spans="1:13" ht="15.75" hidden="1" customHeight="1" x14ac:dyDescent="0.25">
      <c r="A203" s="9" t="s">
        <v>15</v>
      </c>
      <c r="B203" s="9" t="s">
        <v>60</v>
      </c>
      <c r="C203" s="10" t="s">
        <v>79</v>
      </c>
      <c r="D203" s="9" t="s">
        <v>13</v>
      </c>
      <c r="E203" s="9" t="s">
        <v>72</v>
      </c>
      <c r="F203" s="10">
        <v>639</v>
      </c>
      <c r="G203" s="11">
        <v>44978</v>
      </c>
      <c r="H203" s="14">
        <f t="shared" si="6"/>
        <v>2023</v>
      </c>
      <c r="I203" s="12">
        <v>76543463</v>
      </c>
      <c r="J203" s="10">
        <v>1334</v>
      </c>
      <c r="K203" s="11">
        <v>45036</v>
      </c>
      <c r="L203" s="14">
        <f t="shared" si="7"/>
        <v>2023</v>
      </c>
      <c r="M203" s="12">
        <v>76543463</v>
      </c>
    </row>
    <row r="204" spans="1:13" ht="15.75" hidden="1" customHeight="1" x14ac:dyDescent="0.25">
      <c r="A204" s="9" t="s">
        <v>15</v>
      </c>
      <c r="B204" s="9" t="s">
        <v>60</v>
      </c>
      <c r="C204" s="10" t="s">
        <v>79</v>
      </c>
      <c r="D204" s="9" t="s">
        <v>13</v>
      </c>
      <c r="E204" s="9" t="s">
        <v>69</v>
      </c>
      <c r="F204" s="10">
        <v>2990</v>
      </c>
      <c r="G204" s="11">
        <v>45161</v>
      </c>
      <c r="H204" s="14">
        <f t="shared" si="6"/>
        <v>2023</v>
      </c>
      <c r="I204" s="12">
        <f>2.6*48305</f>
        <v>125593</v>
      </c>
      <c r="J204" s="10">
        <v>5945</v>
      </c>
      <c r="K204" s="11">
        <v>45240</v>
      </c>
      <c r="L204" s="14">
        <f t="shared" si="7"/>
        <v>2023</v>
      </c>
      <c r="M204" s="12">
        <v>125593</v>
      </c>
    </row>
    <row r="205" spans="1:13" ht="15.75" hidden="1" customHeight="1" x14ac:dyDescent="0.25">
      <c r="A205" s="9" t="s">
        <v>59</v>
      </c>
      <c r="B205" s="9" t="s">
        <v>61</v>
      </c>
      <c r="C205" s="10" t="s">
        <v>77</v>
      </c>
      <c r="D205" s="9" t="s">
        <v>13</v>
      </c>
      <c r="E205" s="9" t="s">
        <v>65</v>
      </c>
      <c r="F205" s="10">
        <v>1913</v>
      </c>
      <c r="G205" s="11">
        <v>44371</v>
      </c>
      <c r="H205" s="14">
        <f t="shared" si="6"/>
        <v>2021</v>
      </c>
      <c r="I205" s="12">
        <f>11.8*52005</f>
        <v>613659</v>
      </c>
      <c r="J205" s="10">
        <v>1725</v>
      </c>
      <c r="K205" s="11">
        <v>45064</v>
      </c>
      <c r="L205" s="14">
        <f t="shared" si="7"/>
        <v>2023</v>
      </c>
      <c r="M205" s="12">
        <v>0</v>
      </c>
    </row>
    <row r="206" spans="1:13" ht="15.75" hidden="1" customHeight="1" x14ac:dyDescent="0.25">
      <c r="A206" s="9" t="s">
        <v>10</v>
      </c>
      <c r="B206" s="9" t="s">
        <v>61</v>
      </c>
      <c r="C206" s="10" t="s">
        <v>77</v>
      </c>
      <c r="D206" s="9" t="s">
        <v>13</v>
      </c>
      <c r="E206" s="9" t="s">
        <v>65</v>
      </c>
      <c r="F206" s="10">
        <v>1914</v>
      </c>
      <c r="G206" s="11">
        <v>44371</v>
      </c>
      <c r="H206" s="14">
        <f t="shared" si="6"/>
        <v>2021</v>
      </c>
      <c r="I206" s="12">
        <f>12.6*52005</f>
        <v>655263</v>
      </c>
      <c r="J206" s="10">
        <v>1547</v>
      </c>
      <c r="K206" s="11">
        <v>45048</v>
      </c>
      <c r="L206" s="14">
        <f t="shared" si="7"/>
        <v>2023</v>
      </c>
      <c r="M206" s="12">
        <v>309459</v>
      </c>
    </row>
    <row r="207" spans="1:13" ht="15.75" hidden="1" customHeight="1" x14ac:dyDescent="0.25">
      <c r="A207" s="9" t="s">
        <v>15</v>
      </c>
      <c r="B207" s="9" t="s">
        <v>61</v>
      </c>
      <c r="C207" s="10" t="s">
        <v>21</v>
      </c>
      <c r="D207" s="9" t="s">
        <v>13</v>
      </c>
      <c r="E207" s="9" t="s">
        <v>47</v>
      </c>
      <c r="F207" s="10">
        <v>184</v>
      </c>
      <c r="G207" s="11">
        <v>44211</v>
      </c>
      <c r="H207" s="14">
        <f t="shared" si="6"/>
        <v>2021</v>
      </c>
      <c r="I207" s="12">
        <f>350*50978</f>
        <v>17842300</v>
      </c>
      <c r="J207" s="10">
        <v>988</v>
      </c>
      <c r="K207" s="11">
        <v>45005</v>
      </c>
      <c r="L207" s="14">
        <f t="shared" si="7"/>
        <v>2023</v>
      </c>
      <c r="M207" s="12">
        <v>18098010</v>
      </c>
    </row>
    <row r="208" spans="1:13" ht="15.75" hidden="1" customHeight="1" x14ac:dyDescent="0.25">
      <c r="A208" s="9" t="s">
        <v>15</v>
      </c>
      <c r="B208" s="9" t="s">
        <v>61</v>
      </c>
      <c r="C208" s="10" t="s">
        <v>21</v>
      </c>
      <c r="D208" s="9" t="s">
        <v>13</v>
      </c>
      <c r="E208" s="9" t="s">
        <v>47</v>
      </c>
      <c r="F208" s="10">
        <v>168</v>
      </c>
      <c r="G208" s="11">
        <v>44580</v>
      </c>
      <c r="H208" s="14">
        <f t="shared" si="6"/>
        <v>2022</v>
      </c>
      <c r="I208" s="12">
        <f>21*54442</f>
        <v>1143282</v>
      </c>
      <c r="J208" s="10">
        <v>496</v>
      </c>
      <c r="K208" s="11">
        <v>44964</v>
      </c>
      <c r="L208" s="14">
        <f t="shared" si="7"/>
        <v>2023</v>
      </c>
      <c r="M208" s="12">
        <v>1301034</v>
      </c>
    </row>
    <row r="209" spans="1:13" ht="15.75" hidden="1" customHeight="1" x14ac:dyDescent="0.25">
      <c r="A209" s="9" t="s">
        <v>15</v>
      </c>
      <c r="B209" s="9" t="s">
        <v>61</v>
      </c>
      <c r="C209" s="10" t="s">
        <v>21</v>
      </c>
      <c r="D209" s="9" t="s">
        <v>22</v>
      </c>
      <c r="E209" s="9" t="s">
        <v>14</v>
      </c>
      <c r="F209" s="10">
        <v>191</v>
      </c>
      <c r="G209" s="11">
        <v>44580</v>
      </c>
      <c r="H209" s="14">
        <f t="shared" si="6"/>
        <v>2022</v>
      </c>
      <c r="I209" s="12">
        <f>10.5*54442</f>
        <v>571641</v>
      </c>
      <c r="J209" s="10">
        <v>490</v>
      </c>
      <c r="K209" s="11">
        <v>44964</v>
      </c>
      <c r="L209" s="14">
        <f t="shared" si="7"/>
        <v>2023</v>
      </c>
      <c r="M209" s="12">
        <v>650517</v>
      </c>
    </row>
    <row r="210" spans="1:13" ht="15.75" hidden="1" customHeight="1" x14ac:dyDescent="0.25">
      <c r="A210" s="9" t="s">
        <v>15</v>
      </c>
      <c r="B210" s="9" t="s">
        <v>61</v>
      </c>
      <c r="C210" s="10" t="s">
        <v>21</v>
      </c>
      <c r="D210" s="9" t="s">
        <v>83</v>
      </c>
      <c r="E210" s="9" t="s">
        <v>72</v>
      </c>
      <c r="F210" s="10">
        <v>2118</v>
      </c>
      <c r="G210" s="11">
        <v>44760</v>
      </c>
      <c r="H210" s="14">
        <f t="shared" si="6"/>
        <v>2022</v>
      </c>
      <c r="I210" s="12">
        <f>219*58298</f>
        <v>12767262</v>
      </c>
      <c r="J210" s="10">
        <v>461</v>
      </c>
      <c r="K210" s="11">
        <v>44964</v>
      </c>
      <c r="L210" s="14">
        <f t="shared" si="7"/>
        <v>2023</v>
      </c>
      <c r="M210" s="12">
        <v>13567926</v>
      </c>
    </row>
    <row r="211" spans="1:13" ht="15.75" hidden="1" customHeight="1" x14ac:dyDescent="0.25">
      <c r="A211" s="9" t="s">
        <v>59</v>
      </c>
      <c r="B211" s="9" t="s">
        <v>61</v>
      </c>
      <c r="C211" s="10" t="s">
        <v>21</v>
      </c>
      <c r="D211" s="9" t="s">
        <v>83</v>
      </c>
      <c r="E211" s="9" t="s">
        <v>72</v>
      </c>
      <c r="F211" s="10">
        <v>1916</v>
      </c>
      <c r="G211" s="11">
        <v>44748</v>
      </c>
      <c r="H211" s="14">
        <f t="shared" si="6"/>
        <v>2022</v>
      </c>
      <c r="I211" s="12">
        <f>100.72*58298</f>
        <v>5871774.5599999996</v>
      </c>
      <c r="J211" s="10">
        <v>463</v>
      </c>
      <c r="K211" s="11">
        <v>44964</v>
      </c>
      <c r="L211" s="14">
        <f t="shared" si="7"/>
        <v>2023</v>
      </c>
      <c r="M211" s="12">
        <v>6240007</v>
      </c>
    </row>
    <row r="212" spans="1:13" ht="15.75" hidden="1" customHeight="1" x14ac:dyDescent="0.25">
      <c r="A212" s="9" t="s">
        <v>15</v>
      </c>
      <c r="B212" s="9" t="s">
        <v>61</v>
      </c>
      <c r="C212" s="10" t="s">
        <v>21</v>
      </c>
      <c r="D212" s="9" t="s">
        <v>22</v>
      </c>
      <c r="E212" s="9" t="s">
        <v>65</v>
      </c>
      <c r="F212" s="10">
        <v>2571</v>
      </c>
      <c r="G212" s="11">
        <v>44795</v>
      </c>
      <c r="H212" s="14">
        <f t="shared" si="6"/>
        <v>2022</v>
      </c>
      <c r="I212" s="12">
        <f>11.8*58772</f>
        <v>693509.60000000009</v>
      </c>
      <c r="J212" s="10">
        <v>987</v>
      </c>
      <c r="K212" s="11">
        <v>45005</v>
      </c>
      <c r="L212" s="14">
        <f t="shared" si="7"/>
        <v>2023</v>
      </c>
      <c r="M212" s="12">
        <v>412170</v>
      </c>
    </row>
    <row r="213" spans="1:13" ht="15.75" hidden="1" customHeight="1" x14ac:dyDescent="0.25">
      <c r="A213" s="9" t="s">
        <v>15</v>
      </c>
      <c r="B213" s="9" t="s">
        <v>61</v>
      </c>
      <c r="C213" s="10" t="s">
        <v>21</v>
      </c>
      <c r="D213" s="9" t="s">
        <v>13</v>
      </c>
      <c r="E213" s="9" t="s">
        <v>65</v>
      </c>
      <c r="F213" s="10">
        <v>2572</v>
      </c>
      <c r="G213" s="11">
        <v>44795</v>
      </c>
      <c r="H213" s="14">
        <f t="shared" si="6"/>
        <v>2022</v>
      </c>
      <c r="I213" s="12">
        <f>4*58772</f>
        <v>235088</v>
      </c>
      <c r="J213" s="10">
        <v>957</v>
      </c>
      <c r="K213" s="11">
        <v>45005</v>
      </c>
      <c r="L213" s="14">
        <f t="shared" si="7"/>
        <v>2023</v>
      </c>
      <c r="M213" s="12">
        <v>149880</v>
      </c>
    </row>
    <row r="214" spans="1:13" ht="15.75" hidden="1" customHeight="1" x14ac:dyDescent="0.25">
      <c r="A214" s="9" t="s">
        <v>59</v>
      </c>
      <c r="B214" s="9" t="s">
        <v>61</v>
      </c>
      <c r="C214" s="10" t="s">
        <v>77</v>
      </c>
      <c r="D214" s="9" t="s">
        <v>13</v>
      </c>
      <c r="E214" s="9" t="s">
        <v>14</v>
      </c>
      <c r="F214" s="10">
        <v>3699</v>
      </c>
      <c r="G214" s="11">
        <v>44904</v>
      </c>
      <c r="H214" s="14">
        <f t="shared" si="6"/>
        <v>2022</v>
      </c>
      <c r="I214" s="12">
        <f>47.25*61157</f>
        <v>2889668.25</v>
      </c>
      <c r="J214" s="10">
        <v>5976</v>
      </c>
      <c r="K214" s="11">
        <v>45240</v>
      </c>
      <c r="L214" s="14">
        <f t="shared" si="7"/>
        <v>2023</v>
      </c>
      <c r="M214" s="12">
        <v>772270</v>
      </c>
    </row>
    <row r="215" spans="1:13" ht="15.75" hidden="1" customHeight="1" x14ac:dyDescent="0.25">
      <c r="A215" s="9" t="s">
        <v>10</v>
      </c>
      <c r="B215" s="9" t="s">
        <v>61</v>
      </c>
      <c r="C215" s="10" t="s">
        <v>77</v>
      </c>
      <c r="D215" s="9" t="s">
        <v>13</v>
      </c>
      <c r="E215" s="9" t="s">
        <v>14</v>
      </c>
      <c r="F215" s="10">
        <v>3775</v>
      </c>
      <c r="G215" s="11">
        <v>44908</v>
      </c>
      <c r="H215" s="14">
        <f t="shared" si="6"/>
        <v>2022</v>
      </c>
      <c r="I215" s="12">
        <f>31.6*61157</f>
        <v>1932561.2000000002</v>
      </c>
      <c r="J215" s="10">
        <v>2038</v>
      </c>
      <c r="K215" s="11">
        <v>45077</v>
      </c>
      <c r="L215" s="14">
        <f t="shared" si="7"/>
        <v>2023</v>
      </c>
      <c r="M215" s="12">
        <v>1546598</v>
      </c>
    </row>
    <row r="216" spans="1:13" ht="15.75" hidden="1" customHeight="1" x14ac:dyDescent="0.25">
      <c r="A216" s="9" t="s">
        <v>15</v>
      </c>
      <c r="B216" s="9" t="s">
        <v>61</v>
      </c>
      <c r="C216" s="10" t="s">
        <v>77</v>
      </c>
      <c r="D216" s="9" t="s">
        <v>13</v>
      </c>
      <c r="E216" s="9" t="s">
        <v>19</v>
      </c>
      <c r="F216" s="10">
        <v>648</v>
      </c>
      <c r="G216" s="11">
        <v>44978</v>
      </c>
      <c r="H216" s="14">
        <f t="shared" si="6"/>
        <v>2023</v>
      </c>
      <c r="I216" s="12">
        <v>570694</v>
      </c>
      <c r="J216" s="10">
        <v>2417</v>
      </c>
      <c r="K216" s="11">
        <v>45106</v>
      </c>
      <c r="L216" s="14">
        <f t="shared" si="7"/>
        <v>2023</v>
      </c>
      <c r="M216" s="12">
        <v>570694</v>
      </c>
    </row>
    <row r="217" spans="1:13" ht="15.75" hidden="1" customHeight="1" x14ac:dyDescent="0.25">
      <c r="A217" s="9" t="s">
        <v>10</v>
      </c>
      <c r="B217" s="9" t="s">
        <v>61</v>
      </c>
      <c r="C217" s="10" t="s">
        <v>77</v>
      </c>
      <c r="D217" s="9" t="s">
        <v>13</v>
      </c>
      <c r="E217" s="9" t="s">
        <v>72</v>
      </c>
      <c r="F217" s="10">
        <v>357</v>
      </c>
      <c r="G217" s="11">
        <v>44959</v>
      </c>
      <c r="H217" s="14">
        <f t="shared" si="6"/>
        <v>2023</v>
      </c>
      <c r="I217" s="12">
        <v>9900338</v>
      </c>
      <c r="J217" s="10">
        <v>1354</v>
      </c>
      <c r="K217" s="11">
        <v>45036</v>
      </c>
      <c r="L217" s="14">
        <f t="shared" si="7"/>
        <v>2023</v>
      </c>
      <c r="M217" s="12">
        <v>9900338</v>
      </c>
    </row>
    <row r="218" spans="1:13" ht="15.75" hidden="1" customHeight="1" x14ac:dyDescent="0.25">
      <c r="A218" s="9" t="s">
        <v>10</v>
      </c>
      <c r="B218" s="9" t="s">
        <v>61</v>
      </c>
      <c r="C218" s="10" t="s">
        <v>77</v>
      </c>
      <c r="D218" s="9" t="s">
        <v>13</v>
      </c>
      <c r="E218" s="9" t="s">
        <v>72</v>
      </c>
      <c r="F218" s="10">
        <v>359</v>
      </c>
      <c r="G218" s="11">
        <v>44594</v>
      </c>
      <c r="H218" s="14">
        <f t="shared" si="6"/>
        <v>2022</v>
      </c>
      <c r="I218" s="12">
        <v>1859281</v>
      </c>
      <c r="J218" s="10">
        <v>1352</v>
      </c>
      <c r="K218" s="11">
        <v>45036</v>
      </c>
      <c r="L218" s="14">
        <f t="shared" si="7"/>
        <v>2023</v>
      </c>
      <c r="M218" s="12">
        <v>1859281</v>
      </c>
    </row>
    <row r="219" spans="1:13" ht="15.75" hidden="1" customHeight="1" x14ac:dyDescent="0.25">
      <c r="A219" s="9" t="s">
        <v>59</v>
      </c>
      <c r="B219" s="9" t="s">
        <v>61</v>
      </c>
      <c r="C219" s="10" t="s">
        <v>77</v>
      </c>
      <c r="D219" s="9" t="s">
        <v>13</v>
      </c>
      <c r="E219" s="9" t="s">
        <v>72</v>
      </c>
      <c r="F219" s="10">
        <v>63</v>
      </c>
      <c r="G219" s="11">
        <v>44937</v>
      </c>
      <c r="H219" s="14">
        <f t="shared" si="6"/>
        <v>2023</v>
      </c>
      <c r="I219" s="12">
        <v>7355</v>
      </c>
      <c r="J219" s="10">
        <v>1971</v>
      </c>
      <c r="K219" s="11">
        <v>45077</v>
      </c>
      <c r="L219" s="14">
        <f t="shared" si="7"/>
        <v>2023</v>
      </c>
      <c r="M219" s="12">
        <v>7355</v>
      </c>
    </row>
    <row r="220" spans="1:13" ht="15.75" hidden="1" customHeight="1" x14ac:dyDescent="0.25">
      <c r="A220" s="9" t="s">
        <v>59</v>
      </c>
      <c r="B220" s="9" t="s">
        <v>61</v>
      </c>
      <c r="C220" s="10" t="s">
        <v>77</v>
      </c>
      <c r="D220" s="9" t="s">
        <v>13</v>
      </c>
      <c r="E220" s="9" t="s">
        <v>69</v>
      </c>
      <c r="F220" s="10">
        <v>2996</v>
      </c>
      <c r="G220" s="11">
        <v>45161</v>
      </c>
      <c r="H220" s="14">
        <f t="shared" si="6"/>
        <v>2023</v>
      </c>
      <c r="I220" s="12">
        <f>3*48305</f>
        <v>144915</v>
      </c>
      <c r="J220" s="10">
        <v>5927</v>
      </c>
      <c r="K220" s="11">
        <v>45239</v>
      </c>
      <c r="L220" s="14">
        <f t="shared" si="7"/>
        <v>2023</v>
      </c>
      <c r="M220" s="12">
        <v>144915</v>
      </c>
    </row>
    <row r="221" spans="1:13" ht="15.75" hidden="1" customHeight="1" x14ac:dyDescent="0.25">
      <c r="A221" s="9" t="s">
        <v>15</v>
      </c>
      <c r="B221" s="9" t="s">
        <v>61</v>
      </c>
      <c r="C221" s="10" t="s">
        <v>77</v>
      </c>
      <c r="D221" s="9" t="s">
        <v>13</v>
      </c>
      <c r="E221" s="9" t="s">
        <v>69</v>
      </c>
      <c r="F221" s="10">
        <v>2704</v>
      </c>
      <c r="G221" s="11">
        <v>45138</v>
      </c>
      <c r="H221" s="14">
        <f t="shared" si="6"/>
        <v>2023</v>
      </c>
      <c r="I221" s="12">
        <v>367118</v>
      </c>
      <c r="J221" s="10">
        <v>5943</v>
      </c>
      <c r="K221" s="11">
        <v>45240</v>
      </c>
      <c r="L221" s="14">
        <f t="shared" si="7"/>
        <v>2023</v>
      </c>
      <c r="M221" s="12">
        <v>367118</v>
      </c>
    </row>
    <row r="222" spans="1:13" ht="15.75" hidden="1" customHeight="1" x14ac:dyDescent="0.25">
      <c r="A222" s="9" t="s">
        <v>57</v>
      </c>
      <c r="B222" s="9" t="s">
        <v>24</v>
      </c>
      <c r="C222" s="10" t="s">
        <v>82</v>
      </c>
      <c r="D222" s="9" t="s">
        <v>83</v>
      </c>
      <c r="E222" s="9" t="s">
        <v>84</v>
      </c>
      <c r="F222" s="10">
        <v>5557</v>
      </c>
      <c r="G222" s="11">
        <v>45210</v>
      </c>
      <c r="H222" s="14">
        <f t="shared" si="6"/>
        <v>2023</v>
      </c>
      <c r="I222" s="12">
        <v>11352320</v>
      </c>
      <c r="J222" s="10">
        <v>6764</v>
      </c>
      <c r="K222" s="11">
        <v>45289</v>
      </c>
      <c r="L222" s="14">
        <f t="shared" si="7"/>
        <v>2023</v>
      </c>
      <c r="M222" s="12">
        <v>0</v>
      </c>
    </row>
    <row r="223" spans="1:13" ht="15.75" hidden="1" customHeight="1" x14ac:dyDescent="0.25">
      <c r="A223" s="9" t="s">
        <v>10</v>
      </c>
      <c r="B223" s="9" t="s">
        <v>86</v>
      </c>
      <c r="C223" s="10" t="s">
        <v>79</v>
      </c>
      <c r="D223" s="9" t="s">
        <v>13</v>
      </c>
      <c r="E223" s="9" t="s">
        <v>19</v>
      </c>
      <c r="F223" s="10">
        <v>646</v>
      </c>
      <c r="G223" s="11">
        <v>44978</v>
      </c>
      <c r="H223" s="14">
        <f t="shared" si="6"/>
        <v>2023</v>
      </c>
      <c r="I223" s="12">
        <v>53257</v>
      </c>
      <c r="J223" s="10">
        <v>2559</v>
      </c>
      <c r="K223" s="11">
        <v>45118</v>
      </c>
      <c r="L223" s="14">
        <f t="shared" si="7"/>
        <v>2023</v>
      </c>
      <c r="M223" s="12">
        <v>53257</v>
      </c>
    </row>
    <row r="224" spans="1:13" ht="15.75" hidden="1" customHeight="1" x14ac:dyDescent="0.25">
      <c r="A224" s="9" t="s">
        <v>10</v>
      </c>
      <c r="B224" s="9" t="s">
        <v>86</v>
      </c>
      <c r="C224" s="10" t="s">
        <v>79</v>
      </c>
      <c r="D224" s="9" t="s">
        <v>13</v>
      </c>
      <c r="E224" s="9" t="s">
        <v>72</v>
      </c>
      <c r="F224" s="10">
        <v>438</v>
      </c>
      <c r="G224" s="11">
        <v>44964</v>
      </c>
      <c r="H224" s="14">
        <f t="shared" si="6"/>
        <v>2023</v>
      </c>
      <c r="I224" s="12">
        <v>390038</v>
      </c>
      <c r="J224" s="10">
        <v>1403</v>
      </c>
      <c r="K224" s="11">
        <v>45042</v>
      </c>
      <c r="L224" s="14">
        <f t="shared" si="7"/>
        <v>2023</v>
      </c>
      <c r="M224" s="12">
        <v>390038</v>
      </c>
    </row>
    <row r="225" spans="1:13" ht="15.75" hidden="1" customHeight="1" x14ac:dyDescent="0.25">
      <c r="A225" s="9" t="s">
        <v>10</v>
      </c>
      <c r="B225" s="9" t="s">
        <v>86</v>
      </c>
      <c r="C225" s="10" t="s">
        <v>79</v>
      </c>
      <c r="D225" s="9" t="s">
        <v>13</v>
      </c>
      <c r="E225" s="9" t="s">
        <v>72</v>
      </c>
      <c r="F225" s="10">
        <v>362</v>
      </c>
      <c r="G225" s="11">
        <v>44959</v>
      </c>
      <c r="H225" s="14">
        <f t="shared" si="6"/>
        <v>2023</v>
      </c>
      <c r="I225" s="12">
        <v>1347517</v>
      </c>
      <c r="J225" s="10">
        <v>1426</v>
      </c>
      <c r="K225" s="11">
        <v>45042</v>
      </c>
      <c r="L225" s="14">
        <f t="shared" si="7"/>
        <v>2023</v>
      </c>
      <c r="M225" s="12">
        <v>1347517</v>
      </c>
    </row>
    <row r="226" spans="1:13" ht="15.75" hidden="1" customHeight="1" x14ac:dyDescent="0.25">
      <c r="A226" s="9" t="s">
        <v>15</v>
      </c>
      <c r="B226" s="9" t="s">
        <v>86</v>
      </c>
      <c r="C226" s="10" t="s">
        <v>79</v>
      </c>
      <c r="D226" s="9" t="s">
        <v>13</v>
      </c>
      <c r="E226" s="9" t="s">
        <v>72</v>
      </c>
      <c r="F226" s="10">
        <v>640</v>
      </c>
      <c r="G226" s="11">
        <v>44978</v>
      </c>
      <c r="H226" s="14">
        <f t="shared" si="6"/>
        <v>2023</v>
      </c>
      <c r="I226" s="12">
        <v>32182708</v>
      </c>
      <c r="J226" s="10">
        <v>1427</v>
      </c>
      <c r="K226" s="11">
        <v>45042</v>
      </c>
      <c r="L226" s="14">
        <f t="shared" si="7"/>
        <v>2023</v>
      </c>
      <c r="M226" s="12">
        <v>32182708</v>
      </c>
    </row>
    <row r="227" spans="1:13" ht="15.75" hidden="1" customHeight="1" x14ac:dyDescent="0.25">
      <c r="A227" s="9" t="s">
        <v>15</v>
      </c>
      <c r="B227" s="9" t="s">
        <v>86</v>
      </c>
      <c r="C227" s="10" t="s">
        <v>79</v>
      </c>
      <c r="D227" s="9" t="s">
        <v>13</v>
      </c>
      <c r="E227" s="9" t="s">
        <v>65</v>
      </c>
      <c r="F227" s="10">
        <v>1949</v>
      </c>
      <c r="G227" s="11">
        <v>45077</v>
      </c>
      <c r="H227" s="14">
        <f t="shared" si="6"/>
        <v>2023</v>
      </c>
      <c r="I227" s="12">
        <f>3.4*63074</f>
        <v>214451.6</v>
      </c>
      <c r="J227" s="10">
        <v>5128</v>
      </c>
      <c r="K227" s="11">
        <v>45177</v>
      </c>
      <c r="L227" s="14">
        <f t="shared" si="7"/>
        <v>2023</v>
      </c>
      <c r="M227" s="12">
        <v>165719</v>
      </c>
    </row>
    <row r="228" spans="1:13" ht="15.75" hidden="1" customHeight="1" x14ac:dyDescent="0.25">
      <c r="A228" s="9" t="s">
        <v>15</v>
      </c>
      <c r="B228" s="9" t="s">
        <v>86</v>
      </c>
      <c r="C228" s="10" t="s">
        <v>79</v>
      </c>
      <c r="D228" s="9" t="s">
        <v>13</v>
      </c>
      <c r="E228" s="9" t="s">
        <v>69</v>
      </c>
      <c r="F228" s="10">
        <v>2705</v>
      </c>
      <c r="G228" s="11">
        <v>45120</v>
      </c>
      <c r="H228" s="14">
        <f t="shared" si="6"/>
        <v>2023</v>
      </c>
      <c r="I228" s="12">
        <f>12.8*48305</f>
        <v>618304</v>
      </c>
      <c r="J228" s="10">
        <v>6457</v>
      </c>
      <c r="K228" s="11">
        <v>45278</v>
      </c>
      <c r="L228" s="14">
        <f t="shared" si="7"/>
        <v>2023</v>
      </c>
      <c r="M228" s="12">
        <v>125718</v>
      </c>
    </row>
    <row r="229" spans="1:13" ht="15.75" hidden="1" customHeight="1" x14ac:dyDescent="0.25">
      <c r="A229" s="9" t="s">
        <v>59</v>
      </c>
      <c r="B229" s="9" t="s">
        <v>78</v>
      </c>
      <c r="C229" s="10" t="s">
        <v>79</v>
      </c>
      <c r="D229" s="9" t="s">
        <v>13</v>
      </c>
      <c r="E229" s="9" t="s">
        <v>72</v>
      </c>
      <c r="F229" s="10">
        <v>53</v>
      </c>
      <c r="G229" s="11">
        <v>44937</v>
      </c>
      <c r="H229" s="14">
        <f t="shared" si="6"/>
        <v>2023</v>
      </c>
      <c r="I229" s="12">
        <v>70674</v>
      </c>
      <c r="J229" s="10">
        <v>1691</v>
      </c>
      <c r="K229" s="11">
        <v>45062</v>
      </c>
      <c r="L229" s="14">
        <f t="shared" si="7"/>
        <v>2023</v>
      </c>
      <c r="M229" s="12">
        <v>70674</v>
      </c>
    </row>
    <row r="230" spans="1:13" ht="15.75" hidden="1" customHeight="1" x14ac:dyDescent="0.25">
      <c r="A230" s="9" t="s">
        <v>15</v>
      </c>
      <c r="B230" s="9" t="s">
        <v>78</v>
      </c>
      <c r="C230" s="10" t="s">
        <v>79</v>
      </c>
      <c r="D230" s="9" t="s">
        <v>40</v>
      </c>
      <c r="E230" s="9" t="s">
        <v>23</v>
      </c>
      <c r="F230" s="10">
        <v>651</v>
      </c>
      <c r="G230" s="11">
        <v>44978</v>
      </c>
      <c r="H230" s="14">
        <f t="shared" si="6"/>
        <v>2023</v>
      </c>
      <c r="I230" s="12">
        <v>4327519</v>
      </c>
      <c r="J230" s="10">
        <v>2328</v>
      </c>
      <c r="K230" s="11">
        <v>45097</v>
      </c>
      <c r="L230" s="14">
        <f t="shared" si="7"/>
        <v>2023</v>
      </c>
      <c r="M230" s="12">
        <v>4327519</v>
      </c>
    </row>
    <row r="231" spans="1:13" ht="15.75" hidden="1" customHeight="1" x14ac:dyDescent="0.25">
      <c r="A231" s="9" t="s">
        <v>15</v>
      </c>
      <c r="B231" s="9" t="s">
        <v>78</v>
      </c>
      <c r="C231" s="10" t="s">
        <v>79</v>
      </c>
      <c r="D231" s="9" t="s">
        <v>40</v>
      </c>
      <c r="E231" s="9" t="s">
        <v>23</v>
      </c>
      <c r="F231" s="10">
        <v>595</v>
      </c>
      <c r="G231" s="11">
        <v>44974</v>
      </c>
      <c r="H231" s="14">
        <f t="shared" si="6"/>
        <v>2023</v>
      </c>
      <c r="I231" s="12">
        <v>3605046</v>
      </c>
      <c r="J231" s="10">
        <v>2337</v>
      </c>
      <c r="K231" s="11">
        <v>45097</v>
      </c>
      <c r="L231" s="14">
        <f t="shared" si="7"/>
        <v>2023</v>
      </c>
      <c r="M231" s="12">
        <v>3605046</v>
      </c>
    </row>
    <row r="232" spans="1:13" ht="15.75" hidden="1" customHeight="1" x14ac:dyDescent="0.25">
      <c r="A232" s="9" t="s">
        <v>15</v>
      </c>
      <c r="B232" s="9" t="s">
        <v>78</v>
      </c>
      <c r="C232" s="10" t="s">
        <v>79</v>
      </c>
      <c r="D232" s="9" t="s">
        <v>13</v>
      </c>
      <c r="E232" s="9" t="s">
        <v>23</v>
      </c>
      <c r="F232" s="10">
        <v>593</v>
      </c>
      <c r="G232" s="11">
        <v>44974</v>
      </c>
      <c r="H232" s="14">
        <f t="shared" si="6"/>
        <v>2023</v>
      </c>
      <c r="I232" s="12">
        <v>1314306</v>
      </c>
      <c r="J232" s="10">
        <v>2340</v>
      </c>
      <c r="K232" s="11">
        <v>45097</v>
      </c>
      <c r="L232" s="14">
        <f t="shared" si="7"/>
        <v>2023</v>
      </c>
      <c r="M232" s="12">
        <v>1314306</v>
      </c>
    </row>
    <row r="233" spans="1:13" ht="15.75" hidden="1" customHeight="1" x14ac:dyDescent="0.25">
      <c r="A233" s="9" t="s">
        <v>10</v>
      </c>
      <c r="B233" s="9" t="s">
        <v>78</v>
      </c>
      <c r="C233" s="10" t="s">
        <v>79</v>
      </c>
      <c r="D233" s="9" t="s">
        <v>40</v>
      </c>
      <c r="E233" s="9" t="s">
        <v>72</v>
      </c>
      <c r="F233" s="10">
        <v>439</v>
      </c>
      <c r="G233" s="11">
        <v>44964</v>
      </c>
      <c r="H233" s="14">
        <f t="shared" si="6"/>
        <v>2023</v>
      </c>
      <c r="I233" s="12">
        <v>39383</v>
      </c>
      <c r="J233" s="10">
        <v>1404</v>
      </c>
      <c r="K233" s="11">
        <v>45042</v>
      </c>
      <c r="L233" s="14">
        <f t="shared" si="7"/>
        <v>2023</v>
      </c>
      <c r="M233" s="12">
        <v>39383</v>
      </c>
    </row>
    <row r="234" spans="1:13" ht="15.75" hidden="1" customHeight="1" x14ac:dyDescent="0.25">
      <c r="A234" s="9" t="s">
        <v>15</v>
      </c>
      <c r="B234" s="9" t="s">
        <v>78</v>
      </c>
      <c r="C234" s="10" t="s">
        <v>79</v>
      </c>
      <c r="D234" s="9" t="s">
        <v>13</v>
      </c>
      <c r="E234" s="9" t="s">
        <v>72</v>
      </c>
      <c r="F234" s="10">
        <v>635</v>
      </c>
      <c r="G234" s="11">
        <v>44978</v>
      </c>
      <c r="H234" s="14">
        <f t="shared" si="6"/>
        <v>2023</v>
      </c>
      <c r="I234" s="12">
        <v>1703687</v>
      </c>
      <c r="J234" s="10">
        <v>1338</v>
      </c>
      <c r="K234" s="11">
        <v>45036</v>
      </c>
      <c r="L234" s="14">
        <f t="shared" si="7"/>
        <v>2023</v>
      </c>
      <c r="M234" s="12">
        <v>1703687</v>
      </c>
    </row>
    <row r="235" spans="1:13" ht="15.75" hidden="1" customHeight="1" x14ac:dyDescent="0.25">
      <c r="A235" s="9" t="s">
        <v>15</v>
      </c>
      <c r="B235" s="9" t="s">
        <v>78</v>
      </c>
      <c r="C235" s="10" t="s">
        <v>79</v>
      </c>
      <c r="D235" s="9" t="s">
        <v>40</v>
      </c>
      <c r="E235" s="9" t="s">
        <v>72</v>
      </c>
      <c r="F235" s="10">
        <v>636</v>
      </c>
      <c r="G235" s="11">
        <v>44978</v>
      </c>
      <c r="H235" s="14">
        <f t="shared" si="6"/>
        <v>2023</v>
      </c>
      <c r="I235" s="12">
        <v>1349568</v>
      </c>
      <c r="J235" s="10">
        <v>1337</v>
      </c>
      <c r="K235" s="11">
        <v>45036</v>
      </c>
      <c r="L235" s="14">
        <f t="shared" si="7"/>
        <v>2023</v>
      </c>
      <c r="M235" s="12">
        <v>1349568</v>
      </c>
    </row>
    <row r="236" spans="1:13" ht="15.75" hidden="1" customHeight="1" x14ac:dyDescent="0.25">
      <c r="A236" s="9" t="s">
        <v>59</v>
      </c>
      <c r="B236" s="9" t="s">
        <v>30</v>
      </c>
      <c r="C236" s="10" t="s">
        <v>56</v>
      </c>
      <c r="D236" s="9" t="s">
        <v>31</v>
      </c>
      <c r="E236" s="9" t="s">
        <v>19</v>
      </c>
      <c r="F236" s="10">
        <v>1886</v>
      </c>
      <c r="G236" s="11">
        <v>44748</v>
      </c>
      <c r="H236" s="14">
        <f t="shared" si="6"/>
        <v>2022</v>
      </c>
      <c r="I236" s="12">
        <v>977968</v>
      </c>
      <c r="J236" s="10">
        <v>5811</v>
      </c>
      <c r="K236" s="11">
        <v>45230</v>
      </c>
      <c r="L236" s="14">
        <f t="shared" si="7"/>
        <v>2023</v>
      </c>
      <c r="M236" s="12">
        <v>977968</v>
      </c>
    </row>
    <row r="237" spans="1:13" ht="15.75" hidden="1" customHeight="1" x14ac:dyDescent="0.25">
      <c r="A237" s="9" t="s">
        <v>15</v>
      </c>
      <c r="B237" s="9" t="s">
        <v>30</v>
      </c>
      <c r="C237" s="10" t="s">
        <v>56</v>
      </c>
      <c r="D237" s="9" t="s">
        <v>31</v>
      </c>
      <c r="E237" s="9" t="s">
        <v>19</v>
      </c>
      <c r="F237" s="10">
        <v>1885</v>
      </c>
      <c r="G237" s="11">
        <v>44748</v>
      </c>
      <c r="H237" s="14">
        <f t="shared" si="6"/>
        <v>2022</v>
      </c>
      <c r="I237" s="12">
        <v>1400588</v>
      </c>
      <c r="J237" s="10">
        <v>2560</v>
      </c>
      <c r="K237" s="11">
        <v>45118</v>
      </c>
      <c r="L237" s="14">
        <f t="shared" si="7"/>
        <v>2023</v>
      </c>
      <c r="M237" s="12">
        <v>1400588</v>
      </c>
    </row>
    <row r="238" spans="1:13" ht="15.75" hidden="1" customHeight="1" x14ac:dyDescent="0.25">
      <c r="A238" s="9" t="s">
        <v>15</v>
      </c>
      <c r="B238" s="9" t="s">
        <v>30</v>
      </c>
      <c r="C238" s="10" t="s">
        <v>56</v>
      </c>
      <c r="D238" s="9" t="s">
        <v>44</v>
      </c>
      <c r="E238" s="9" t="s">
        <v>19</v>
      </c>
      <c r="F238" s="10">
        <v>1884</v>
      </c>
      <c r="G238" s="11">
        <v>44748</v>
      </c>
      <c r="H238" s="14">
        <f t="shared" si="6"/>
        <v>2022</v>
      </c>
      <c r="I238" s="12">
        <v>1171570</v>
      </c>
      <c r="J238" s="10">
        <v>2545</v>
      </c>
      <c r="K238" s="11">
        <v>45118</v>
      </c>
      <c r="L238" s="14">
        <f t="shared" si="7"/>
        <v>2023</v>
      </c>
      <c r="M238" s="12">
        <v>1171570</v>
      </c>
    </row>
    <row r="239" spans="1:13" ht="15.75" hidden="1" customHeight="1" x14ac:dyDescent="0.25">
      <c r="A239" s="9" t="s">
        <v>10</v>
      </c>
      <c r="B239" s="9" t="s">
        <v>30</v>
      </c>
      <c r="C239" s="10" t="s">
        <v>56</v>
      </c>
      <c r="D239" s="9" t="s">
        <v>31</v>
      </c>
      <c r="E239" s="9" t="s">
        <v>14</v>
      </c>
      <c r="F239" s="10">
        <v>3770</v>
      </c>
      <c r="G239" s="11">
        <v>44908</v>
      </c>
      <c r="H239" s="14">
        <f t="shared" si="6"/>
        <v>2022</v>
      </c>
      <c r="I239" s="12">
        <f>945.35*61157</f>
        <v>57814769.950000003</v>
      </c>
      <c r="J239" s="10">
        <v>193</v>
      </c>
      <c r="K239" s="11">
        <v>44947</v>
      </c>
      <c r="L239" s="14">
        <f t="shared" si="7"/>
        <v>2023</v>
      </c>
      <c r="M239" s="12">
        <v>46560788</v>
      </c>
    </row>
    <row r="240" spans="1:13" ht="15.75" hidden="1" customHeight="1" x14ac:dyDescent="0.25">
      <c r="A240" s="9" t="s">
        <v>59</v>
      </c>
      <c r="B240" s="9" t="s">
        <v>30</v>
      </c>
      <c r="C240" s="10" t="s">
        <v>56</v>
      </c>
      <c r="D240" s="9" t="s">
        <v>31</v>
      </c>
      <c r="E240" s="9" t="s">
        <v>14</v>
      </c>
      <c r="F240" s="10">
        <v>3709</v>
      </c>
      <c r="G240" s="11">
        <v>44904</v>
      </c>
      <c r="H240" s="14">
        <f t="shared" si="6"/>
        <v>2022</v>
      </c>
      <c r="I240" s="12">
        <f>782.95*61157</f>
        <v>47882873.150000006</v>
      </c>
      <c r="J240" s="10">
        <v>163</v>
      </c>
      <c r="K240" s="11">
        <v>44949</v>
      </c>
      <c r="L240" s="14">
        <f t="shared" si="7"/>
        <v>2023</v>
      </c>
      <c r="M240" s="12">
        <v>39137660</v>
      </c>
    </row>
    <row r="241" spans="1:13" ht="15.75" hidden="1" customHeight="1" x14ac:dyDescent="0.25">
      <c r="A241" s="9" t="s">
        <v>59</v>
      </c>
      <c r="B241" s="9" t="s">
        <v>30</v>
      </c>
      <c r="C241" s="10" t="s">
        <v>56</v>
      </c>
      <c r="D241" s="9" t="s">
        <v>35</v>
      </c>
      <c r="E241" s="9" t="s">
        <v>14</v>
      </c>
      <c r="F241" s="10">
        <v>3710</v>
      </c>
      <c r="G241" s="11">
        <v>44904</v>
      </c>
      <c r="H241" s="14">
        <f t="shared" si="6"/>
        <v>2022</v>
      </c>
      <c r="I241" s="12">
        <f>1346.45*61157</f>
        <v>82344842.650000006</v>
      </c>
      <c r="J241" s="10">
        <v>164</v>
      </c>
      <c r="K241" s="11">
        <v>44949</v>
      </c>
      <c r="L241" s="14">
        <f t="shared" si="7"/>
        <v>2023</v>
      </c>
      <c r="M241" s="12">
        <v>66948158</v>
      </c>
    </row>
    <row r="242" spans="1:13" ht="15.75" hidden="1" customHeight="1" x14ac:dyDescent="0.25">
      <c r="A242" s="9" t="s">
        <v>59</v>
      </c>
      <c r="B242" s="9" t="s">
        <v>30</v>
      </c>
      <c r="C242" s="10" t="s">
        <v>56</v>
      </c>
      <c r="D242" s="9" t="s">
        <v>44</v>
      </c>
      <c r="E242" s="9" t="s">
        <v>14</v>
      </c>
      <c r="F242" s="10">
        <v>3708</v>
      </c>
      <c r="G242" s="11">
        <v>44904</v>
      </c>
      <c r="H242" s="14">
        <f t="shared" si="6"/>
        <v>2022</v>
      </c>
      <c r="I242" s="12">
        <f>339.15*61157</f>
        <v>20741396.549999997</v>
      </c>
      <c r="J242" s="10">
        <v>162</v>
      </c>
      <c r="K242" s="11">
        <v>44949</v>
      </c>
      <c r="L242" s="14">
        <f t="shared" si="7"/>
        <v>2023</v>
      </c>
      <c r="M242" s="12">
        <v>16560430</v>
      </c>
    </row>
    <row r="243" spans="1:13" ht="15.75" hidden="1" customHeight="1" x14ac:dyDescent="0.25">
      <c r="A243" s="9" t="s">
        <v>10</v>
      </c>
      <c r="B243" s="9" t="s">
        <v>30</v>
      </c>
      <c r="C243" s="10" t="s">
        <v>56</v>
      </c>
      <c r="D243" s="9" t="s">
        <v>35</v>
      </c>
      <c r="E243" s="9" t="s">
        <v>14</v>
      </c>
      <c r="F243" s="10">
        <v>3771</v>
      </c>
      <c r="G243" s="11">
        <v>44908</v>
      </c>
      <c r="H243" s="14">
        <f t="shared" si="6"/>
        <v>2022</v>
      </c>
      <c r="I243" s="12">
        <f>2515.1*61157</f>
        <v>153815970.69999999</v>
      </c>
      <c r="J243" s="10">
        <v>194</v>
      </c>
      <c r="K243" s="11">
        <v>44949</v>
      </c>
      <c r="L243" s="14">
        <f t="shared" si="7"/>
        <v>2023</v>
      </c>
      <c r="M243" s="12">
        <v>109118562</v>
      </c>
    </row>
    <row r="244" spans="1:13" ht="15.75" hidden="1" customHeight="1" x14ac:dyDescent="0.25">
      <c r="A244" s="9" t="s">
        <v>10</v>
      </c>
      <c r="B244" s="9" t="s">
        <v>30</v>
      </c>
      <c r="C244" s="10" t="s">
        <v>56</v>
      </c>
      <c r="D244" s="9" t="s">
        <v>44</v>
      </c>
      <c r="E244" s="9" t="s">
        <v>14</v>
      </c>
      <c r="F244" s="10">
        <v>3772</v>
      </c>
      <c r="G244" s="11">
        <v>44908</v>
      </c>
      <c r="H244" s="14">
        <f t="shared" si="6"/>
        <v>2022</v>
      </c>
      <c r="I244" s="12">
        <f>3073*61157</f>
        <v>187935461</v>
      </c>
      <c r="J244" s="10">
        <v>195</v>
      </c>
      <c r="K244" s="11">
        <v>44949</v>
      </c>
      <c r="L244" s="14">
        <f t="shared" si="7"/>
        <v>2023</v>
      </c>
      <c r="M244" s="12">
        <v>137323867</v>
      </c>
    </row>
    <row r="245" spans="1:13" ht="15.75" hidden="1" customHeight="1" x14ac:dyDescent="0.25">
      <c r="A245" s="9" t="s">
        <v>15</v>
      </c>
      <c r="B245" s="9" t="s">
        <v>30</v>
      </c>
      <c r="C245" s="10" t="s">
        <v>56</v>
      </c>
      <c r="D245" s="9" t="s">
        <v>44</v>
      </c>
      <c r="E245" s="9" t="s">
        <v>73</v>
      </c>
      <c r="F245" s="10">
        <v>154</v>
      </c>
      <c r="G245" s="11">
        <v>44949</v>
      </c>
      <c r="H245" s="14">
        <f t="shared" si="6"/>
        <v>2023</v>
      </c>
      <c r="I245" s="12">
        <v>10074400</v>
      </c>
      <c r="J245" s="10">
        <v>2413</v>
      </c>
      <c r="K245" s="11">
        <v>45106</v>
      </c>
      <c r="L245" s="14">
        <f t="shared" si="7"/>
        <v>2023</v>
      </c>
      <c r="M245" s="12">
        <v>10074400</v>
      </c>
    </row>
    <row r="246" spans="1:13" ht="15.75" hidden="1" customHeight="1" x14ac:dyDescent="0.25">
      <c r="A246" s="9" t="s">
        <v>15</v>
      </c>
      <c r="B246" s="9" t="s">
        <v>30</v>
      </c>
      <c r="C246" s="10" t="s">
        <v>56</v>
      </c>
      <c r="D246" s="9" t="s">
        <v>31</v>
      </c>
      <c r="E246" s="9" t="s">
        <v>73</v>
      </c>
      <c r="F246" s="10">
        <v>156</v>
      </c>
      <c r="G246" s="11">
        <v>44949</v>
      </c>
      <c r="H246" s="14">
        <f t="shared" si="6"/>
        <v>2023</v>
      </c>
      <c r="I246" s="12">
        <v>19881000</v>
      </c>
      <c r="J246" s="10">
        <v>2288</v>
      </c>
      <c r="K246" s="11">
        <v>45092</v>
      </c>
      <c r="L246" s="14">
        <f t="shared" si="7"/>
        <v>2023</v>
      </c>
      <c r="M246" s="12">
        <v>19881000</v>
      </c>
    </row>
    <row r="247" spans="1:13" ht="15.75" hidden="1" customHeight="1" x14ac:dyDescent="0.25">
      <c r="A247" s="9" t="s">
        <v>15</v>
      </c>
      <c r="B247" s="9" t="s">
        <v>30</v>
      </c>
      <c r="C247" s="10" t="s">
        <v>56</v>
      </c>
      <c r="D247" s="9" t="s">
        <v>44</v>
      </c>
      <c r="E247" s="9" t="s">
        <v>73</v>
      </c>
      <c r="F247" s="10">
        <v>189</v>
      </c>
      <c r="G247" s="11">
        <v>44950</v>
      </c>
      <c r="H247" s="14">
        <f t="shared" si="6"/>
        <v>2023</v>
      </c>
      <c r="I247" s="12">
        <v>10205800</v>
      </c>
      <c r="J247" s="10">
        <v>2151</v>
      </c>
      <c r="K247" s="11">
        <v>45083</v>
      </c>
      <c r="L247" s="14">
        <f t="shared" si="7"/>
        <v>2023</v>
      </c>
      <c r="M247" s="12">
        <v>10205800</v>
      </c>
    </row>
    <row r="248" spans="1:13" ht="15.75" hidden="1" customHeight="1" x14ac:dyDescent="0.25">
      <c r="A248" s="9" t="s">
        <v>10</v>
      </c>
      <c r="B248" s="9" t="s">
        <v>30</v>
      </c>
      <c r="C248" s="10" t="s">
        <v>56</v>
      </c>
      <c r="D248" s="9" t="s">
        <v>31</v>
      </c>
      <c r="E248" s="9" t="s">
        <v>73</v>
      </c>
      <c r="F248" s="10">
        <v>426</v>
      </c>
      <c r="G248" s="11">
        <v>44964</v>
      </c>
      <c r="H248" s="14">
        <f t="shared" si="6"/>
        <v>2023</v>
      </c>
      <c r="I248" s="12">
        <v>87325800</v>
      </c>
      <c r="J248" s="10">
        <v>2150</v>
      </c>
      <c r="K248" s="11">
        <v>45083</v>
      </c>
      <c r="L248" s="14">
        <f t="shared" si="7"/>
        <v>2023</v>
      </c>
      <c r="M248" s="12">
        <v>87325800</v>
      </c>
    </row>
    <row r="249" spans="1:13" ht="15.75" hidden="1" customHeight="1" x14ac:dyDescent="0.25">
      <c r="A249" s="9" t="s">
        <v>15</v>
      </c>
      <c r="B249" s="9" t="s">
        <v>30</v>
      </c>
      <c r="C249" s="10" t="s">
        <v>56</v>
      </c>
      <c r="D249" s="9" t="s">
        <v>35</v>
      </c>
      <c r="E249" s="9" t="s">
        <v>19</v>
      </c>
      <c r="F249" s="10">
        <v>658</v>
      </c>
      <c r="G249" s="11">
        <v>44978</v>
      </c>
      <c r="H249" s="14">
        <f t="shared" si="6"/>
        <v>2023</v>
      </c>
      <c r="I249" s="12">
        <v>20321</v>
      </c>
      <c r="J249" s="10">
        <v>1966</v>
      </c>
      <c r="K249" s="11">
        <v>45077</v>
      </c>
      <c r="L249" s="14">
        <f t="shared" si="7"/>
        <v>2023</v>
      </c>
      <c r="M249" s="12">
        <v>20321</v>
      </c>
    </row>
    <row r="250" spans="1:13" ht="15.75" hidden="1" customHeight="1" x14ac:dyDescent="0.25">
      <c r="A250" s="9" t="s">
        <v>15</v>
      </c>
      <c r="B250" s="9" t="s">
        <v>30</v>
      </c>
      <c r="C250" s="10" t="s">
        <v>56</v>
      </c>
      <c r="D250" s="9" t="s">
        <v>44</v>
      </c>
      <c r="E250" s="9" t="s">
        <v>23</v>
      </c>
      <c r="F250" s="10">
        <v>603</v>
      </c>
      <c r="G250" s="11">
        <v>44974</v>
      </c>
      <c r="H250" s="14">
        <f t="shared" si="6"/>
        <v>2023</v>
      </c>
      <c r="I250" s="12">
        <v>33879328</v>
      </c>
      <c r="J250" s="10">
        <v>6112</v>
      </c>
      <c r="K250" s="11">
        <v>45251</v>
      </c>
      <c r="L250" s="14">
        <f t="shared" si="7"/>
        <v>2023</v>
      </c>
      <c r="M250" s="12">
        <v>33879328</v>
      </c>
    </row>
    <row r="251" spans="1:13" ht="15.75" hidden="1" customHeight="1" x14ac:dyDescent="0.25">
      <c r="A251" s="9" t="s">
        <v>15</v>
      </c>
      <c r="B251" s="9" t="s">
        <v>30</v>
      </c>
      <c r="C251" s="10" t="s">
        <v>56</v>
      </c>
      <c r="D251" s="9" t="s">
        <v>31</v>
      </c>
      <c r="E251" s="9" t="s">
        <v>23</v>
      </c>
      <c r="F251" s="10">
        <v>601</v>
      </c>
      <c r="G251" s="11">
        <v>44974</v>
      </c>
      <c r="H251" s="14">
        <f t="shared" si="6"/>
        <v>2023</v>
      </c>
      <c r="I251" s="12">
        <v>14942510</v>
      </c>
      <c r="J251" s="10">
        <v>2582</v>
      </c>
      <c r="K251" s="11">
        <v>45124</v>
      </c>
      <c r="L251" s="14">
        <f t="shared" si="7"/>
        <v>2023</v>
      </c>
      <c r="M251" s="12">
        <v>0</v>
      </c>
    </row>
    <row r="252" spans="1:13" ht="15.75" hidden="1" customHeight="1" x14ac:dyDescent="0.25">
      <c r="A252" s="9" t="s">
        <v>59</v>
      </c>
      <c r="B252" s="9" t="s">
        <v>30</v>
      </c>
      <c r="C252" s="10" t="s">
        <v>56</v>
      </c>
      <c r="D252" s="9" t="s">
        <v>35</v>
      </c>
      <c r="E252" s="9" t="s">
        <v>72</v>
      </c>
      <c r="F252" s="10">
        <v>60</v>
      </c>
      <c r="G252" s="11">
        <v>44937</v>
      </c>
      <c r="H252" s="14">
        <f t="shared" si="6"/>
        <v>2023</v>
      </c>
      <c r="I252" s="12">
        <v>1784403</v>
      </c>
      <c r="J252" s="10">
        <v>1969</v>
      </c>
      <c r="K252" s="11">
        <v>45077</v>
      </c>
      <c r="L252" s="14">
        <f t="shared" si="7"/>
        <v>2023</v>
      </c>
      <c r="M252" s="12">
        <v>1784403</v>
      </c>
    </row>
    <row r="253" spans="1:13" ht="15.75" hidden="1" customHeight="1" x14ac:dyDescent="0.25">
      <c r="A253" s="9" t="s">
        <v>59</v>
      </c>
      <c r="B253" s="9" t="s">
        <v>30</v>
      </c>
      <c r="C253" s="10" t="s">
        <v>56</v>
      </c>
      <c r="D253" s="9" t="s">
        <v>31</v>
      </c>
      <c r="E253" s="9" t="s">
        <v>72</v>
      </c>
      <c r="F253" s="10">
        <v>68</v>
      </c>
      <c r="G253" s="11">
        <v>44937</v>
      </c>
      <c r="H253" s="14">
        <f t="shared" si="6"/>
        <v>2023</v>
      </c>
      <c r="I253" s="12">
        <v>2205450</v>
      </c>
      <c r="J253" s="10">
        <v>1695</v>
      </c>
      <c r="K253" s="11">
        <v>45062</v>
      </c>
      <c r="L253" s="14">
        <f t="shared" si="7"/>
        <v>2023</v>
      </c>
      <c r="M253" s="12">
        <v>2205450</v>
      </c>
    </row>
    <row r="254" spans="1:13" ht="15.75" hidden="1" customHeight="1" x14ac:dyDescent="0.25">
      <c r="A254" s="9" t="s">
        <v>10</v>
      </c>
      <c r="B254" s="9" t="s">
        <v>30</v>
      </c>
      <c r="C254" s="10" t="s">
        <v>56</v>
      </c>
      <c r="D254" s="9" t="s">
        <v>31</v>
      </c>
      <c r="E254" s="9" t="s">
        <v>72</v>
      </c>
      <c r="F254" s="10">
        <v>428</v>
      </c>
      <c r="G254" s="11">
        <v>44964</v>
      </c>
      <c r="H254" s="14">
        <f t="shared" si="6"/>
        <v>2023</v>
      </c>
      <c r="I254" s="12">
        <v>653774</v>
      </c>
      <c r="J254" s="10">
        <v>1423</v>
      </c>
      <c r="K254" s="11">
        <v>45042</v>
      </c>
      <c r="L254" s="14">
        <f t="shared" si="7"/>
        <v>2023</v>
      </c>
      <c r="M254" s="12">
        <v>653774</v>
      </c>
    </row>
    <row r="255" spans="1:13" ht="15.75" hidden="1" customHeight="1" x14ac:dyDescent="0.25">
      <c r="A255" s="9" t="s">
        <v>10</v>
      </c>
      <c r="B255" s="9" t="s">
        <v>30</v>
      </c>
      <c r="C255" s="10" t="s">
        <v>56</v>
      </c>
      <c r="D255" s="9" t="s">
        <v>44</v>
      </c>
      <c r="E255" s="9" t="s">
        <v>72</v>
      </c>
      <c r="F255" s="10">
        <v>427</v>
      </c>
      <c r="G255" s="11">
        <v>44964</v>
      </c>
      <c r="H255" s="14">
        <f t="shared" si="6"/>
        <v>2023</v>
      </c>
      <c r="I255" s="12">
        <v>153368</v>
      </c>
      <c r="J255" s="10">
        <v>1422</v>
      </c>
      <c r="K255" s="11">
        <v>45042</v>
      </c>
      <c r="L255" s="14">
        <f t="shared" si="7"/>
        <v>2023</v>
      </c>
      <c r="M255" s="12">
        <v>153368</v>
      </c>
    </row>
    <row r="256" spans="1:13" ht="15.75" hidden="1" customHeight="1" x14ac:dyDescent="0.25">
      <c r="A256" s="9" t="s">
        <v>10</v>
      </c>
      <c r="B256" s="9" t="s">
        <v>30</v>
      </c>
      <c r="C256" s="10" t="s">
        <v>56</v>
      </c>
      <c r="D256" s="9" t="s">
        <v>31</v>
      </c>
      <c r="E256" s="9" t="s">
        <v>72</v>
      </c>
      <c r="F256" s="10">
        <v>429</v>
      </c>
      <c r="G256" s="11">
        <v>44964</v>
      </c>
      <c r="H256" s="14">
        <f t="shared" si="6"/>
        <v>2023</v>
      </c>
      <c r="I256" s="12">
        <v>18814649</v>
      </c>
      <c r="J256" s="10">
        <v>1424</v>
      </c>
      <c r="K256" s="11">
        <v>45042</v>
      </c>
      <c r="L256" s="14">
        <f t="shared" si="7"/>
        <v>2023</v>
      </c>
      <c r="M256" s="12">
        <v>18814649</v>
      </c>
    </row>
    <row r="257" spans="1:13" ht="15.75" hidden="1" customHeight="1" x14ac:dyDescent="0.25">
      <c r="A257" s="9" t="s">
        <v>10</v>
      </c>
      <c r="B257" s="9" t="s">
        <v>30</v>
      </c>
      <c r="C257" s="10" t="s">
        <v>56</v>
      </c>
      <c r="D257" s="9" t="s">
        <v>44</v>
      </c>
      <c r="E257" s="9" t="s">
        <v>72</v>
      </c>
      <c r="F257" s="10">
        <v>430</v>
      </c>
      <c r="G257" s="11">
        <v>44964</v>
      </c>
      <c r="H257" s="14">
        <f t="shared" si="6"/>
        <v>2023</v>
      </c>
      <c r="I257" s="12">
        <v>3964455</v>
      </c>
      <c r="J257" s="10">
        <v>1425</v>
      </c>
      <c r="K257" s="11">
        <v>45042</v>
      </c>
      <c r="L257" s="14">
        <f t="shared" si="7"/>
        <v>2023</v>
      </c>
      <c r="M257" s="12">
        <v>3964455</v>
      </c>
    </row>
    <row r="258" spans="1:13" ht="15.75" hidden="1" customHeight="1" x14ac:dyDescent="0.25">
      <c r="A258" s="9" t="s">
        <v>10</v>
      </c>
      <c r="B258" s="9" t="s">
        <v>30</v>
      </c>
      <c r="C258" s="10" t="s">
        <v>56</v>
      </c>
      <c r="D258" s="9" t="s">
        <v>35</v>
      </c>
      <c r="E258" s="9" t="s">
        <v>72</v>
      </c>
      <c r="F258" s="10">
        <v>431</v>
      </c>
      <c r="G258" s="11">
        <v>44964</v>
      </c>
      <c r="H258" s="14">
        <f t="shared" ref="H258:H321" si="8">YEAR(G258)</f>
        <v>2023</v>
      </c>
      <c r="I258" s="12">
        <v>27250716</v>
      </c>
      <c r="J258" s="10">
        <v>1421</v>
      </c>
      <c r="K258" s="11">
        <v>45042</v>
      </c>
      <c r="L258" s="14">
        <f t="shared" ref="L258:L321" si="9">YEAR(K258)</f>
        <v>2023</v>
      </c>
      <c r="M258" s="12">
        <v>22878261</v>
      </c>
    </row>
    <row r="259" spans="1:13" ht="15.75" hidden="1" customHeight="1" x14ac:dyDescent="0.25">
      <c r="A259" s="9" t="s">
        <v>15</v>
      </c>
      <c r="B259" s="9" t="s">
        <v>30</v>
      </c>
      <c r="C259" s="10" t="s">
        <v>56</v>
      </c>
      <c r="D259" s="9" t="s">
        <v>31</v>
      </c>
      <c r="E259" s="9" t="s">
        <v>72</v>
      </c>
      <c r="F259" s="10">
        <v>631</v>
      </c>
      <c r="G259" s="11">
        <v>44978</v>
      </c>
      <c r="H259" s="14">
        <f t="shared" si="8"/>
        <v>2023</v>
      </c>
      <c r="I259" s="12">
        <v>96216586</v>
      </c>
      <c r="J259" s="10">
        <v>1342</v>
      </c>
      <c r="K259" s="11">
        <v>45036</v>
      </c>
      <c r="L259" s="14">
        <f t="shared" si="9"/>
        <v>2023</v>
      </c>
      <c r="M259" s="12">
        <v>96216586</v>
      </c>
    </row>
    <row r="260" spans="1:13" ht="15.75" hidden="1" customHeight="1" x14ac:dyDescent="0.25">
      <c r="A260" s="9" t="s">
        <v>15</v>
      </c>
      <c r="B260" s="9" t="s">
        <v>30</v>
      </c>
      <c r="C260" s="10" t="s">
        <v>56</v>
      </c>
      <c r="D260" s="9" t="s">
        <v>35</v>
      </c>
      <c r="E260" s="9" t="s">
        <v>72</v>
      </c>
      <c r="F260" s="10">
        <v>632</v>
      </c>
      <c r="G260" s="11">
        <v>44978</v>
      </c>
      <c r="H260" s="14">
        <f t="shared" si="8"/>
        <v>2023</v>
      </c>
      <c r="I260" s="12">
        <v>17890425</v>
      </c>
      <c r="J260" s="10">
        <v>1341</v>
      </c>
      <c r="K260" s="11">
        <v>45036</v>
      </c>
      <c r="L260" s="14">
        <f t="shared" si="9"/>
        <v>2023</v>
      </c>
      <c r="M260" s="12">
        <v>17890425</v>
      </c>
    </row>
    <row r="261" spans="1:13" ht="15.75" hidden="1" customHeight="1" x14ac:dyDescent="0.25">
      <c r="A261" s="9" t="s">
        <v>15</v>
      </c>
      <c r="B261" s="9" t="s">
        <v>30</v>
      </c>
      <c r="C261" s="10" t="s">
        <v>56</v>
      </c>
      <c r="D261" s="9" t="s">
        <v>31</v>
      </c>
      <c r="E261" s="9" t="s">
        <v>72</v>
      </c>
      <c r="F261" s="10">
        <v>633</v>
      </c>
      <c r="G261" s="11">
        <v>44978</v>
      </c>
      <c r="H261" s="14">
        <f t="shared" si="8"/>
        <v>2023</v>
      </c>
      <c r="I261" s="12">
        <v>10225741</v>
      </c>
      <c r="J261" s="10">
        <v>1340</v>
      </c>
      <c r="K261" s="11">
        <v>45036</v>
      </c>
      <c r="L261" s="14">
        <f t="shared" si="9"/>
        <v>2023</v>
      </c>
      <c r="M261" s="12">
        <v>10225741</v>
      </c>
    </row>
    <row r="262" spans="1:13" ht="15.75" hidden="1" customHeight="1" x14ac:dyDescent="0.25">
      <c r="A262" s="9" t="s">
        <v>15</v>
      </c>
      <c r="B262" s="9" t="s">
        <v>30</v>
      </c>
      <c r="C262" s="10" t="s">
        <v>56</v>
      </c>
      <c r="D262" s="9" t="s">
        <v>35</v>
      </c>
      <c r="E262" s="9" t="s">
        <v>72</v>
      </c>
      <c r="F262" s="10">
        <v>634</v>
      </c>
      <c r="G262" s="11">
        <v>44978</v>
      </c>
      <c r="H262" s="14">
        <f t="shared" si="8"/>
        <v>2023</v>
      </c>
      <c r="I262" s="12">
        <v>101915529</v>
      </c>
      <c r="J262" s="10">
        <v>6414</v>
      </c>
      <c r="K262" s="11">
        <v>45036</v>
      </c>
      <c r="L262" s="14">
        <f t="shared" si="9"/>
        <v>2023</v>
      </c>
      <c r="M262" s="12">
        <v>101915529</v>
      </c>
    </row>
    <row r="263" spans="1:13" ht="15.75" hidden="1" customHeight="1" x14ac:dyDescent="0.25">
      <c r="A263" s="9" t="s">
        <v>59</v>
      </c>
      <c r="B263" s="9" t="s">
        <v>30</v>
      </c>
      <c r="C263" s="10" t="s">
        <v>56</v>
      </c>
      <c r="D263" s="9" t="s">
        <v>44</v>
      </c>
      <c r="E263" s="9" t="s">
        <v>72</v>
      </c>
      <c r="F263" s="10">
        <v>153</v>
      </c>
      <c r="G263" s="11">
        <v>44949</v>
      </c>
      <c r="H263" s="14">
        <f t="shared" si="8"/>
        <v>2023</v>
      </c>
      <c r="I263" s="12">
        <v>431070</v>
      </c>
      <c r="J263" s="10">
        <v>1694</v>
      </c>
      <c r="K263" s="11">
        <v>45062</v>
      </c>
      <c r="L263" s="14">
        <f t="shared" si="9"/>
        <v>2023</v>
      </c>
      <c r="M263" s="12">
        <v>431070</v>
      </c>
    </row>
    <row r="264" spans="1:13" ht="15.75" hidden="1" customHeight="1" x14ac:dyDescent="0.25">
      <c r="A264" s="9" t="s">
        <v>10</v>
      </c>
      <c r="B264" s="9" t="s">
        <v>30</v>
      </c>
      <c r="C264" s="10" t="s">
        <v>56</v>
      </c>
      <c r="D264" s="9" t="s">
        <v>35</v>
      </c>
      <c r="E264" s="9" t="s">
        <v>73</v>
      </c>
      <c r="F264" s="10">
        <v>1886</v>
      </c>
      <c r="G264" s="11">
        <v>45077</v>
      </c>
      <c r="H264" s="14">
        <f t="shared" si="8"/>
        <v>2023</v>
      </c>
      <c r="I264" s="12">
        <v>31495000</v>
      </c>
      <c r="J264" s="10">
        <v>5970</v>
      </c>
      <c r="K264" s="11">
        <v>45240</v>
      </c>
      <c r="L264" s="14">
        <f t="shared" si="9"/>
        <v>2023</v>
      </c>
      <c r="M264" s="12">
        <v>20968800</v>
      </c>
    </row>
    <row r="265" spans="1:13" ht="15.75" hidden="1" customHeight="1" x14ac:dyDescent="0.25">
      <c r="A265" s="9" t="s">
        <v>59</v>
      </c>
      <c r="B265" s="9" t="s">
        <v>30</v>
      </c>
      <c r="C265" s="10" t="s">
        <v>82</v>
      </c>
      <c r="D265" s="9" t="s">
        <v>75</v>
      </c>
      <c r="E265" s="9" t="s">
        <v>14</v>
      </c>
      <c r="F265" s="10">
        <v>1767</v>
      </c>
      <c r="G265" s="11">
        <v>45065</v>
      </c>
      <c r="H265" s="14">
        <f t="shared" si="8"/>
        <v>2023</v>
      </c>
      <c r="I265" s="12">
        <f>42*63074</f>
        <v>2649108</v>
      </c>
      <c r="J265" s="10">
        <v>2901</v>
      </c>
      <c r="K265" s="11">
        <v>45155</v>
      </c>
      <c r="L265" s="14">
        <f t="shared" si="9"/>
        <v>2023</v>
      </c>
      <c r="M265" s="12">
        <f>21*63499</f>
        <v>1333479</v>
      </c>
    </row>
    <row r="266" spans="1:13" ht="15.75" hidden="1" customHeight="1" x14ac:dyDescent="0.25">
      <c r="A266" s="9" t="s">
        <v>59</v>
      </c>
      <c r="B266" s="9" t="s">
        <v>30</v>
      </c>
      <c r="C266" s="10" t="s">
        <v>82</v>
      </c>
      <c r="D266" s="9" t="s">
        <v>34</v>
      </c>
      <c r="E266" s="9" t="s">
        <v>14</v>
      </c>
      <c r="F266" s="10">
        <v>1766</v>
      </c>
      <c r="G266" s="11">
        <v>45065</v>
      </c>
      <c r="H266" s="14">
        <f t="shared" si="8"/>
        <v>2023</v>
      </c>
      <c r="I266" s="12">
        <f>5707.8*63074</f>
        <v>360013777.19999999</v>
      </c>
      <c r="J266" s="10">
        <v>5967</v>
      </c>
      <c r="K266" s="11">
        <v>45240</v>
      </c>
      <c r="L266" s="14">
        <f t="shared" si="9"/>
        <v>2023</v>
      </c>
      <c r="M266" s="12">
        <v>92227751</v>
      </c>
    </row>
    <row r="267" spans="1:13" ht="15.75" hidden="1" customHeight="1" x14ac:dyDescent="0.25">
      <c r="A267" s="9" t="s">
        <v>15</v>
      </c>
      <c r="B267" s="9" t="s">
        <v>30</v>
      </c>
      <c r="C267" s="10" t="s">
        <v>56</v>
      </c>
      <c r="D267" s="9" t="s">
        <v>35</v>
      </c>
      <c r="E267" s="9" t="s">
        <v>69</v>
      </c>
      <c r="F267" s="10">
        <v>2986</v>
      </c>
      <c r="G267" s="11">
        <v>45161</v>
      </c>
      <c r="H267" s="14">
        <f t="shared" si="8"/>
        <v>2023</v>
      </c>
      <c r="I267" s="12">
        <f>3*48305</f>
        <v>144915</v>
      </c>
      <c r="J267" s="10">
        <v>5949</v>
      </c>
      <c r="K267" s="11">
        <v>45240</v>
      </c>
      <c r="L267" s="14">
        <f t="shared" si="9"/>
        <v>2023</v>
      </c>
      <c r="M267" s="12">
        <v>0</v>
      </c>
    </row>
    <row r="268" spans="1:13" ht="15.75" hidden="1" customHeight="1" x14ac:dyDescent="0.25">
      <c r="A268" s="9" t="s">
        <v>10</v>
      </c>
      <c r="B268" s="9" t="s">
        <v>30</v>
      </c>
      <c r="C268" s="10" t="s">
        <v>56</v>
      </c>
      <c r="D268" s="9" t="s">
        <v>44</v>
      </c>
      <c r="E268" s="9" t="s">
        <v>69</v>
      </c>
      <c r="F268" s="10">
        <v>2980</v>
      </c>
      <c r="G268" s="11">
        <v>45161</v>
      </c>
      <c r="H268" s="14">
        <f t="shared" si="8"/>
        <v>2023</v>
      </c>
      <c r="I268" s="12">
        <f>3.2*48305</f>
        <v>154576</v>
      </c>
      <c r="J268" s="10">
        <v>5948</v>
      </c>
      <c r="K268" s="11">
        <v>45240</v>
      </c>
      <c r="L268" s="14">
        <f t="shared" si="9"/>
        <v>2023</v>
      </c>
      <c r="M268" s="12">
        <v>0</v>
      </c>
    </row>
    <row r="269" spans="1:13" ht="15.75" hidden="1" customHeight="1" x14ac:dyDescent="0.25">
      <c r="A269" s="9" t="s">
        <v>10</v>
      </c>
      <c r="B269" s="9" t="s">
        <v>53</v>
      </c>
      <c r="C269" s="10" t="s">
        <v>17</v>
      </c>
      <c r="D269" s="9" t="s">
        <v>13</v>
      </c>
      <c r="E269" s="9" t="s">
        <v>14</v>
      </c>
      <c r="F269" s="10">
        <v>1912</v>
      </c>
      <c r="G269" s="11">
        <v>45077</v>
      </c>
      <c r="H269" s="14">
        <f t="shared" si="8"/>
        <v>2023</v>
      </c>
      <c r="I269" s="12">
        <f>2179.1*63074</f>
        <v>137444553.40000001</v>
      </c>
      <c r="J269" s="10">
        <v>6371</v>
      </c>
      <c r="K269" s="11">
        <v>45270</v>
      </c>
      <c r="L269" s="14">
        <f t="shared" si="9"/>
        <v>2023</v>
      </c>
      <c r="M269" s="12">
        <v>139375236</v>
      </c>
    </row>
    <row r="270" spans="1:13" ht="15.75" hidden="1" customHeight="1" x14ac:dyDescent="0.25">
      <c r="A270" s="9" t="s">
        <v>10</v>
      </c>
      <c r="B270" s="9" t="s">
        <v>53</v>
      </c>
      <c r="C270" s="10" t="s">
        <v>17</v>
      </c>
      <c r="D270" s="9" t="s">
        <v>54</v>
      </c>
      <c r="E270" s="9" t="s">
        <v>14</v>
      </c>
      <c r="F270" s="10">
        <v>1910</v>
      </c>
      <c r="G270" s="11">
        <v>45077</v>
      </c>
      <c r="H270" s="14">
        <f t="shared" si="8"/>
        <v>2023</v>
      </c>
      <c r="I270" s="12">
        <f>1900.15*63074</f>
        <v>119850061.10000001</v>
      </c>
      <c r="J270" s="10">
        <v>6368</v>
      </c>
      <c r="K270" s="11">
        <v>45270</v>
      </c>
      <c r="L270" s="14">
        <f t="shared" si="9"/>
        <v>2023</v>
      </c>
      <c r="M270" s="12">
        <v>121533594</v>
      </c>
    </row>
    <row r="271" spans="1:13" ht="15.75" hidden="1" customHeight="1" x14ac:dyDescent="0.25">
      <c r="A271" s="9" t="s">
        <v>10</v>
      </c>
      <c r="B271" s="9" t="s">
        <v>53</v>
      </c>
      <c r="C271" s="10" t="s">
        <v>17</v>
      </c>
      <c r="D271" s="9" t="s">
        <v>13</v>
      </c>
      <c r="E271" s="9" t="s">
        <v>14</v>
      </c>
      <c r="F271" s="10">
        <v>1453</v>
      </c>
      <c r="G271" s="11">
        <v>45042</v>
      </c>
      <c r="H271" s="14">
        <f t="shared" si="8"/>
        <v>2023</v>
      </c>
      <c r="I271" s="12">
        <f>43.58*60386</f>
        <v>2631621.88</v>
      </c>
      <c r="J271" s="10">
        <v>5468</v>
      </c>
      <c r="K271" s="11">
        <v>45203</v>
      </c>
      <c r="L271" s="14">
        <f t="shared" si="9"/>
        <v>2023</v>
      </c>
      <c r="M271" s="12">
        <v>2765238</v>
      </c>
    </row>
    <row r="272" spans="1:13" ht="15.75" hidden="1" customHeight="1" x14ac:dyDescent="0.25">
      <c r="A272" s="9" t="s">
        <v>10</v>
      </c>
      <c r="B272" s="9" t="s">
        <v>53</v>
      </c>
      <c r="C272" s="10" t="s">
        <v>17</v>
      </c>
      <c r="D272" s="9" t="s">
        <v>13</v>
      </c>
      <c r="E272" s="9" t="s">
        <v>14</v>
      </c>
      <c r="F272" s="10">
        <v>1980</v>
      </c>
      <c r="G272" s="11">
        <v>45077</v>
      </c>
      <c r="H272" s="14">
        <f t="shared" si="8"/>
        <v>2023</v>
      </c>
      <c r="I272" s="12">
        <f>416.44*63074</f>
        <v>26266536.559999999</v>
      </c>
      <c r="J272" s="10">
        <v>5152</v>
      </c>
      <c r="K272" s="11">
        <v>45177</v>
      </c>
      <c r="L272" s="14">
        <f t="shared" si="9"/>
        <v>2023</v>
      </c>
      <c r="M272" s="12">
        <v>26423951</v>
      </c>
    </row>
    <row r="273" spans="1:13" ht="15.75" hidden="1" customHeight="1" x14ac:dyDescent="0.25">
      <c r="A273" s="9" t="s">
        <v>59</v>
      </c>
      <c r="B273" s="9" t="s">
        <v>53</v>
      </c>
      <c r="C273" s="10" t="s">
        <v>17</v>
      </c>
      <c r="D273" s="9" t="s">
        <v>54</v>
      </c>
      <c r="E273" s="9" t="s">
        <v>14</v>
      </c>
      <c r="F273" s="10">
        <v>1985</v>
      </c>
      <c r="G273" s="11">
        <v>45077</v>
      </c>
      <c r="H273" s="14">
        <f t="shared" si="8"/>
        <v>2023</v>
      </c>
      <c r="I273" s="12">
        <f>11.75*63074</f>
        <v>741119.5</v>
      </c>
      <c r="J273" s="10">
        <v>5158</v>
      </c>
      <c r="K273" s="11">
        <v>45177</v>
      </c>
      <c r="L273" s="14">
        <f t="shared" si="9"/>
        <v>2023</v>
      </c>
      <c r="M273" s="12">
        <v>745561</v>
      </c>
    </row>
    <row r="274" spans="1:13" ht="15.75" hidden="1" customHeight="1" x14ac:dyDescent="0.25">
      <c r="A274" s="9" t="s">
        <v>59</v>
      </c>
      <c r="B274" s="9" t="s">
        <v>53</v>
      </c>
      <c r="C274" s="10" t="s">
        <v>17</v>
      </c>
      <c r="D274" s="9" t="s">
        <v>13</v>
      </c>
      <c r="E274" s="9" t="s">
        <v>14</v>
      </c>
      <c r="F274" s="10">
        <v>1984</v>
      </c>
      <c r="G274" s="11">
        <v>45077</v>
      </c>
      <c r="H274" s="14">
        <f t="shared" si="8"/>
        <v>2023</v>
      </c>
      <c r="I274" s="12">
        <f>69.29*63074</f>
        <v>4370397.46</v>
      </c>
      <c r="J274" s="10">
        <v>5134</v>
      </c>
      <c r="K274" s="11">
        <v>45177</v>
      </c>
      <c r="L274" s="14">
        <f t="shared" si="9"/>
        <v>2023</v>
      </c>
      <c r="M274" s="12">
        <v>4396589</v>
      </c>
    </row>
    <row r="275" spans="1:13" ht="15.75" hidden="1" customHeight="1" x14ac:dyDescent="0.25">
      <c r="A275" s="9" t="s">
        <v>10</v>
      </c>
      <c r="B275" s="9" t="s">
        <v>53</v>
      </c>
      <c r="C275" s="10" t="s">
        <v>17</v>
      </c>
      <c r="D275" s="9" t="s">
        <v>13</v>
      </c>
      <c r="E275" s="9" t="s">
        <v>14</v>
      </c>
      <c r="F275" s="10">
        <v>1981</v>
      </c>
      <c r="G275" s="11">
        <v>45077</v>
      </c>
      <c r="H275" s="14">
        <f t="shared" si="8"/>
        <v>2023</v>
      </c>
      <c r="I275" s="12">
        <f>348.49*63074</f>
        <v>21980658.260000002</v>
      </c>
      <c r="J275" s="10">
        <v>5154</v>
      </c>
      <c r="K275" s="11">
        <v>45177</v>
      </c>
      <c r="L275" s="14">
        <f t="shared" si="9"/>
        <v>2023</v>
      </c>
      <c r="M275" s="12">
        <v>22112387</v>
      </c>
    </row>
    <row r="276" spans="1:13" ht="15.75" hidden="1" customHeight="1" x14ac:dyDescent="0.25">
      <c r="A276" s="9" t="s">
        <v>59</v>
      </c>
      <c r="B276" s="9" t="s">
        <v>51</v>
      </c>
      <c r="C276" s="10" t="s">
        <v>21</v>
      </c>
      <c r="D276" s="9" t="s">
        <v>13</v>
      </c>
      <c r="E276" s="9" t="s">
        <v>14</v>
      </c>
      <c r="F276" s="10">
        <v>2342</v>
      </c>
      <c r="G276" s="11">
        <v>44771</v>
      </c>
      <c r="H276" s="14">
        <f t="shared" si="8"/>
        <v>2022</v>
      </c>
      <c r="I276" s="12">
        <f>80.5*58298</f>
        <v>4692989</v>
      </c>
      <c r="J276" s="10">
        <v>965</v>
      </c>
      <c r="K276" s="11">
        <v>45005</v>
      </c>
      <c r="L276" s="14">
        <f t="shared" si="9"/>
        <v>2023</v>
      </c>
      <c r="M276" s="12">
        <v>5027225</v>
      </c>
    </row>
    <row r="277" spans="1:13" ht="15.75" hidden="1" customHeight="1" x14ac:dyDescent="0.25">
      <c r="A277" s="9" t="s">
        <v>10</v>
      </c>
      <c r="B277" s="9" t="s">
        <v>51</v>
      </c>
      <c r="C277" s="10" t="s">
        <v>21</v>
      </c>
      <c r="D277" s="9" t="s">
        <v>13</v>
      </c>
      <c r="E277" s="9" t="s">
        <v>14</v>
      </c>
      <c r="F277" s="10">
        <v>2068</v>
      </c>
      <c r="G277" s="11">
        <v>44754</v>
      </c>
      <c r="H277" s="14">
        <f t="shared" si="8"/>
        <v>2022</v>
      </c>
      <c r="I277" s="12">
        <f>704.9*58298</f>
        <v>41094260.199999996</v>
      </c>
      <c r="J277" s="10">
        <v>964</v>
      </c>
      <c r="K277" s="11">
        <v>45005</v>
      </c>
      <c r="L277" s="14">
        <f t="shared" si="9"/>
        <v>2023</v>
      </c>
      <c r="M277" s="12">
        <v>43650026.950000003</v>
      </c>
    </row>
    <row r="278" spans="1:13" ht="15.75" hidden="1" customHeight="1" x14ac:dyDescent="0.25">
      <c r="A278" s="9" t="s">
        <v>59</v>
      </c>
      <c r="B278" s="9" t="s">
        <v>51</v>
      </c>
      <c r="C278" s="10" t="s">
        <v>21</v>
      </c>
      <c r="D278" s="9" t="s">
        <v>83</v>
      </c>
      <c r="E278" s="9" t="s">
        <v>72</v>
      </c>
      <c r="F278" s="10">
        <v>1890</v>
      </c>
      <c r="G278" s="11">
        <v>44748</v>
      </c>
      <c r="H278" s="14">
        <f t="shared" si="8"/>
        <v>2022</v>
      </c>
      <c r="I278" s="12">
        <f>100.9*58298</f>
        <v>5882268.2000000002</v>
      </c>
      <c r="J278" s="10">
        <v>279</v>
      </c>
      <c r="K278" s="11">
        <v>45012</v>
      </c>
      <c r="L278" s="14">
        <f t="shared" si="9"/>
        <v>2023</v>
      </c>
      <c r="M278" s="12">
        <v>0</v>
      </c>
    </row>
    <row r="279" spans="1:13" ht="15.75" hidden="1" customHeight="1" x14ac:dyDescent="0.25">
      <c r="A279" s="9" t="s">
        <v>59</v>
      </c>
      <c r="B279" s="9" t="s">
        <v>51</v>
      </c>
      <c r="C279" s="10" t="s">
        <v>21</v>
      </c>
      <c r="D279" s="9" t="s">
        <v>83</v>
      </c>
      <c r="E279" s="9" t="s">
        <v>72</v>
      </c>
      <c r="F279" s="10">
        <v>1889</v>
      </c>
      <c r="G279" s="11">
        <v>44748</v>
      </c>
      <c r="H279" s="14">
        <f t="shared" si="8"/>
        <v>2022</v>
      </c>
      <c r="I279" s="12">
        <f>2140.72*58298</f>
        <v>124799694.55999999</v>
      </c>
      <c r="J279" s="10">
        <v>955</v>
      </c>
      <c r="K279" s="11">
        <v>45005</v>
      </c>
      <c r="L279" s="14">
        <f t="shared" si="9"/>
        <v>2023</v>
      </c>
      <c r="M279" s="12">
        <v>436</v>
      </c>
    </row>
    <row r="280" spans="1:13" ht="15.75" hidden="1" customHeight="1" x14ac:dyDescent="0.25">
      <c r="A280" s="9" t="s">
        <v>10</v>
      </c>
      <c r="B280" s="9" t="s">
        <v>51</v>
      </c>
      <c r="C280" s="10" t="s">
        <v>21</v>
      </c>
      <c r="D280" s="9" t="s">
        <v>83</v>
      </c>
      <c r="E280" s="9" t="s">
        <v>72</v>
      </c>
      <c r="F280" s="10">
        <v>2922</v>
      </c>
      <c r="G280" s="11">
        <v>44834</v>
      </c>
      <c r="H280" s="14">
        <f t="shared" si="8"/>
        <v>2022</v>
      </c>
      <c r="I280" s="12">
        <f>1792.59*59595</f>
        <v>106829401.05</v>
      </c>
      <c r="J280" s="10">
        <v>225</v>
      </c>
      <c r="K280" s="11">
        <v>44953</v>
      </c>
      <c r="L280" s="14">
        <f t="shared" si="9"/>
        <v>2023</v>
      </c>
      <c r="M280" s="12">
        <v>27153652</v>
      </c>
    </row>
    <row r="281" spans="1:13" ht="15.75" hidden="1" customHeight="1" x14ac:dyDescent="0.25">
      <c r="A281" s="9" t="s">
        <v>10</v>
      </c>
      <c r="B281" s="9" t="s">
        <v>51</v>
      </c>
      <c r="C281" s="10" t="s">
        <v>21</v>
      </c>
      <c r="D281" s="9" t="s">
        <v>83</v>
      </c>
      <c r="E281" s="9" t="s">
        <v>72</v>
      </c>
      <c r="F281" s="10">
        <v>2921</v>
      </c>
      <c r="G281" s="11">
        <v>44834</v>
      </c>
      <c r="H281" s="14">
        <f t="shared" si="8"/>
        <v>2022</v>
      </c>
      <c r="I281" s="12">
        <f>523.13*59595</f>
        <v>31175932.350000001</v>
      </c>
      <c r="J281" s="10">
        <v>954</v>
      </c>
      <c r="K281" s="11">
        <v>45005</v>
      </c>
      <c r="L281" s="14">
        <f t="shared" si="9"/>
        <v>2023</v>
      </c>
      <c r="M281" s="12">
        <f>416.13*62450</f>
        <v>25987318.5</v>
      </c>
    </row>
    <row r="282" spans="1:13" ht="15.75" hidden="1" customHeight="1" x14ac:dyDescent="0.25">
      <c r="A282" s="9" t="s">
        <v>15</v>
      </c>
      <c r="B282" s="9" t="s">
        <v>51</v>
      </c>
      <c r="C282" s="10" t="s">
        <v>21</v>
      </c>
      <c r="D282" s="9" t="s">
        <v>13</v>
      </c>
      <c r="E282" s="9" t="s">
        <v>65</v>
      </c>
      <c r="F282" s="10">
        <v>2575</v>
      </c>
      <c r="G282" s="11">
        <v>44795</v>
      </c>
      <c r="H282" s="14">
        <f t="shared" si="8"/>
        <v>2022</v>
      </c>
      <c r="I282" s="12">
        <f>2.4*58772</f>
        <v>141052.79999999999</v>
      </c>
      <c r="J282" s="10">
        <v>236</v>
      </c>
      <c r="K282" s="11">
        <v>44953</v>
      </c>
      <c r="L282" s="14">
        <f t="shared" si="9"/>
        <v>2023</v>
      </c>
      <c r="M282" s="12">
        <v>148246</v>
      </c>
    </row>
    <row r="283" spans="1:13" ht="15.75" hidden="1" customHeight="1" x14ac:dyDescent="0.25">
      <c r="A283" s="9" t="s">
        <v>15</v>
      </c>
      <c r="B283" s="9" t="s">
        <v>51</v>
      </c>
      <c r="C283" s="10" t="s">
        <v>21</v>
      </c>
      <c r="D283" s="9" t="s">
        <v>13</v>
      </c>
      <c r="E283" s="9" t="s">
        <v>65</v>
      </c>
      <c r="F283" s="10">
        <v>2576</v>
      </c>
      <c r="G283" s="11">
        <v>44795</v>
      </c>
      <c r="H283" s="14">
        <f t="shared" si="8"/>
        <v>2022</v>
      </c>
      <c r="I283" s="12">
        <f>2.6*58772</f>
        <v>152807.20000000001</v>
      </c>
      <c r="J283" s="10">
        <v>235</v>
      </c>
      <c r="K283" s="11">
        <v>44953</v>
      </c>
      <c r="L283" s="14">
        <f t="shared" si="9"/>
        <v>2023</v>
      </c>
      <c r="M283" s="12">
        <v>0</v>
      </c>
    </row>
    <row r="284" spans="1:13" ht="15.75" hidden="1" customHeight="1" x14ac:dyDescent="0.25">
      <c r="A284" s="9" t="s">
        <v>59</v>
      </c>
      <c r="B284" s="9" t="s">
        <v>51</v>
      </c>
      <c r="C284" s="10" t="s">
        <v>17</v>
      </c>
      <c r="D284" s="9" t="s">
        <v>13</v>
      </c>
      <c r="E284" s="9" t="s">
        <v>14</v>
      </c>
      <c r="F284" s="10">
        <v>1442</v>
      </c>
      <c r="G284" s="11">
        <v>45042</v>
      </c>
      <c r="H284" s="14">
        <f t="shared" si="8"/>
        <v>2023</v>
      </c>
      <c r="I284" s="12">
        <f>158.2*60386</f>
        <v>9553065.1999999993</v>
      </c>
      <c r="J284" s="10">
        <v>2973</v>
      </c>
      <c r="K284" s="11">
        <v>45161</v>
      </c>
      <c r="L284" s="14">
        <f t="shared" si="9"/>
        <v>2023</v>
      </c>
      <c r="M284" s="12">
        <v>9998082</v>
      </c>
    </row>
    <row r="285" spans="1:13" ht="15.75" hidden="1" customHeight="1" x14ac:dyDescent="0.25">
      <c r="A285" s="9" t="s">
        <v>10</v>
      </c>
      <c r="B285" s="9" t="s">
        <v>51</v>
      </c>
      <c r="C285" s="10" t="s">
        <v>17</v>
      </c>
      <c r="D285" s="9" t="s">
        <v>13</v>
      </c>
      <c r="E285" s="9" t="s">
        <v>14</v>
      </c>
      <c r="F285" s="10">
        <v>1899</v>
      </c>
      <c r="G285" s="11">
        <v>45077</v>
      </c>
      <c r="H285" s="14">
        <f t="shared" si="8"/>
        <v>2023</v>
      </c>
      <c r="I285" s="12">
        <f>47.6*63074</f>
        <v>3002322.4</v>
      </c>
      <c r="J285" s="10">
        <v>2972</v>
      </c>
      <c r="K285" s="11">
        <v>45161</v>
      </c>
      <c r="L285" s="14">
        <f t="shared" si="9"/>
        <v>2023</v>
      </c>
      <c r="M285" s="12">
        <v>3008272</v>
      </c>
    </row>
    <row r="286" spans="1:13" ht="15.75" hidden="1" customHeight="1" x14ac:dyDescent="0.25">
      <c r="A286" s="9" t="s">
        <v>10</v>
      </c>
      <c r="B286" s="9" t="s">
        <v>51</v>
      </c>
      <c r="C286" s="10" t="s">
        <v>17</v>
      </c>
      <c r="D286" s="9" t="s">
        <v>13</v>
      </c>
      <c r="E286" s="9" t="s">
        <v>14</v>
      </c>
      <c r="F286" s="10">
        <v>2011</v>
      </c>
      <c r="G286" s="11">
        <v>45077</v>
      </c>
      <c r="H286" s="14">
        <f t="shared" si="8"/>
        <v>2023</v>
      </c>
      <c r="I286" s="12">
        <f>1.37*63074</f>
        <v>86411.38</v>
      </c>
      <c r="J286" s="10">
        <v>2971</v>
      </c>
      <c r="K286" s="11">
        <v>45161</v>
      </c>
      <c r="L286" s="14">
        <f t="shared" si="9"/>
        <v>2023</v>
      </c>
      <c r="M286" s="12">
        <v>86583</v>
      </c>
    </row>
    <row r="287" spans="1:13" ht="15.75" hidden="1" customHeight="1" x14ac:dyDescent="0.25">
      <c r="A287" s="9" t="s">
        <v>15</v>
      </c>
      <c r="B287" s="9" t="s">
        <v>48</v>
      </c>
      <c r="C287" s="10" t="s">
        <v>21</v>
      </c>
      <c r="D287" s="9" t="s">
        <v>13</v>
      </c>
      <c r="E287" s="9" t="s">
        <v>47</v>
      </c>
      <c r="F287" s="10">
        <v>3056</v>
      </c>
      <c r="G287" s="11">
        <v>44187</v>
      </c>
      <c r="H287" s="14">
        <f t="shared" si="8"/>
        <v>2020</v>
      </c>
      <c r="I287" s="12">
        <f>132.65*51029</f>
        <v>6768996.8500000006</v>
      </c>
      <c r="J287" s="10">
        <v>1142</v>
      </c>
      <c r="K287" s="11">
        <v>45016</v>
      </c>
      <c r="L287" s="14">
        <f t="shared" si="9"/>
        <v>2023</v>
      </c>
      <c r="M287" s="12">
        <v>8283993</v>
      </c>
    </row>
    <row r="288" spans="1:13" ht="15.75" hidden="1" customHeight="1" x14ac:dyDescent="0.25">
      <c r="A288" s="9" t="s">
        <v>15</v>
      </c>
      <c r="B288" s="9" t="s">
        <v>48</v>
      </c>
      <c r="C288" s="10" t="s">
        <v>21</v>
      </c>
      <c r="D288" s="9" t="s">
        <v>13</v>
      </c>
      <c r="E288" s="9" t="s">
        <v>47</v>
      </c>
      <c r="F288" s="10">
        <v>299</v>
      </c>
      <c r="G288" s="11">
        <v>44225</v>
      </c>
      <c r="H288" s="14">
        <f t="shared" si="8"/>
        <v>2021</v>
      </c>
      <c r="I288" s="12">
        <f>132.65*50978</f>
        <v>6762231.7000000002</v>
      </c>
      <c r="J288" s="10">
        <v>990</v>
      </c>
      <c r="K288" s="11">
        <v>45005</v>
      </c>
      <c r="L288" s="14">
        <f t="shared" si="9"/>
        <v>2023</v>
      </c>
      <c r="M288" s="12">
        <v>7628268</v>
      </c>
    </row>
    <row r="289" spans="1:13" ht="15.75" hidden="1" customHeight="1" x14ac:dyDescent="0.25">
      <c r="A289" s="9" t="s">
        <v>15</v>
      </c>
      <c r="B289" s="9" t="s">
        <v>48</v>
      </c>
      <c r="C289" s="10" t="s">
        <v>21</v>
      </c>
      <c r="D289" s="9" t="s">
        <v>13</v>
      </c>
      <c r="E289" s="9" t="s">
        <v>14</v>
      </c>
      <c r="F289" s="10">
        <v>239</v>
      </c>
      <c r="G289" s="11">
        <v>44215</v>
      </c>
      <c r="H289" s="14">
        <f t="shared" si="8"/>
        <v>2021</v>
      </c>
      <c r="I289" s="12">
        <f>26.6*50978</f>
        <v>1356014.8</v>
      </c>
      <c r="J289" s="10">
        <v>989</v>
      </c>
      <c r="K289" s="11">
        <v>45005</v>
      </c>
      <c r="L289" s="14">
        <f t="shared" si="9"/>
        <v>2023</v>
      </c>
      <c r="M289" s="12">
        <v>1661170</v>
      </c>
    </row>
    <row r="290" spans="1:13" ht="15.75" hidden="1" customHeight="1" x14ac:dyDescent="0.25">
      <c r="A290" s="9" t="s">
        <v>10</v>
      </c>
      <c r="B290" s="9" t="s">
        <v>48</v>
      </c>
      <c r="C290" s="10" t="s">
        <v>79</v>
      </c>
      <c r="D290" s="9" t="s">
        <v>25</v>
      </c>
      <c r="E290" s="9" t="s">
        <v>65</v>
      </c>
      <c r="F290" s="10">
        <v>1923</v>
      </c>
      <c r="G290" s="11">
        <v>44371</v>
      </c>
      <c r="H290" s="14">
        <f t="shared" si="8"/>
        <v>2021</v>
      </c>
      <c r="I290" s="12">
        <f>5.2*52005</f>
        <v>270426</v>
      </c>
      <c r="J290" s="10">
        <v>2138</v>
      </c>
      <c r="K290" s="11">
        <v>45083</v>
      </c>
      <c r="L290" s="14">
        <f t="shared" si="9"/>
        <v>2023</v>
      </c>
      <c r="M290" s="12">
        <v>251436</v>
      </c>
    </row>
    <row r="291" spans="1:13" ht="15.75" hidden="1" customHeight="1" x14ac:dyDescent="0.25">
      <c r="A291" s="9" t="s">
        <v>59</v>
      </c>
      <c r="B291" s="9" t="s">
        <v>48</v>
      </c>
      <c r="C291" s="10" t="s">
        <v>79</v>
      </c>
      <c r="D291" s="9" t="s">
        <v>25</v>
      </c>
      <c r="E291" s="9" t="s">
        <v>65</v>
      </c>
      <c r="F291" s="10">
        <v>1922</v>
      </c>
      <c r="G291" s="11">
        <v>44371</v>
      </c>
      <c r="H291" s="14">
        <f t="shared" si="8"/>
        <v>2021</v>
      </c>
      <c r="I291" s="12">
        <f>2.4*52005</f>
        <v>124812</v>
      </c>
      <c r="J291" s="10">
        <v>2014</v>
      </c>
      <c r="K291" s="11">
        <v>45077</v>
      </c>
      <c r="L291" s="14">
        <f t="shared" si="9"/>
        <v>2023</v>
      </c>
      <c r="M291" s="12">
        <v>116047</v>
      </c>
    </row>
    <row r="292" spans="1:13" ht="15.75" hidden="1" customHeight="1" x14ac:dyDescent="0.25">
      <c r="A292" s="9" t="s">
        <v>15</v>
      </c>
      <c r="B292" s="9" t="s">
        <v>48</v>
      </c>
      <c r="C292" s="10" t="s">
        <v>21</v>
      </c>
      <c r="D292" s="9" t="s">
        <v>13</v>
      </c>
      <c r="E292" s="9" t="s">
        <v>14</v>
      </c>
      <c r="F292" s="10">
        <v>3424</v>
      </c>
      <c r="G292" s="11">
        <v>44554</v>
      </c>
      <c r="H292" s="14">
        <f t="shared" si="8"/>
        <v>2021</v>
      </c>
      <c r="I292" s="12">
        <f>343*54171</f>
        <v>18580653</v>
      </c>
      <c r="J292" s="10">
        <v>1110</v>
      </c>
      <c r="K292" s="11">
        <v>45016</v>
      </c>
      <c r="L292" s="14">
        <f t="shared" si="9"/>
        <v>2023</v>
      </c>
      <c r="M292" s="12">
        <v>21420351</v>
      </c>
    </row>
    <row r="293" spans="1:13" ht="15.75" hidden="1" customHeight="1" x14ac:dyDescent="0.25">
      <c r="A293" s="9" t="s">
        <v>59</v>
      </c>
      <c r="B293" s="9" t="s">
        <v>48</v>
      </c>
      <c r="C293" s="10" t="s">
        <v>79</v>
      </c>
      <c r="D293" s="9" t="s">
        <v>25</v>
      </c>
      <c r="E293" s="9" t="s">
        <v>19</v>
      </c>
      <c r="F293" s="10">
        <v>1892</v>
      </c>
      <c r="G293" s="11">
        <v>44748</v>
      </c>
      <c r="H293" s="14">
        <f t="shared" si="8"/>
        <v>2022</v>
      </c>
      <c r="I293" s="12">
        <f>171206*58298</f>
        <v>9980967388</v>
      </c>
      <c r="J293" s="10">
        <v>2343</v>
      </c>
      <c r="K293" s="11">
        <v>45097</v>
      </c>
      <c r="L293" s="14">
        <f t="shared" si="9"/>
        <v>2023</v>
      </c>
      <c r="M293" s="12">
        <v>171206</v>
      </c>
    </row>
    <row r="294" spans="1:13" ht="15.75" hidden="1" customHeight="1" x14ac:dyDescent="0.25">
      <c r="A294" s="9" t="s">
        <v>10</v>
      </c>
      <c r="B294" s="9" t="s">
        <v>48</v>
      </c>
      <c r="C294" s="10" t="s">
        <v>21</v>
      </c>
      <c r="D294" s="9" t="s">
        <v>83</v>
      </c>
      <c r="E294" s="9" t="s">
        <v>72</v>
      </c>
      <c r="F294" s="10">
        <v>2943</v>
      </c>
      <c r="G294" s="11">
        <v>44834</v>
      </c>
      <c r="H294" s="14">
        <f t="shared" si="8"/>
        <v>2022</v>
      </c>
      <c r="I294" s="12">
        <f>300.63*59595</f>
        <v>17916044.850000001</v>
      </c>
      <c r="J294" s="10">
        <v>458</v>
      </c>
      <c r="K294" s="11">
        <v>44964</v>
      </c>
      <c r="L294" s="14">
        <f t="shared" si="9"/>
        <v>2023</v>
      </c>
      <c r="M294" s="12">
        <v>18625231</v>
      </c>
    </row>
    <row r="295" spans="1:13" ht="15.75" hidden="1" customHeight="1" x14ac:dyDescent="0.25">
      <c r="A295" s="9" t="s">
        <v>59</v>
      </c>
      <c r="B295" s="9" t="s">
        <v>48</v>
      </c>
      <c r="C295" s="10" t="s">
        <v>79</v>
      </c>
      <c r="D295" s="9" t="s">
        <v>25</v>
      </c>
      <c r="E295" s="9" t="s">
        <v>14</v>
      </c>
      <c r="F295" s="10">
        <v>3694</v>
      </c>
      <c r="G295" s="11">
        <v>44904</v>
      </c>
      <c r="H295" s="14">
        <f t="shared" si="8"/>
        <v>2022</v>
      </c>
      <c r="I295" s="12">
        <f>115.5*61157</f>
        <v>7063633.5</v>
      </c>
      <c r="J295" s="10">
        <v>675</v>
      </c>
      <c r="K295" s="11">
        <v>44979</v>
      </c>
      <c r="L295" s="14">
        <f t="shared" si="9"/>
        <v>2023</v>
      </c>
      <c r="M295" s="12">
        <v>5667942</v>
      </c>
    </row>
    <row r="296" spans="1:13" ht="15.75" hidden="1" customHeight="1" x14ac:dyDescent="0.25">
      <c r="A296" s="9" t="s">
        <v>15</v>
      </c>
      <c r="B296" s="9" t="s">
        <v>48</v>
      </c>
      <c r="C296" s="10" t="s">
        <v>79</v>
      </c>
      <c r="D296" s="9" t="s">
        <v>25</v>
      </c>
      <c r="E296" s="9" t="s">
        <v>23</v>
      </c>
      <c r="F296" s="10">
        <v>650</v>
      </c>
      <c r="G296" s="11">
        <v>44978</v>
      </c>
      <c r="H296" s="14">
        <f t="shared" si="8"/>
        <v>2023</v>
      </c>
      <c r="I296" s="12">
        <v>4553665</v>
      </c>
      <c r="J296" s="10">
        <v>2329</v>
      </c>
      <c r="K296" s="11">
        <v>45097</v>
      </c>
      <c r="L296" s="14">
        <f t="shared" si="9"/>
        <v>2023</v>
      </c>
      <c r="M296" s="12">
        <v>4553665</v>
      </c>
    </row>
    <row r="297" spans="1:13" ht="15.75" hidden="1" customHeight="1" x14ac:dyDescent="0.25">
      <c r="A297" s="9" t="s">
        <v>15</v>
      </c>
      <c r="B297" s="9" t="s">
        <v>48</v>
      </c>
      <c r="C297" s="10" t="s">
        <v>79</v>
      </c>
      <c r="D297" s="9" t="s">
        <v>25</v>
      </c>
      <c r="E297" s="9" t="s">
        <v>23</v>
      </c>
      <c r="F297" s="10">
        <v>594</v>
      </c>
      <c r="G297" s="11">
        <v>44974</v>
      </c>
      <c r="H297" s="14">
        <f t="shared" si="8"/>
        <v>2023</v>
      </c>
      <c r="I297" s="12">
        <v>4320254</v>
      </c>
      <c r="J297" s="10">
        <v>2339</v>
      </c>
      <c r="K297" s="11">
        <v>45097</v>
      </c>
      <c r="L297" s="14">
        <f t="shared" si="9"/>
        <v>2023</v>
      </c>
      <c r="M297" s="12">
        <v>4320254</v>
      </c>
    </row>
    <row r="298" spans="1:13" ht="15.75" hidden="1" customHeight="1" x14ac:dyDescent="0.25">
      <c r="A298" s="9" t="s">
        <v>59</v>
      </c>
      <c r="B298" s="9" t="s">
        <v>48</v>
      </c>
      <c r="C298" s="10" t="s">
        <v>79</v>
      </c>
      <c r="D298" s="9" t="s">
        <v>25</v>
      </c>
      <c r="E298" s="9" t="s">
        <v>72</v>
      </c>
      <c r="F298" s="10">
        <v>55</v>
      </c>
      <c r="G298" s="11">
        <v>44937</v>
      </c>
      <c r="H298" s="14">
        <f t="shared" si="8"/>
        <v>2023</v>
      </c>
      <c r="I298" s="12">
        <v>150162</v>
      </c>
      <c r="J298" s="10">
        <v>1692</v>
      </c>
      <c r="K298" s="11">
        <v>45062</v>
      </c>
      <c r="L298" s="14">
        <f t="shared" si="9"/>
        <v>2023</v>
      </c>
      <c r="M298" s="12">
        <v>150162</v>
      </c>
    </row>
    <row r="299" spans="1:13" ht="15.75" hidden="1" customHeight="1" x14ac:dyDescent="0.25">
      <c r="A299" s="9" t="s">
        <v>57</v>
      </c>
      <c r="B299" s="9" t="s">
        <v>33</v>
      </c>
      <c r="C299" s="10" t="s">
        <v>82</v>
      </c>
      <c r="D299" s="9" t="s">
        <v>83</v>
      </c>
      <c r="E299" s="9" t="s">
        <v>84</v>
      </c>
      <c r="F299" s="10">
        <v>3605</v>
      </c>
      <c r="G299" s="11">
        <v>44561</v>
      </c>
      <c r="H299" s="14">
        <f t="shared" si="8"/>
        <v>2021</v>
      </c>
      <c r="I299" s="12">
        <v>150043320</v>
      </c>
      <c r="J299" s="10">
        <v>2872</v>
      </c>
      <c r="K299" s="11">
        <v>45155</v>
      </c>
      <c r="L299" s="14">
        <f t="shared" si="9"/>
        <v>2023</v>
      </c>
      <c r="M299" s="12">
        <v>125826320</v>
      </c>
    </row>
    <row r="300" spans="1:13" ht="15.75" hidden="1" customHeight="1" x14ac:dyDescent="0.25">
      <c r="A300" s="9" t="s">
        <v>15</v>
      </c>
      <c r="B300" s="9" t="s">
        <v>33</v>
      </c>
      <c r="C300" s="10" t="s">
        <v>94</v>
      </c>
      <c r="D300" s="9" t="s">
        <v>83</v>
      </c>
      <c r="E300" s="9" t="s">
        <v>91</v>
      </c>
      <c r="F300" s="10">
        <v>792</v>
      </c>
      <c r="G300" s="11">
        <v>44630</v>
      </c>
      <c r="H300" s="14">
        <f t="shared" si="8"/>
        <v>2022</v>
      </c>
      <c r="I300" s="12">
        <v>8016017.5996000003</v>
      </c>
      <c r="J300" s="10">
        <v>2034</v>
      </c>
      <c r="K300" s="11">
        <v>45077</v>
      </c>
      <c r="L300" s="14">
        <f t="shared" si="9"/>
        <v>2023</v>
      </c>
      <c r="M300" s="12">
        <v>8016018</v>
      </c>
    </row>
    <row r="301" spans="1:13" ht="15.75" hidden="1" customHeight="1" x14ac:dyDescent="0.25">
      <c r="A301" s="9" t="s">
        <v>10</v>
      </c>
      <c r="B301" s="9" t="s">
        <v>33</v>
      </c>
      <c r="C301" s="10" t="s">
        <v>56</v>
      </c>
      <c r="D301" s="9" t="s">
        <v>37</v>
      </c>
      <c r="E301" s="9" t="s">
        <v>14</v>
      </c>
      <c r="F301" s="10">
        <v>3783</v>
      </c>
      <c r="G301" s="11">
        <v>44908</v>
      </c>
      <c r="H301" s="14">
        <f t="shared" si="8"/>
        <v>2022</v>
      </c>
      <c r="I301" s="12">
        <f>373.1*61157</f>
        <v>22817676.700000003</v>
      </c>
      <c r="J301" s="10">
        <v>2147</v>
      </c>
      <c r="K301" s="11">
        <v>45083</v>
      </c>
      <c r="L301" s="14">
        <f t="shared" si="9"/>
        <v>2023</v>
      </c>
      <c r="M301" s="12">
        <v>13236625</v>
      </c>
    </row>
    <row r="302" spans="1:13" ht="15.75" hidden="1" customHeight="1" x14ac:dyDescent="0.25">
      <c r="A302" s="9" t="s">
        <v>15</v>
      </c>
      <c r="B302" s="9" t="s">
        <v>33</v>
      </c>
      <c r="C302" s="10" t="s">
        <v>56</v>
      </c>
      <c r="D302" s="9" t="s">
        <v>37</v>
      </c>
      <c r="E302" s="9" t="s">
        <v>19</v>
      </c>
      <c r="F302" s="10">
        <v>649</v>
      </c>
      <c r="G302" s="11">
        <v>44947</v>
      </c>
      <c r="H302" s="14">
        <f t="shared" si="8"/>
        <v>2023</v>
      </c>
      <c r="I302" s="12">
        <v>381209</v>
      </c>
      <c r="J302" s="10">
        <v>2711</v>
      </c>
      <c r="K302" s="11">
        <v>45138</v>
      </c>
      <c r="L302" s="14">
        <f t="shared" si="9"/>
        <v>2023</v>
      </c>
      <c r="M302" s="12">
        <v>381209</v>
      </c>
    </row>
    <row r="303" spans="1:13" ht="15.75" hidden="1" customHeight="1" x14ac:dyDescent="0.25">
      <c r="A303" s="9" t="s">
        <v>15</v>
      </c>
      <c r="B303" s="9" t="s">
        <v>33</v>
      </c>
      <c r="C303" s="10" t="s">
        <v>56</v>
      </c>
      <c r="D303" s="9" t="s">
        <v>37</v>
      </c>
      <c r="E303" s="9" t="s">
        <v>23</v>
      </c>
      <c r="F303" s="10">
        <v>605</v>
      </c>
      <c r="G303" s="11">
        <v>44974</v>
      </c>
      <c r="H303" s="14">
        <f t="shared" si="8"/>
        <v>2023</v>
      </c>
      <c r="I303" s="12">
        <v>70645506</v>
      </c>
      <c r="J303" s="10">
        <v>2712</v>
      </c>
      <c r="K303" s="11">
        <v>45138</v>
      </c>
      <c r="L303" s="14">
        <f t="shared" si="9"/>
        <v>2023</v>
      </c>
      <c r="M303" s="12">
        <v>68116813</v>
      </c>
    </row>
    <row r="304" spans="1:13" ht="15.75" hidden="1" customHeight="1" x14ac:dyDescent="0.25">
      <c r="A304" s="9" t="s">
        <v>59</v>
      </c>
      <c r="B304" s="9" t="s">
        <v>33</v>
      </c>
      <c r="C304" s="10" t="s">
        <v>56</v>
      </c>
      <c r="D304" s="9" t="s">
        <v>37</v>
      </c>
      <c r="E304" s="9" t="s">
        <v>72</v>
      </c>
      <c r="F304" s="10">
        <v>66</v>
      </c>
      <c r="G304" s="11">
        <v>44937</v>
      </c>
      <c r="H304" s="14">
        <f t="shared" si="8"/>
        <v>2023</v>
      </c>
      <c r="I304" s="12">
        <v>5555894</v>
      </c>
      <c r="J304" s="10">
        <v>1974</v>
      </c>
      <c r="K304" s="11">
        <v>45077</v>
      </c>
      <c r="L304" s="14">
        <f t="shared" si="9"/>
        <v>2023</v>
      </c>
      <c r="M304" s="12">
        <v>5555894</v>
      </c>
    </row>
    <row r="305" spans="1:13" ht="15.75" hidden="1" customHeight="1" x14ac:dyDescent="0.25">
      <c r="A305" s="9" t="s">
        <v>10</v>
      </c>
      <c r="B305" s="9" t="s">
        <v>33</v>
      </c>
      <c r="C305" s="10" t="s">
        <v>56</v>
      </c>
      <c r="D305" s="9" t="s">
        <v>37</v>
      </c>
      <c r="E305" s="9" t="s">
        <v>72</v>
      </c>
      <c r="F305" s="10">
        <v>351</v>
      </c>
      <c r="G305" s="11">
        <v>44959</v>
      </c>
      <c r="H305" s="14">
        <f t="shared" si="8"/>
        <v>2023</v>
      </c>
      <c r="I305" s="12">
        <v>3895529</v>
      </c>
      <c r="J305" s="10">
        <v>1346</v>
      </c>
      <c r="K305" s="11">
        <v>45036</v>
      </c>
      <c r="L305" s="14">
        <f t="shared" si="9"/>
        <v>2023</v>
      </c>
      <c r="M305" s="12">
        <v>2574224</v>
      </c>
    </row>
    <row r="306" spans="1:13" ht="15.75" hidden="1" customHeight="1" x14ac:dyDescent="0.25">
      <c r="A306" s="9" t="s">
        <v>10</v>
      </c>
      <c r="B306" s="9" t="s">
        <v>33</v>
      </c>
      <c r="C306" s="10" t="s">
        <v>56</v>
      </c>
      <c r="D306" s="9" t="s">
        <v>37</v>
      </c>
      <c r="E306" s="9" t="s">
        <v>72</v>
      </c>
      <c r="F306" s="10">
        <v>352</v>
      </c>
      <c r="G306" s="11">
        <v>44959</v>
      </c>
      <c r="H306" s="14">
        <f t="shared" si="8"/>
        <v>2023</v>
      </c>
      <c r="I306" s="12">
        <v>6434093</v>
      </c>
      <c r="J306" s="10">
        <v>1347</v>
      </c>
      <c r="K306" s="11">
        <v>45036</v>
      </c>
      <c r="L306" s="14">
        <f t="shared" si="9"/>
        <v>2023</v>
      </c>
      <c r="M306" s="12">
        <v>1753422</v>
      </c>
    </row>
    <row r="307" spans="1:13" ht="15.75" hidden="1" customHeight="1" x14ac:dyDescent="0.25">
      <c r="A307" s="9" t="s">
        <v>10</v>
      </c>
      <c r="B307" s="9" t="s">
        <v>33</v>
      </c>
      <c r="C307" s="10" t="s">
        <v>82</v>
      </c>
      <c r="D307" s="9" t="s">
        <v>49</v>
      </c>
      <c r="E307" s="9" t="s">
        <v>14</v>
      </c>
      <c r="F307" s="10">
        <v>1787</v>
      </c>
      <c r="G307" s="11">
        <v>45065</v>
      </c>
      <c r="H307" s="14">
        <f t="shared" si="8"/>
        <v>2023</v>
      </c>
      <c r="I307" s="12">
        <f>1323*63074</f>
        <v>83446902</v>
      </c>
      <c r="J307" s="10">
        <v>5936</v>
      </c>
      <c r="K307" s="11">
        <v>45239</v>
      </c>
      <c r="L307" s="14">
        <f t="shared" si="9"/>
        <v>2023</v>
      </c>
      <c r="M307" s="12">
        <v>60324768</v>
      </c>
    </row>
    <row r="308" spans="1:13" ht="15.75" hidden="1" customHeight="1" x14ac:dyDescent="0.25">
      <c r="A308" s="9" t="s">
        <v>59</v>
      </c>
      <c r="B308" s="9" t="s">
        <v>33</v>
      </c>
      <c r="C308" s="10" t="s">
        <v>82</v>
      </c>
      <c r="D308" s="9" t="s">
        <v>49</v>
      </c>
      <c r="E308" s="9" t="s">
        <v>14</v>
      </c>
      <c r="F308" s="10">
        <v>1756</v>
      </c>
      <c r="G308" s="11">
        <v>45065</v>
      </c>
      <c r="H308" s="14">
        <f t="shared" si="8"/>
        <v>2023</v>
      </c>
      <c r="I308" s="12">
        <f>759.85*63074</f>
        <v>47926778.899999999</v>
      </c>
      <c r="J308" s="10">
        <v>5958</v>
      </c>
      <c r="K308" s="11">
        <v>45240</v>
      </c>
      <c r="L308" s="14">
        <f t="shared" si="9"/>
        <v>2023</v>
      </c>
      <c r="M308" s="12">
        <v>38023279</v>
      </c>
    </row>
    <row r="309" spans="1:13" ht="15.75" hidden="1" customHeight="1" x14ac:dyDescent="0.25">
      <c r="A309" s="9" t="s">
        <v>10</v>
      </c>
      <c r="B309" s="9" t="s">
        <v>33</v>
      </c>
      <c r="C309" s="10" t="s">
        <v>94</v>
      </c>
      <c r="D309" s="9" t="s">
        <v>37</v>
      </c>
      <c r="E309" s="9" t="s">
        <v>14</v>
      </c>
      <c r="F309" s="10">
        <v>5984</v>
      </c>
      <c r="G309" s="11">
        <v>45240</v>
      </c>
      <c r="H309" s="14">
        <f t="shared" si="8"/>
        <v>2023</v>
      </c>
      <c r="I309" s="12">
        <v>2431905</v>
      </c>
      <c r="J309" s="10">
        <v>6519</v>
      </c>
      <c r="K309" s="11">
        <v>45278</v>
      </c>
      <c r="L309" s="14">
        <f t="shared" si="9"/>
        <v>2023</v>
      </c>
      <c r="M309" s="12">
        <v>2431905</v>
      </c>
    </row>
    <row r="310" spans="1:13" ht="15.75" hidden="1" customHeight="1" x14ac:dyDescent="0.25">
      <c r="A310" s="9" t="s">
        <v>59</v>
      </c>
      <c r="B310" s="9" t="s">
        <v>33</v>
      </c>
      <c r="C310" s="10" t="s">
        <v>94</v>
      </c>
      <c r="D310" s="9" t="s">
        <v>37</v>
      </c>
      <c r="E310" s="9" t="s">
        <v>14</v>
      </c>
      <c r="F310" s="10">
        <v>5769</v>
      </c>
      <c r="G310" s="11">
        <v>45229</v>
      </c>
      <c r="H310" s="14">
        <f t="shared" si="8"/>
        <v>2023</v>
      </c>
      <c r="I310" s="12">
        <v>18445320</v>
      </c>
      <c r="J310" s="10">
        <v>6671</v>
      </c>
      <c r="K310" s="11">
        <v>45287</v>
      </c>
      <c r="L310" s="14">
        <f t="shared" si="9"/>
        <v>2023</v>
      </c>
      <c r="M310" s="12">
        <v>12610638</v>
      </c>
    </row>
    <row r="311" spans="1:13" ht="15.75" hidden="1" customHeight="1" x14ac:dyDescent="0.25">
      <c r="A311" s="9" t="s">
        <v>57</v>
      </c>
      <c r="B311" s="9" t="s">
        <v>97</v>
      </c>
      <c r="C311" s="10" t="s">
        <v>82</v>
      </c>
      <c r="D311" s="9" t="s">
        <v>83</v>
      </c>
      <c r="E311" s="9" t="s">
        <v>84</v>
      </c>
      <c r="F311" s="10">
        <v>3606</v>
      </c>
      <c r="G311" s="11">
        <v>44561</v>
      </c>
      <c r="H311" s="14">
        <f t="shared" si="8"/>
        <v>2021</v>
      </c>
      <c r="I311" s="12">
        <v>19019320</v>
      </c>
      <c r="J311" s="10">
        <v>715</v>
      </c>
      <c r="K311" s="11">
        <v>44984</v>
      </c>
      <c r="L311" s="14">
        <f t="shared" si="9"/>
        <v>2023</v>
      </c>
      <c r="M311" s="12">
        <v>7389640</v>
      </c>
    </row>
    <row r="312" spans="1:13" ht="15.75" hidden="1" customHeight="1" x14ac:dyDescent="0.25">
      <c r="A312" s="9" t="s">
        <v>15</v>
      </c>
      <c r="B312" s="9" t="s">
        <v>97</v>
      </c>
      <c r="C312" s="10" t="s">
        <v>82</v>
      </c>
      <c r="D312" s="9" t="s">
        <v>13</v>
      </c>
      <c r="E312" s="9" t="s">
        <v>91</v>
      </c>
      <c r="F312" s="10">
        <v>3956</v>
      </c>
      <c r="G312" s="11">
        <v>44918</v>
      </c>
      <c r="H312" s="14">
        <f t="shared" si="8"/>
        <v>2022</v>
      </c>
      <c r="I312" s="12">
        <v>85776685</v>
      </c>
      <c r="J312" s="10">
        <v>749</v>
      </c>
      <c r="K312" s="11">
        <v>44984</v>
      </c>
      <c r="L312" s="14">
        <f t="shared" si="9"/>
        <v>2023</v>
      </c>
      <c r="M312" s="12">
        <v>85776685</v>
      </c>
    </row>
    <row r="313" spans="1:13" ht="15.75" hidden="1" customHeight="1" x14ac:dyDescent="0.25">
      <c r="A313" s="9" t="s">
        <v>15</v>
      </c>
      <c r="B313" s="9" t="s">
        <v>97</v>
      </c>
      <c r="C313" s="10" t="s">
        <v>94</v>
      </c>
      <c r="D313" s="9" t="s">
        <v>13</v>
      </c>
      <c r="E313" s="9" t="s">
        <v>91</v>
      </c>
      <c r="F313" s="10">
        <v>3955</v>
      </c>
      <c r="G313" s="11">
        <v>44918</v>
      </c>
      <c r="H313" s="14">
        <f t="shared" si="8"/>
        <v>2022</v>
      </c>
      <c r="I313" s="12">
        <v>3139614865</v>
      </c>
      <c r="J313" s="10">
        <v>718</v>
      </c>
      <c r="K313" s="11">
        <v>44984</v>
      </c>
      <c r="L313" s="14">
        <f t="shared" si="9"/>
        <v>2023</v>
      </c>
      <c r="M313" s="12">
        <v>3139614865</v>
      </c>
    </row>
    <row r="314" spans="1:13" ht="15.75" hidden="1" customHeight="1" x14ac:dyDescent="0.25">
      <c r="A314" s="9" t="s">
        <v>10</v>
      </c>
      <c r="B314" s="9" t="s">
        <v>97</v>
      </c>
      <c r="C314" s="10" t="s">
        <v>94</v>
      </c>
      <c r="D314" s="9" t="s">
        <v>13</v>
      </c>
      <c r="E314" s="9" t="s">
        <v>14</v>
      </c>
      <c r="F314" s="10">
        <v>4274</v>
      </c>
      <c r="G314" s="11">
        <v>44925</v>
      </c>
      <c r="H314" s="14">
        <f t="shared" si="8"/>
        <v>2022</v>
      </c>
      <c r="I314" s="12">
        <v>0</v>
      </c>
      <c r="J314" s="10">
        <v>724</v>
      </c>
      <c r="K314" s="11">
        <v>44984</v>
      </c>
      <c r="L314" s="14">
        <f t="shared" si="9"/>
        <v>2023</v>
      </c>
      <c r="M314" s="12">
        <v>35027269</v>
      </c>
    </row>
    <row r="315" spans="1:13" ht="15.75" hidden="1" customHeight="1" x14ac:dyDescent="0.25">
      <c r="A315" s="9" t="s">
        <v>59</v>
      </c>
      <c r="B315" s="9" t="s">
        <v>97</v>
      </c>
      <c r="C315" s="10" t="s">
        <v>94</v>
      </c>
      <c r="D315" s="9" t="s">
        <v>13</v>
      </c>
      <c r="E315" s="9" t="s">
        <v>14</v>
      </c>
      <c r="F315" s="10">
        <v>4275</v>
      </c>
      <c r="G315" s="11">
        <v>44925</v>
      </c>
      <c r="H315" s="14">
        <f t="shared" si="8"/>
        <v>2022</v>
      </c>
      <c r="I315" s="12">
        <v>0</v>
      </c>
      <c r="J315" s="10">
        <v>726</v>
      </c>
      <c r="K315" s="11">
        <v>44984</v>
      </c>
      <c r="L315" s="14">
        <f t="shared" si="9"/>
        <v>2023</v>
      </c>
      <c r="M315" s="12">
        <v>27780196</v>
      </c>
    </row>
    <row r="316" spans="1:13" ht="15.75" hidden="1" customHeight="1" x14ac:dyDescent="0.25">
      <c r="A316" s="9" t="s">
        <v>10</v>
      </c>
      <c r="B316" s="9" t="s">
        <v>97</v>
      </c>
      <c r="C316" s="10" t="s">
        <v>82</v>
      </c>
      <c r="D316" s="9" t="s">
        <v>13</v>
      </c>
      <c r="E316" s="9" t="s">
        <v>14</v>
      </c>
      <c r="F316" s="10">
        <v>4273</v>
      </c>
      <c r="G316" s="11">
        <v>44925</v>
      </c>
      <c r="H316" s="14">
        <f t="shared" si="8"/>
        <v>2022</v>
      </c>
      <c r="I316" s="12">
        <v>0</v>
      </c>
      <c r="J316" s="10">
        <v>1150</v>
      </c>
      <c r="K316" s="11">
        <v>45016</v>
      </c>
      <c r="L316" s="14">
        <f t="shared" si="9"/>
        <v>2023</v>
      </c>
      <c r="M316" s="12">
        <v>8612277</v>
      </c>
    </row>
    <row r="317" spans="1:13" ht="15.75" hidden="1" customHeight="1" x14ac:dyDescent="0.25">
      <c r="A317" s="9" t="s">
        <v>59</v>
      </c>
      <c r="B317" s="9" t="s">
        <v>62</v>
      </c>
      <c r="C317" s="10" t="s">
        <v>77</v>
      </c>
      <c r="D317" s="9" t="s">
        <v>13</v>
      </c>
      <c r="E317" s="9" t="s">
        <v>65</v>
      </c>
      <c r="F317" s="10">
        <v>1903</v>
      </c>
      <c r="G317" s="11">
        <v>44371</v>
      </c>
      <c r="H317" s="14">
        <f t="shared" si="8"/>
        <v>2021</v>
      </c>
      <c r="I317" s="12">
        <f>3.8*52005</f>
        <v>197619</v>
      </c>
      <c r="J317" s="10">
        <v>2154</v>
      </c>
      <c r="K317" s="11">
        <v>45083</v>
      </c>
      <c r="L317" s="14">
        <f t="shared" si="9"/>
        <v>2023</v>
      </c>
      <c r="M317" s="12">
        <v>183741</v>
      </c>
    </row>
    <row r="318" spans="1:13" ht="15.75" hidden="1" customHeight="1" x14ac:dyDescent="0.25">
      <c r="A318" s="9" t="s">
        <v>10</v>
      </c>
      <c r="B318" s="9" t="s">
        <v>62</v>
      </c>
      <c r="C318" s="10" t="s">
        <v>77</v>
      </c>
      <c r="D318" s="9" t="s">
        <v>13</v>
      </c>
      <c r="E318" s="9" t="s">
        <v>65</v>
      </c>
      <c r="F318" s="10">
        <v>1904</v>
      </c>
      <c r="G318" s="11">
        <v>44371</v>
      </c>
      <c r="H318" s="14">
        <f t="shared" si="8"/>
        <v>2021</v>
      </c>
      <c r="I318" s="12">
        <f>3.6*52005</f>
        <v>187218</v>
      </c>
      <c r="J318" s="10">
        <v>2156</v>
      </c>
      <c r="K318" s="11">
        <v>45083</v>
      </c>
      <c r="L318" s="14">
        <f t="shared" si="9"/>
        <v>2023</v>
      </c>
      <c r="M318" s="12">
        <v>174071</v>
      </c>
    </row>
    <row r="319" spans="1:13" ht="15.75" hidden="1" customHeight="1" x14ac:dyDescent="0.25">
      <c r="A319" s="9" t="s">
        <v>15</v>
      </c>
      <c r="B319" s="9" t="s">
        <v>62</v>
      </c>
      <c r="C319" s="10" t="s">
        <v>82</v>
      </c>
      <c r="D319" s="9" t="s">
        <v>83</v>
      </c>
      <c r="E319" s="9" t="s">
        <v>84</v>
      </c>
      <c r="F319" s="10">
        <v>2115</v>
      </c>
      <c r="G319" s="11">
        <v>44407</v>
      </c>
      <c r="H319" s="14">
        <f t="shared" si="8"/>
        <v>2021</v>
      </c>
      <c r="I319" s="12">
        <v>7222880</v>
      </c>
      <c r="J319" s="10">
        <v>6460</v>
      </c>
      <c r="K319" s="11">
        <v>45278</v>
      </c>
      <c r="L319" s="14">
        <f t="shared" si="9"/>
        <v>2023</v>
      </c>
      <c r="M319" s="12">
        <v>5159200</v>
      </c>
    </row>
    <row r="320" spans="1:13" ht="15.75" hidden="1" customHeight="1" x14ac:dyDescent="0.25">
      <c r="A320" s="9" t="s">
        <v>57</v>
      </c>
      <c r="B320" s="9" t="s">
        <v>62</v>
      </c>
      <c r="C320" s="10" t="s">
        <v>82</v>
      </c>
      <c r="D320" s="9" t="s">
        <v>83</v>
      </c>
      <c r="E320" s="9" t="s">
        <v>84</v>
      </c>
      <c r="F320" s="10">
        <v>3615</v>
      </c>
      <c r="G320" s="11">
        <v>44561</v>
      </c>
      <c r="H320" s="14">
        <f t="shared" si="8"/>
        <v>2021</v>
      </c>
      <c r="I320" s="12">
        <v>28229440</v>
      </c>
      <c r="J320" s="10">
        <v>2873</v>
      </c>
      <c r="K320" s="11">
        <v>45155</v>
      </c>
      <c r="L320" s="14">
        <f t="shared" si="9"/>
        <v>2023</v>
      </c>
      <c r="M320" s="12">
        <v>9347460</v>
      </c>
    </row>
    <row r="321" spans="1:13" ht="15.75" hidden="1" customHeight="1" x14ac:dyDescent="0.25">
      <c r="A321" s="9" t="s">
        <v>59</v>
      </c>
      <c r="B321" s="9" t="s">
        <v>62</v>
      </c>
      <c r="C321" s="10" t="s">
        <v>79</v>
      </c>
      <c r="D321" s="9" t="s">
        <v>13</v>
      </c>
      <c r="E321" s="9" t="s">
        <v>14</v>
      </c>
      <c r="F321" s="10">
        <v>3698</v>
      </c>
      <c r="G321" s="11">
        <v>44904</v>
      </c>
      <c r="H321" s="14">
        <f t="shared" si="8"/>
        <v>2022</v>
      </c>
      <c r="I321" s="12">
        <f>58.45*61157</f>
        <v>3574626.6500000004</v>
      </c>
      <c r="J321" s="10">
        <v>2155</v>
      </c>
      <c r="K321" s="11">
        <v>45083</v>
      </c>
      <c r="L321" s="14">
        <f t="shared" si="9"/>
        <v>2023</v>
      </c>
      <c r="M321" s="12">
        <v>2355831</v>
      </c>
    </row>
    <row r="322" spans="1:13" ht="15.75" hidden="1" customHeight="1" x14ac:dyDescent="0.25">
      <c r="A322" s="9" t="s">
        <v>10</v>
      </c>
      <c r="B322" s="9" t="s">
        <v>62</v>
      </c>
      <c r="C322" s="10" t="s">
        <v>77</v>
      </c>
      <c r="D322" s="9" t="s">
        <v>13</v>
      </c>
      <c r="E322" s="9" t="s">
        <v>72</v>
      </c>
      <c r="F322" s="10">
        <v>360</v>
      </c>
      <c r="G322" s="11">
        <v>44959</v>
      </c>
      <c r="H322" s="14">
        <f t="shared" ref="H322:H385" si="10">YEAR(G322)</f>
        <v>2023</v>
      </c>
      <c r="I322" s="12">
        <v>77198</v>
      </c>
      <c r="J322" s="10">
        <v>1419</v>
      </c>
      <c r="K322" s="11">
        <v>45042</v>
      </c>
      <c r="L322" s="14">
        <f t="shared" ref="L322:L385" si="11">YEAR(K322)</f>
        <v>2023</v>
      </c>
      <c r="M322" s="12">
        <v>0</v>
      </c>
    </row>
    <row r="323" spans="1:13" ht="15.75" hidden="1" customHeight="1" x14ac:dyDescent="0.25">
      <c r="A323" s="9" t="s">
        <v>10</v>
      </c>
      <c r="B323" s="9" t="s">
        <v>62</v>
      </c>
      <c r="C323" s="10" t="s">
        <v>77</v>
      </c>
      <c r="D323" s="9" t="s">
        <v>13</v>
      </c>
      <c r="E323" s="9" t="s">
        <v>72</v>
      </c>
      <c r="F323" s="10">
        <v>361</v>
      </c>
      <c r="G323" s="11">
        <v>44959</v>
      </c>
      <c r="H323" s="14">
        <f t="shared" si="10"/>
        <v>2023</v>
      </c>
      <c r="I323" s="12">
        <v>641827</v>
      </c>
      <c r="J323" s="10">
        <v>1420</v>
      </c>
      <c r="K323" s="11">
        <v>45042</v>
      </c>
      <c r="L323" s="14">
        <f t="shared" si="11"/>
        <v>2023</v>
      </c>
      <c r="M323" s="12">
        <v>641827</v>
      </c>
    </row>
    <row r="324" spans="1:13" ht="15.75" hidden="1" customHeight="1" x14ac:dyDescent="0.25">
      <c r="A324" s="9" t="s">
        <v>10</v>
      </c>
      <c r="B324" s="9" t="s">
        <v>62</v>
      </c>
      <c r="C324" s="10" t="s">
        <v>17</v>
      </c>
      <c r="D324" s="9" t="s">
        <v>13</v>
      </c>
      <c r="E324" s="9" t="s">
        <v>14</v>
      </c>
      <c r="F324" s="10">
        <v>1905</v>
      </c>
      <c r="G324" s="11">
        <v>45077</v>
      </c>
      <c r="H324" s="14">
        <f t="shared" si="10"/>
        <v>2023</v>
      </c>
      <c r="I324" s="12">
        <f>68.25*63074</f>
        <v>4304800.5</v>
      </c>
      <c r="J324" s="10">
        <v>5419</v>
      </c>
      <c r="K324" s="11">
        <v>45202</v>
      </c>
      <c r="L324" s="14">
        <f t="shared" si="11"/>
        <v>2023</v>
      </c>
      <c r="M324" s="12">
        <v>4330599</v>
      </c>
    </row>
    <row r="325" spans="1:13" ht="15.75" hidden="1" customHeight="1" x14ac:dyDescent="0.25">
      <c r="A325" s="9" t="s">
        <v>10</v>
      </c>
      <c r="B325" s="9" t="s">
        <v>62</v>
      </c>
      <c r="C325" s="10" t="s">
        <v>82</v>
      </c>
      <c r="D325" s="9" t="s">
        <v>13</v>
      </c>
      <c r="E325" s="9" t="s">
        <v>14</v>
      </c>
      <c r="F325" s="10">
        <v>1773</v>
      </c>
      <c r="G325" s="11">
        <v>45065</v>
      </c>
      <c r="H325" s="14">
        <f t="shared" si="10"/>
        <v>2023</v>
      </c>
      <c r="I325" s="12">
        <f>36.75*63074</f>
        <v>2317969.5</v>
      </c>
      <c r="J325" s="10">
        <v>2718</v>
      </c>
      <c r="K325" s="11">
        <v>45138</v>
      </c>
      <c r="L325" s="14">
        <f t="shared" si="11"/>
        <v>2023</v>
      </c>
      <c r="M325" s="12">
        <v>0</v>
      </c>
    </row>
    <row r="326" spans="1:13" ht="15.75" hidden="1" customHeight="1" x14ac:dyDescent="0.25">
      <c r="A326" s="9" t="s">
        <v>59</v>
      </c>
      <c r="B326" s="9" t="s">
        <v>62</v>
      </c>
      <c r="C326" s="10" t="s">
        <v>17</v>
      </c>
      <c r="D326" s="9" t="s">
        <v>13</v>
      </c>
      <c r="E326" s="9" t="s">
        <v>14</v>
      </c>
      <c r="F326" s="10">
        <v>1976</v>
      </c>
      <c r="G326" s="11">
        <v>45077</v>
      </c>
      <c r="H326" s="14">
        <f t="shared" si="10"/>
        <v>2023</v>
      </c>
      <c r="I326" s="12">
        <f>1.03*63074</f>
        <v>64966.22</v>
      </c>
      <c r="J326" s="10">
        <v>5305</v>
      </c>
      <c r="K326" s="11">
        <v>45195</v>
      </c>
      <c r="L326" s="14">
        <f t="shared" si="11"/>
        <v>2023</v>
      </c>
      <c r="M326" s="12">
        <v>65356</v>
      </c>
    </row>
    <row r="327" spans="1:13" ht="15.75" hidden="1" customHeight="1" x14ac:dyDescent="0.25">
      <c r="A327" s="9" t="s">
        <v>59</v>
      </c>
      <c r="B327" s="9" t="s">
        <v>62</v>
      </c>
      <c r="C327" s="10" t="s">
        <v>77</v>
      </c>
      <c r="D327" s="9" t="s">
        <v>13</v>
      </c>
      <c r="E327" s="9" t="s">
        <v>69</v>
      </c>
      <c r="F327" s="10">
        <v>2991</v>
      </c>
      <c r="G327" s="11">
        <v>45161</v>
      </c>
      <c r="H327" s="14">
        <f t="shared" si="10"/>
        <v>2023</v>
      </c>
      <c r="I327" s="12">
        <f>3.6*48305</f>
        <v>173898</v>
      </c>
      <c r="J327" s="10">
        <v>5933</v>
      </c>
      <c r="K327" s="11">
        <v>45239</v>
      </c>
      <c r="L327" s="14">
        <f t="shared" si="11"/>
        <v>2023</v>
      </c>
      <c r="M327" s="12">
        <v>173898</v>
      </c>
    </row>
    <row r="328" spans="1:13" ht="15.75" hidden="1" customHeight="1" x14ac:dyDescent="0.25">
      <c r="A328" s="9" t="s">
        <v>59</v>
      </c>
      <c r="B328" s="9" t="s">
        <v>62</v>
      </c>
      <c r="C328" s="10" t="s">
        <v>17</v>
      </c>
      <c r="D328" s="9" t="s">
        <v>13</v>
      </c>
      <c r="E328" s="9" t="s">
        <v>14</v>
      </c>
      <c r="F328" s="10">
        <v>2031</v>
      </c>
      <c r="G328" s="11">
        <v>45077</v>
      </c>
      <c r="H328" s="14">
        <f t="shared" si="10"/>
        <v>2023</v>
      </c>
      <c r="I328" s="12">
        <f>2.71*63074</f>
        <v>170930.54</v>
      </c>
      <c r="J328" s="10">
        <v>5331</v>
      </c>
      <c r="K328" s="11">
        <v>45195</v>
      </c>
      <c r="L328" s="14">
        <f t="shared" si="11"/>
        <v>2023</v>
      </c>
      <c r="M328" s="12">
        <v>171955</v>
      </c>
    </row>
    <row r="329" spans="1:13" ht="15.75" hidden="1" customHeight="1" x14ac:dyDescent="0.25">
      <c r="A329" s="9" t="s">
        <v>15</v>
      </c>
      <c r="B329" s="9" t="s">
        <v>29</v>
      </c>
      <c r="C329" s="10" t="s">
        <v>21</v>
      </c>
      <c r="D329" s="9" t="s">
        <v>41</v>
      </c>
      <c r="E329" s="9" t="s">
        <v>14</v>
      </c>
      <c r="F329" s="10">
        <v>2985</v>
      </c>
      <c r="G329" s="11">
        <v>44182</v>
      </c>
      <c r="H329" s="14">
        <f t="shared" si="10"/>
        <v>2020</v>
      </c>
      <c r="I329" s="12">
        <f>585.2*51029</f>
        <v>29862170.800000001</v>
      </c>
      <c r="J329" s="10">
        <v>2162</v>
      </c>
      <c r="K329" s="11">
        <v>45083</v>
      </c>
      <c r="L329" s="14">
        <f t="shared" si="11"/>
        <v>2023</v>
      </c>
      <c r="M329" s="12">
        <v>34592931</v>
      </c>
    </row>
    <row r="330" spans="1:13" ht="15.75" hidden="1" customHeight="1" x14ac:dyDescent="0.25">
      <c r="A330" s="9" t="s">
        <v>15</v>
      </c>
      <c r="B330" s="9" t="s">
        <v>29</v>
      </c>
      <c r="C330" s="10" t="s">
        <v>21</v>
      </c>
      <c r="D330" s="9" t="s">
        <v>38</v>
      </c>
      <c r="E330" s="9" t="s">
        <v>47</v>
      </c>
      <c r="F330" s="10">
        <v>3064</v>
      </c>
      <c r="G330" s="11">
        <v>44187</v>
      </c>
      <c r="H330" s="14">
        <f t="shared" si="10"/>
        <v>2020</v>
      </c>
      <c r="I330" s="12">
        <f>2172.1*51029</f>
        <v>110840090.89999999</v>
      </c>
      <c r="J330" s="10">
        <v>453</v>
      </c>
      <c r="K330" s="11">
        <v>44964</v>
      </c>
      <c r="L330" s="14">
        <f t="shared" si="11"/>
        <v>2023</v>
      </c>
      <c r="M330" s="12">
        <v>116876219</v>
      </c>
    </row>
    <row r="331" spans="1:13" ht="15.75" hidden="1" customHeight="1" x14ac:dyDescent="0.25">
      <c r="A331" s="9" t="s">
        <v>15</v>
      </c>
      <c r="B331" s="9" t="s">
        <v>29</v>
      </c>
      <c r="C331" s="10" t="s">
        <v>21</v>
      </c>
      <c r="D331" s="9" t="s">
        <v>38</v>
      </c>
      <c r="E331" s="9" t="s">
        <v>47</v>
      </c>
      <c r="F331" s="10">
        <v>3065</v>
      </c>
      <c r="G331" s="11">
        <v>44187</v>
      </c>
      <c r="H331" s="14">
        <f t="shared" si="10"/>
        <v>2020</v>
      </c>
      <c r="I331" s="12">
        <f>2694.3*51029</f>
        <v>137487434.70000002</v>
      </c>
      <c r="J331" s="10">
        <v>226</v>
      </c>
      <c r="K331" s="11">
        <v>44953</v>
      </c>
      <c r="L331" s="14">
        <f t="shared" si="11"/>
        <v>2023</v>
      </c>
      <c r="M331" s="12">
        <v>160803236</v>
      </c>
    </row>
    <row r="332" spans="1:13" ht="15.75" hidden="1" customHeight="1" x14ac:dyDescent="0.25">
      <c r="A332" s="9" t="s">
        <v>15</v>
      </c>
      <c r="B332" s="9" t="s">
        <v>29</v>
      </c>
      <c r="C332" s="10" t="s">
        <v>21</v>
      </c>
      <c r="D332" s="9" t="s">
        <v>22</v>
      </c>
      <c r="E332" s="9" t="s">
        <v>47</v>
      </c>
      <c r="F332" s="10">
        <v>3063</v>
      </c>
      <c r="G332" s="11">
        <v>44187</v>
      </c>
      <c r="H332" s="14">
        <f t="shared" si="10"/>
        <v>2020</v>
      </c>
      <c r="I332" s="12">
        <f>2434.6*51029</f>
        <v>124235203.39999999</v>
      </c>
      <c r="J332" s="10">
        <v>455</v>
      </c>
      <c r="K332" s="11">
        <v>44964</v>
      </c>
      <c r="L332" s="14">
        <f t="shared" si="11"/>
        <v>2023</v>
      </c>
      <c r="M332" s="12">
        <v>51043898</v>
      </c>
    </row>
    <row r="333" spans="1:13" ht="15.75" hidden="1" customHeight="1" x14ac:dyDescent="0.25">
      <c r="A333" s="9" t="s">
        <v>15</v>
      </c>
      <c r="B333" s="9" t="s">
        <v>29</v>
      </c>
      <c r="C333" s="10" t="s">
        <v>21</v>
      </c>
      <c r="D333" s="9" t="s">
        <v>22</v>
      </c>
      <c r="E333" s="9" t="s">
        <v>47</v>
      </c>
      <c r="F333" s="10">
        <v>3067</v>
      </c>
      <c r="G333" s="11">
        <v>44187</v>
      </c>
      <c r="H333" s="14">
        <f t="shared" si="10"/>
        <v>2020</v>
      </c>
      <c r="I333" s="12">
        <f>3369.8*51029</f>
        <v>171957524.20000002</v>
      </c>
      <c r="J333" s="10">
        <v>454</v>
      </c>
      <c r="K333" s="11">
        <v>44964</v>
      </c>
      <c r="L333" s="14">
        <f t="shared" si="11"/>
        <v>2023</v>
      </c>
      <c r="M333" s="12">
        <v>184985341</v>
      </c>
    </row>
    <row r="334" spans="1:13" ht="15.75" hidden="1" customHeight="1" x14ac:dyDescent="0.25">
      <c r="A334" s="9" t="s">
        <v>15</v>
      </c>
      <c r="B334" s="9" t="s">
        <v>29</v>
      </c>
      <c r="C334" s="10" t="s">
        <v>21</v>
      </c>
      <c r="D334" s="9" t="s">
        <v>38</v>
      </c>
      <c r="E334" s="9" t="s">
        <v>14</v>
      </c>
      <c r="F334" s="10">
        <v>206</v>
      </c>
      <c r="G334" s="11">
        <v>44215</v>
      </c>
      <c r="H334" s="14">
        <f t="shared" si="10"/>
        <v>2021</v>
      </c>
      <c r="I334" s="12">
        <f>1773.45*50978</f>
        <v>90406934.100000009</v>
      </c>
      <c r="J334" s="10">
        <v>491</v>
      </c>
      <c r="K334" s="11">
        <v>44964</v>
      </c>
      <c r="L334" s="14">
        <f t="shared" si="11"/>
        <v>2023</v>
      </c>
      <c r="M334" s="12">
        <v>103367145</v>
      </c>
    </row>
    <row r="335" spans="1:13" ht="15.75" hidden="1" customHeight="1" x14ac:dyDescent="0.25">
      <c r="A335" s="9" t="s">
        <v>15</v>
      </c>
      <c r="B335" s="9" t="s">
        <v>29</v>
      </c>
      <c r="C335" s="10" t="s">
        <v>21</v>
      </c>
      <c r="D335" s="9" t="s">
        <v>38</v>
      </c>
      <c r="E335" s="9" t="s">
        <v>47</v>
      </c>
      <c r="F335" s="10">
        <v>143</v>
      </c>
      <c r="G335" s="11">
        <v>44211</v>
      </c>
      <c r="H335" s="14">
        <f t="shared" si="10"/>
        <v>2021</v>
      </c>
      <c r="I335" s="12">
        <f>1242.5*50978</f>
        <v>63340165</v>
      </c>
      <c r="J335" s="10">
        <v>451</v>
      </c>
      <c r="K335" s="11">
        <v>44964</v>
      </c>
      <c r="L335" s="14">
        <f t="shared" si="11"/>
        <v>2023</v>
      </c>
      <c r="M335" s="12">
        <v>62991730</v>
      </c>
    </row>
    <row r="336" spans="1:13" ht="15.75" hidden="1" customHeight="1" x14ac:dyDescent="0.25">
      <c r="A336" s="9" t="s">
        <v>15</v>
      </c>
      <c r="B336" s="9" t="s">
        <v>29</v>
      </c>
      <c r="C336" s="10" t="s">
        <v>21</v>
      </c>
      <c r="D336" s="9" t="s">
        <v>38</v>
      </c>
      <c r="E336" s="9" t="s">
        <v>47</v>
      </c>
      <c r="F336" s="10">
        <v>147</v>
      </c>
      <c r="G336" s="11">
        <v>44211</v>
      </c>
      <c r="H336" s="14">
        <f t="shared" si="10"/>
        <v>2021</v>
      </c>
      <c r="I336" s="12">
        <f>1039.5*509783</f>
        <v>529919428.5</v>
      </c>
      <c r="J336" s="10">
        <v>502</v>
      </c>
      <c r="K336" s="11">
        <v>44964</v>
      </c>
      <c r="L336" s="14">
        <f t="shared" si="11"/>
        <v>2023</v>
      </c>
      <c r="M336" s="12">
        <v>61885851</v>
      </c>
    </row>
    <row r="337" spans="1:13" ht="15.75" hidden="1" customHeight="1" x14ac:dyDescent="0.25">
      <c r="A337" s="9" t="s">
        <v>15</v>
      </c>
      <c r="B337" s="9" t="s">
        <v>29</v>
      </c>
      <c r="C337" s="10" t="s">
        <v>21</v>
      </c>
      <c r="D337" s="9" t="s">
        <v>41</v>
      </c>
      <c r="E337" s="9" t="s">
        <v>47</v>
      </c>
      <c r="F337" s="10">
        <v>148</v>
      </c>
      <c r="G337" s="11">
        <v>44211</v>
      </c>
      <c r="H337" s="14">
        <f t="shared" si="10"/>
        <v>2021</v>
      </c>
      <c r="I337" s="12">
        <f>1097.25*50978</f>
        <v>55935610.5</v>
      </c>
      <c r="J337" s="10">
        <v>452</v>
      </c>
      <c r="K337" s="11">
        <v>44964</v>
      </c>
      <c r="L337" s="14">
        <f t="shared" si="11"/>
        <v>2023</v>
      </c>
      <c r="M337" s="12">
        <v>52995450</v>
      </c>
    </row>
    <row r="338" spans="1:13" ht="15.75" hidden="1" customHeight="1" x14ac:dyDescent="0.25">
      <c r="A338" s="9" t="s">
        <v>15</v>
      </c>
      <c r="B338" s="9" t="s">
        <v>29</v>
      </c>
      <c r="C338" s="10" t="s">
        <v>21</v>
      </c>
      <c r="D338" s="9" t="s">
        <v>49</v>
      </c>
      <c r="E338" s="9" t="s">
        <v>47</v>
      </c>
      <c r="F338" s="10">
        <v>149</v>
      </c>
      <c r="G338" s="11">
        <v>44211</v>
      </c>
      <c r="H338" s="14">
        <f t="shared" si="10"/>
        <v>2021</v>
      </c>
      <c r="I338" s="12">
        <f>3*50978</f>
        <v>152934</v>
      </c>
      <c r="J338" s="10">
        <v>981</v>
      </c>
      <c r="K338" s="11">
        <v>45005</v>
      </c>
      <c r="L338" s="14">
        <f t="shared" si="11"/>
        <v>2023</v>
      </c>
      <c r="M338" s="12">
        <v>1683027</v>
      </c>
    </row>
    <row r="339" spans="1:13" ht="15.75" hidden="1" customHeight="1" x14ac:dyDescent="0.25">
      <c r="A339" s="9" t="s">
        <v>15</v>
      </c>
      <c r="B339" s="9" t="s">
        <v>29</v>
      </c>
      <c r="C339" s="10" t="s">
        <v>21</v>
      </c>
      <c r="D339" s="9" t="s">
        <v>22</v>
      </c>
      <c r="E339" s="9" t="s">
        <v>47</v>
      </c>
      <c r="F339" s="10">
        <v>150</v>
      </c>
      <c r="G339" s="11">
        <v>44211</v>
      </c>
      <c r="H339" s="14">
        <f t="shared" si="10"/>
        <v>2021</v>
      </c>
      <c r="I339" s="12">
        <f>132.65*50978</f>
        <v>6762231.7000000002</v>
      </c>
      <c r="J339" s="10">
        <v>752</v>
      </c>
      <c r="K339" s="11">
        <v>44984</v>
      </c>
      <c r="L339" s="14">
        <f t="shared" si="11"/>
        <v>2023</v>
      </c>
      <c r="M339" s="12">
        <v>5919705</v>
      </c>
    </row>
    <row r="340" spans="1:13" ht="15.75" hidden="1" customHeight="1" x14ac:dyDescent="0.25">
      <c r="A340" s="9" t="s">
        <v>15</v>
      </c>
      <c r="B340" s="9" t="s">
        <v>29</v>
      </c>
      <c r="C340" s="10" t="s">
        <v>21</v>
      </c>
      <c r="D340" s="9" t="s">
        <v>49</v>
      </c>
      <c r="E340" s="9" t="s">
        <v>14</v>
      </c>
      <c r="F340" s="10">
        <v>241</v>
      </c>
      <c r="G340" s="11">
        <v>44215</v>
      </c>
      <c r="H340" s="14">
        <f t="shared" si="10"/>
        <v>2021</v>
      </c>
      <c r="I340" s="12">
        <f>121.45*50978</f>
        <v>6191278.1000000006</v>
      </c>
      <c r="J340" s="10">
        <v>717</v>
      </c>
      <c r="K340" s="11">
        <v>44984</v>
      </c>
      <c r="L340" s="14">
        <f t="shared" si="11"/>
        <v>2023</v>
      </c>
      <c r="M340" s="12">
        <v>7199055</v>
      </c>
    </row>
    <row r="341" spans="1:13" ht="15.75" hidden="1" customHeight="1" x14ac:dyDescent="0.25">
      <c r="A341" s="9" t="s">
        <v>15</v>
      </c>
      <c r="B341" s="9" t="s">
        <v>29</v>
      </c>
      <c r="C341" s="10" t="s">
        <v>21</v>
      </c>
      <c r="D341" s="9" t="s">
        <v>22</v>
      </c>
      <c r="E341" s="9" t="s">
        <v>14</v>
      </c>
      <c r="F341" s="10">
        <v>242</v>
      </c>
      <c r="G341" s="11">
        <v>44215</v>
      </c>
      <c r="H341" s="14">
        <f t="shared" si="10"/>
        <v>2021</v>
      </c>
      <c r="I341" s="12">
        <f>174.65*50978</f>
        <v>8903307.7000000011</v>
      </c>
      <c r="J341" s="10">
        <v>1104</v>
      </c>
      <c r="K341" s="11">
        <v>45016</v>
      </c>
      <c r="L341" s="14">
        <f t="shared" si="11"/>
        <v>2023</v>
      </c>
      <c r="M341" s="12">
        <v>10229310</v>
      </c>
    </row>
    <row r="342" spans="1:13" ht="15.75" hidden="1" customHeight="1" x14ac:dyDescent="0.25">
      <c r="A342" s="9" t="s">
        <v>15</v>
      </c>
      <c r="B342" s="9" t="s">
        <v>29</v>
      </c>
      <c r="C342" s="10" t="s">
        <v>21</v>
      </c>
      <c r="D342" s="9" t="s">
        <v>41</v>
      </c>
      <c r="E342" s="9" t="s">
        <v>14</v>
      </c>
      <c r="F342" s="10">
        <v>243</v>
      </c>
      <c r="G342" s="11">
        <v>44215</v>
      </c>
      <c r="H342" s="14">
        <f t="shared" si="10"/>
        <v>2021</v>
      </c>
      <c r="I342" s="12">
        <f>205.45*50978</f>
        <v>10473430.1</v>
      </c>
      <c r="J342" s="10">
        <v>1115</v>
      </c>
      <c r="K342" s="11">
        <v>45016</v>
      </c>
      <c r="L342" s="14">
        <f t="shared" si="11"/>
        <v>2023</v>
      </c>
      <c r="M342" s="12">
        <v>8568139</v>
      </c>
    </row>
    <row r="343" spans="1:13" ht="15.75" hidden="1" customHeight="1" x14ac:dyDescent="0.25">
      <c r="A343" s="9" t="s">
        <v>15</v>
      </c>
      <c r="B343" s="9" t="s">
        <v>29</v>
      </c>
      <c r="C343" s="10" t="s">
        <v>21</v>
      </c>
      <c r="D343" s="9" t="s">
        <v>38</v>
      </c>
      <c r="E343" s="9" t="s">
        <v>14</v>
      </c>
      <c r="F343" s="10">
        <v>61</v>
      </c>
      <c r="G343" s="11">
        <v>44207</v>
      </c>
      <c r="H343" s="14">
        <f t="shared" si="10"/>
        <v>2021</v>
      </c>
      <c r="I343" s="12">
        <f>176.75*50978</f>
        <v>9010361.5</v>
      </c>
      <c r="J343" s="10">
        <v>716</v>
      </c>
      <c r="K343" s="11">
        <v>44984</v>
      </c>
      <c r="L343" s="14">
        <f t="shared" si="11"/>
        <v>2023</v>
      </c>
      <c r="M343" s="12">
        <v>10950368</v>
      </c>
    </row>
    <row r="344" spans="1:13" ht="15.75" hidden="1" customHeight="1" x14ac:dyDescent="0.25">
      <c r="A344" s="9" t="s">
        <v>15</v>
      </c>
      <c r="B344" s="9" t="s">
        <v>29</v>
      </c>
      <c r="C344" s="10" t="s">
        <v>21</v>
      </c>
      <c r="D344" s="9" t="s">
        <v>38</v>
      </c>
      <c r="E344" s="9" t="s">
        <v>47</v>
      </c>
      <c r="F344" s="10">
        <v>1327</v>
      </c>
      <c r="G344" s="11">
        <v>44326</v>
      </c>
      <c r="H344" s="14">
        <f t="shared" si="10"/>
        <v>2021</v>
      </c>
      <c r="I344" s="12">
        <f>172.2*51798</f>
        <v>8919615.5999999996</v>
      </c>
      <c r="J344" s="10">
        <v>277</v>
      </c>
      <c r="K344" s="11">
        <v>44953</v>
      </c>
      <c r="L344" s="14">
        <f t="shared" si="11"/>
        <v>2023</v>
      </c>
      <c r="M344" s="12">
        <v>9642140</v>
      </c>
    </row>
    <row r="345" spans="1:13" ht="15.75" hidden="1" customHeight="1" x14ac:dyDescent="0.25">
      <c r="A345" s="9" t="s">
        <v>15</v>
      </c>
      <c r="B345" s="9" t="s">
        <v>29</v>
      </c>
      <c r="C345" s="10" t="s">
        <v>21</v>
      </c>
      <c r="D345" s="9" t="s">
        <v>22</v>
      </c>
      <c r="E345" s="9" t="s">
        <v>47</v>
      </c>
      <c r="F345" s="10">
        <v>1329</v>
      </c>
      <c r="G345" s="11">
        <v>44326</v>
      </c>
      <c r="H345" s="14">
        <f t="shared" si="10"/>
        <v>2021</v>
      </c>
      <c r="I345" s="12">
        <f>21.7*51798</f>
        <v>1124016.5999999999</v>
      </c>
      <c r="J345" s="10">
        <v>1109</v>
      </c>
      <c r="K345" s="11">
        <v>45016</v>
      </c>
      <c r="L345" s="14">
        <f t="shared" si="11"/>
        <v>2023</v>
      </c>
      <c r="M345" s="12">
        <v>1027302</v>
      </c>
    </row>
    <row r="346" spans="1:13" ht="15.75" hidden="1" customHeight="1" x14ac:dyDescent="0.25">
      <c r="A346" s="9" t="s">
        <v>15</v>
      </c>
      <c r="B346" s="9" t="s">
        <v>29</v>
      </c>
      <c r="C346" s="10" t="s">
        <v>21</v>
      </c>
      <c r="D346" s="9" t="s">
        <v>38</v>
      </c>
      <c r="E346" s="9" t="s">
        <v>47</v>
      </c>
      <c r="F346" s="10">
        <v>218</v>
      </c>
      <c r="G346" s="11">
        <v>44580</v>
      </c>
      <c r="H346" s="14">
        <f t="shared" si="10"/>
        <v>2022</v>
      </c>
      <c r="I346" s="12">
        <f>42.35*54442</f>
        <v>2305618.7000000002</v>
      </c>
      <c r="J346" s="10">
        <v>503</v>
      </c>
      <c r="K346" s="11">
        <v>44964</v>
      </c>
      <c r="L346" s="14">
        <f t="shared" si="11"/>
        <v>2023</v>
      </c>
      <c r="M346" s="12">
        <v>2623753</v>
      </c>
    </row>
    <row r="347" spans="1:13" ht="15.75" hidden="1" customHeight="1" x14ac:dyDescent="0.25">
      <c r="A347" s="9" t="s">
        <v>15</v>
      </c>
      <c r="B347" s="9" t="s">
        <v>29</v>
      </c>
      <c r="C347" s="10" t="s">
        <v>21</v>
      </c>
      <c r="D347" s="9" t="s">
        <v>38</v>
      </c>
      <c r="E347" s="9" t="s">
        <v>14</v>
      </c>
      <c r="F347" s="10">
        <v>219</v>
      </c>
      <c r="G347" s="11">
        <v>44580</v>
      </c>
      <c r="H347" s="14">
        <f t="shared" si="10"/>
        <v>2022</v>
      </c>
      <c r="I347" s="12">
        <f>89.6*54442</f>
        <v>4878003.1999999993</v>
      </c>
      <c r="J347" s="10">
        <v>486</v>
      </c>
      <c r="K347" s="11">
        <v>44964</v>
      </c>
      <c r="L347" s="14">
        <f t="shared" si="11"/>
        <v>2023</v>
      </c>
      <c r="M347" s="12">
        <v>4250041</v>
      </c>
    </row>
    <row r="348" spans="1:13" ht="15.75" hidden="1" customHeight="1" x14ac:dyDescent="0.25">
      <c r="A348" s="9" t="s">
        <v>15</v>
      </c>
      <c r="B348" s="9" t="s">
        <v>29</v>
      </c>
      <c r="C348" s="10" t="s">
        <v>21</v>
      </c>
      <c r="D348" s="9" t="s">
        <v>49</v>
      </c>
      <c r="E348" s="9" t="s">
        <v>14</v>
      </c>
      <c r="F348" s="10">
        <v>222</v>
      </c>
      <c r="G348" s="11">
        <v>44580</v>
      </c>
      <c r="H348" s="14">
        <f t="shared" si="10"/>
        <v>2022</v>
      </c>
      <c r="I348" s="12">
        <f>42*54442</f>
        <v>2286564</v>
      </c>
      <c r="J348" s="10">
        <v>1245</v>
      </c>
      <c r="K348" s="11">
        <v>45029</v>
      </c>
      <c r="L348" s="14">
        <f t="shared" si="11"/>
        <v>2023</v>
      </c>
      <c r="M348" s="12">
        <v>2620296</v>
      </c>
    </row>
    <row r="349" spans="1:13" ht="15.75" hidden="1" customHeight="1" x14ac:dyDescent="0.25">
      <c r="A349" s="9" t="s">
        <v>15</v>
      </c>
      <c r="B349" s="9" t="s">
        <v>29</v>
      </c>
      <c r="C349" s="10" t="s">
        <v>21</v>
      </c>
      <c r="D349" s="9" t="s">
        <v>38</v>
      </c>
      <c r="E349" s="9" t="s">
        <v>14</v>
      </c>
      <c r="F349" s="10">
        <v>231</v>
      </c>
      <c r="G349" s="11">
        <v>44580</v>
      </c>
      <c r="H349" s="14">
        <f t="shared" si="10"/>
        <v>2022</v>
      </c>
      <c r="I349" s="12">
        <f>15.75*54442</f>
        <v>857461.5</v>
      </c>
      <c r="J349" s="10">
        <v>1107</v>
      </c>
      <c r="K349" s="11">
        <v>45016</v>
      </c>
      <c r="L349" s="14">
        <f t="shared" si="11"/>
        <v>2023</v>
      </c>
      <c r="M349" s="12">
        <v>983587</v>
      </c>
    </row>
    <row r="350" spans="1:13" ht="15.75" hidden="1" customHeight="1" x14ac:dyDescent="0.25">
      <c r="A350" s="9" t="s">
        <v>57</v>
      </c>
      <c r="B350" s="9" t="s">
        <v>29</v>
      </c>
      <c r="C350" s="10" t="s">
        <v>82</v>
      </c>
      <c r="D350" s="9" t="s">
        <v>83</v>
      </c>
      <c r="E350" s="9" t="s">
        <v>84</v>
      </c>
      <c r="F350" s="10">
        <v>3616</v>
      </c>
      <c r="G350" s="11">
        <v>44561</v>
      </c>
      <c r="H350" s="14">
        <f t="shared" si="10"/>
        <v>2021</v>
      </c>
      <c r="I350" s="12">
        <v>76623880</v>
      </c>
      <c r="J350" s="10">
        <v>2871</v>
      </c>
      <c r="K350" s="11">
        <v>45155</v>
      </c>
      <c r="L350" s="14">
        <f t="shared" si="11"/>
        <v>2023</v>
      </c>
      <c r="M350" s="12">
        <v>75587920</v>
      </c>
    </row>
    <row r="351" spans="1:13" ht="15.75" hidden="1" customHeight="1" x14ac:dyDescent="0.25">
      <c r="A351" s="9" t="s">
        <v>15</v>
      </c>
      <c r="B351" s="9" t="s">
        <v>29</v>
      </c>
      <c r="C351" s="10" t="s">
        <v>94</v>
      </c>
      <c r="D351" s="9" t="s">
        <v>83</v>
      </c>
      <c r="E351" s="9" t="s">
        <v>91</v>
      </c>
      <c r="F351" s="10">
        <v>794</v>
      </c>
      <c r="G351" s="11">
        <v>44630</v>
      </c>
      <c r="H351" s="14">
        <f t="shared" si="10"/>
        <v>2022</v>
      </c>
      <c r="I351" s="12">
        <v>1332888</v>
      </c>
      <c r="J351" s="10">
        <v>6486</v>
      </c>
      <c r="K351" s="11">
        <v>45278</v>
      </c>
      <c r="L351" s="14">
        <f t="shared" si="11"/>
        <v>2023</v>
      </c>
      <c r="M351" s="12">
        <v>0</v>
      </c>
    </row>
    <row r="352" spans="1:13" ht="15.75" hidden="1" customHeight="1" x14ac:dyDescent="0.25">
      <c r="A352" s="9" t="s">
        <v>15</v>
      </c>
      <c r="B352" s="9" t="s">
        <v>29</v>
      </c>
      <c r="C352" s="10" t="s">
        <v>94</v>
      </c>
      <c r="D352" s="9" t="s">
        <v>83</v>
      </c>
      <c r="E352" s="9" t="s">
        <v>91</v>
      </c>
      <c r="F352" s="10">
        <v>960</v>
      </c>
      <c r="G352" s="11">
        <v>44645</v>
      </c>
      <c r="H352" s="14">
        <f t="shared" si="10"/>
        <v>2022</v>
      </c>
      <c r="I352" s="12">
        <v>4241209.2113600001</v>
      </c>
      <c r="J352" s="10">
        <v>5960</v>
      </c>
      <c r="K352" s="11">
        <v>45240</v>
      </c>
      <c r="L352" s="14">
        <f t="shared" si="11"/>
        <v>2023</v>
      </c>
      <c r="M352" s="12">
        <v>2713942</v>
      </c>
    </row>
    <row r="353" spans="1:13" ht="15.75" hidden="1" customHeight="1" x14ac:dyDescent="0.25">
      <c r="A353" s="9" t="s">
        <v>15</v>
      </c>
      <c r="B353" s="9" t="s">
        <v>29</v>
      </c>
      <c r="C353" s="10" t="s">
        <v>94</v>
      </c>
      <c r="D353" s="9" t="s">
        <v>83</v>
      </c>
      <c r="E353" s="9" t="s">
        <v>91</v>
      </c>
      <c r="F353" s="10">
        <v>1008</v>
      </c>
      <c r="G353" s="11">
        <v>44651</v>
      </c>
      <c r="H353" s="14">
        <f t="shared" si="10"/>
        <v>2022</v>
      </c>
      <c r="I353" s="12">
        <v>116627.7</v>
      </c>
      <c r="J353" s="10">
        <v>507</v>
      </c>
      <c r="K353" s="11">
        <v>44964</v>
      </c>
      <c r="L353" s="14">
        <f t="shared" si="11"/>
        <v>2023</v>
      </c>
      <c r="M353" s="12">
        <v>116628</v>
      </c>
    </row>
    <row r="354" spans="1:13" ht="15.75" hidden="1" customHeight="1" x14ac:dyDescent="0.25">
      <c r="A354" s="9" t="s">
        <v>15</v>
      </c>
      <c r="B354" s="9" t="s">
        <v>29</v>
      </c>
      <c r="C354" s="10" t="s">
        <v>94</v>
      </c>
      <c r="D354" s="9" t="s">
        <v>25</v>
      </c>
      <c r="E354" s="9" t="s">
        <v>91</v>
      </c>
      <c r="F354" s="10">
        <v>1274</v>
      </c>
      <c r="G354" s="11">
        <v>44677</v>
      </c>
      <c r="H354" s="14">
        <f t="shared" si="10"/>
        <v>2022</v>
      </c>
      <c r="I354" s="12">
        <v>322115</v>
      </c>
      <c r="J354" s="10">
        <v>6120</v>
      </c>
      <c r="K354" s="11">
        <v>45252</v>
      </c>
      <c r="L354" s="14">
        <f t="shared" si="11"/>
        <v>2023</v>
      </c>
      <c r="M354" s="12">
        <v>0</v>
      </c>
    </row>
    <row r="355" spans="1:13" ht="15.75" hidden="1" customHeight="1" x14ac:dyDescent="0.25">
      <c r="A355" s="9" t="s">
        <v>15</v>
      </c>
      <c r="B355" s="9" t="s">
        <v>29</v>
      </c>
      <c r="C355" s="10" t="s">
        <v>21</v>
      </c>
      <c r="D355" s="9" t="s">
        <v>83</v>
      </c>
      <c r="E355" s="9" t="s">
        <v>72</v>
      </c>
      <c r="F355" s="10">
        <v>1617</v>
      </c>
      <c r="G355" s="11">
        <v>44713</v>
      </c>
      <c r="H355" s="14">
        <f t="shared" si="10"/>
        <v>2022</v>
      </c>
      <c r="I355" s="12">
        <f>39790*57557</f>
        <v>2290193030</v>
      </c>
      <c r="J355" s="10">
        <v>944</v>
      </c>
      <c r="K355" s="11">
        <v>45005</v>
      </c>
      <c r="L355" s="14">
        <f t="shared" si="11"/>
        <v>2023</v>
      </c>
      <c r="M355" s="12">
        <v>2484947950</v>
      </c>
    </row>
    <row r="356" spans="1:13" ht="15.75" hidden="1" customHeight="1" x14ac:dyDescent="0.25">
      <c r="A356" s="9" t="s">
        <v>15</v>
      </c>
      <c r="B356" s="9" t="s">
        <v>29</v>
      </c>
      <c r="C356" s="10" t="s">
        <v>21</v>
      </c>
      <c r="D356" s="9" t="s">
        <v>83</v>
      </c>
      <c r="E356" s="9" t="s">
        <v>72</v>
      </c>
      <c r="F356" s="10">
        <v>1645</v>
      </c>
      <c r="G356" s="11">
        <v>44714</v>
      </c>
      <c r="H356" s="14">
        <f t="shared" si="10"/>
        <v>2022</v>
      </c>
      <c r="I356" s="12">
        <f>23159*57557</f>
        <v>1332962563</v>
      </c>
      <c r="J356" s="10">
        <v>949</v>
      </c>
      <c r="K356" s="11">
        <v>45005</v>
      </c>
      <c r="L356" s="14">
        <f t="shared" si="11"/>
        <v>2023</v>
      </c>
      <c r="M356" s="12">
        <f>23159*62450</f>
        <v>1446279550</v>
      </c>
    </row>
    <row r="357" spans="1:13" ht="15.75" hidden="1" customHeight="1" x14ac:dyDescent="0.25">
      <c r="A357" s="9" t="s">
        <v>59</v>
      </c>
      <c r="B357" s="9" t="s">
        <v>29</v>
      </c>
      <c r="C357" s="10" t="s">
        <v>21</v>
      </c>
      <c r="D357" s="9" t="s">
        <v>38</v>
      </c>
      <c r="E357" s="9" t="s">
        <v>14</v>
      </c>
      <c r="F357" s="10">
        <v>2347</v>
      </c>
      <c r="G357" s="11">
        <v>44771</v>
      </c>
      <c r="H357" s="14">
        <f t="shared" si="10"/>
        <v>2022</v>
      </c>
      <c r="I357" s="12">
        <f>2428.65*58298</f>
        <v>141585437.70000002</v>
      </c>
      <c r="J357" s="10">
        <v>462</v>
      </c>
      <c r="K357" s="11">
        <v>44964</v>
      </c>
      <c r="L357" s="14">
        <f t="shared" si="11"/>
        <v>2023</v>
      </c>
      <c r="M357" s="12">
        <v>150464582</v>
      </c>
    </row>
    <row r="358" spans="1:13" ht="15.75" hidden="1" customHeight="1" x14ac:dyDescent="0.25">
      <c r="A358" s="9" t="s">
        <v>59</v>
      </c>
      <c r="B358" s="9" t="s">
        <v>29</v>
      </c>
      <c r="C358" s="10" t="s">
        <v>21</v>
      </c>
      <c r="D358" s="9" t="s">
        <v>41</v>
      </c>
      <c r="E358" s="9" t="s">
        <v>14</v>
      </c>
      <c r="F358" s="10">
        <v>2291</v>
      </c>
      <c r="G358" s="11">
        <v>44770</v>
      </c>
      <c r="H358" s="14">
        <f t="shared" si="10"/>
        <v>2022</v>
      </c>
      <c r="I358" s="12">
        <f>316.05*58298</f>
        <v>18425082.900000002</v>
      </c>
      <c r="J358" s="10">
        <v>479</v>
      </c>
      <c r="K358" s="11">
        <v>44964</v>
      </c>
      <c r="L358" s="14">
        <f t="shared" si="11"/>
        <v>2023</v>
      </c>
      <c r="M358" s="12">
        <v>19580562</v>
      </c>
    </row>
    <row r="359" spans="1:13" ht="15.75" hidden="1" customHeight="1" x14ac:dyDescent="0.25">
      <c r="A359" s="9" t="s">
        <v>59</v>
      </c>
      <c r="B359" s="9" t="s">
        <v>29</v>
      </c>
      <c r="C359" s="10" t="s">
        <v>21</v>
      </c>
      <c r="D359" s="9" t="s">
        <v>22</v>
      </c>
      <c r="E359" s="9" t="s">
        <v>14</v>
      </c>
      <c r="F359" s="10">
        <v>2289</v>
      </c>
      <c r="G359" s="11">
        <v>44770</v>
      </c>
      <c r="H359" s="14">
        <f t="shared" si="10"/>
        <v>2022</v>
      </c>
      <c r="I359" s="12">
        <f>283.5*58298</f>
        <v>16527483</v>
      </c>
      <c r="J359" s="10">
        <v>467</v>
      </c>
      <c r="K359" s="11">
        <v>44964</v>
      </c>
      <c r="L359" s="14">
        <f t="shared" si="11"/>
        <v>2023</v>
      </c>
      <c r="M359" s="12">
        <v>17563959</v>
      </c>
    </row>
    <row r="360" spans="1:13" ht="15.75" hidden="1" customHeight="1" x14ac:dyDescent="0.25">
      <c r="A360" s="9" t="s">
        <v>59</v>
      </c>
      <c r="B360" s="9" t="s">
        <v>29</v>
      </c>
      <c r="C360" s="10" t="s">
        <v>21</v>
      </c>
      <c r="D360" s="9" t="s">
        <v>49</v>
      </c>
      <c r="E360" s="9" t="s">
        <v>14</v>
      </c>
      <c r="F360" s="10">
        <v>2348</v>
      </c>
      <c r="G360" s="11">
        <v>44771</v>
      </c>
      <c r="H360" s="14">
        <f t="shared" si="10"/>
        <v>2022</v>
      </c>
      <c r="I360" s="12">
        <f>1461.95*58298</f>
        <v>85228761.100000009</v>
      </c>
      <c r="J360" s="10">
        <v>445</v>
      </c>
      <c r="K360" s="11">
        <v>44964</v>
      </c>
      <c r="L360" s="14">
        <f t="shared" si="11"/>
        <v>2023</v>
      </c>
      <c r="M360" s="12">
        <v>90573650</v>
      </c>
    </row>
    <row r="361" spans="1:13" ht="15.75" hidden="1" customHeight="1" x14ac:dyDescent="0.25">
      <c r="A361" s="9" t="s">
        <v>10</v>
      </c>
      <c r="B361" s="9" t="s">
        <v>29</v>
      </c>
      <c r="C361" s="10" t="s">
        <v>21</v>
      </c>
      <c r="D361" s="9" t="s">
        <v>38</v>
      </c>
      <c r="E361" s="9" t="s">
        <v>14</v>
      </c>
      <c r="F361" s="10">
        <v>2053</v>
      </c>
      <c r="G361" s="11">
        <v>44754</v>
      </c>
      <c r="H361" s="14">
        <f t="shared" si="10"/>
        <v>2022</v>
      </c>
      <c r="I361" s="12">
        <f>1524.95*58298</f>
        <v>88901535.100000009</v>
      </c>
      <c r="J361" s="10">
        <v>469</v>
      </c>
      <c r="K361" s="11">
        <v>44964</v>
      </c>
      <c r="L361" s="14">
        <f t="shared" si="11"/>
        <v>2023</v>
      </c>
      <c r="M361" s="12">
        <v>94476752</v>
      </c>
    </row>
    <row r="362" spans="1:13" ht="15.75" hidden="1" customHeight="1" x14ac:dyDescent="0.25">
      <c r="A362" s="9" t="s">
        <v>10</v>
      </c>
      <c r="B362" s="9" t="s">
        <v>29</v>
      </c>
      <c r="C362" s="10" t="s">
        <v>21</v>
      </c>
      <c r="D362" s="9" t="s">
        <v>38</v>
      </c>
      <c r="E362" s="9" t="s">
        <v>14</v>
      </c>
      <c r="F362" s="10">
        <v>2054</v>
      </c>
      <c r="G362" s="11">
        <v>44754</v>
      </c>
      <c r="H362" s="14">
        <f t="shared" si="10"/>
        <v>2022</v>
      </c>
      <c r="I362" s="12">
        <f>1766.8*58298</f>
        <v>103000906.39999999</v>
      </c>
      <c r="J362" s="10">
        <v>468</v>
      </c>
      <c r="K362" s="11">
        <v>44964</v>
      </c>
      <c r="L362" s="14">
        <f t="shared" si="11"/>
        <v>2023</v>
      </c>
      <c r="M362" s="12">
        <v>109460327</v>
      </c>
    </row>
    <row r="363" spans="1:13" ht="15.75" hidden="1" customHeight="1" x14ac:dyDescent="0.25">
      <c r="A363" s="9" t="s">
        <v>10</v>
      </c>
      <c r="B363" s="9" t="s">
        <v>29</v>
      </c>
      <c r="C363" s="10" t="s">
        <v>21</v>
      </c>
      <c r="D363" s="9" t="s">
        <v>38</v>
      </c>
      <c r="E363" s="9" t="s">
        <v>14</v>
      </c>
      <c r="F363" s="10">
        <v>2056</v>
      </c>
      <c r="G363" s="11">
        <v>44754</v>
      </c>
      <c r="H363" s="14">
        <f t="shared" si="10"/>
        <v>2022</v>
      </c>
      <c r="I363" s="12">
        <f>922.6*58298</f>
        <v>53785734.800000004</v>
      </c>
      <c r="J363" s="10">
        <v>477</v>
      </c>
      <c r="K363" s="11">
        <v>44964</v>
      </c>
      <c r="L363" s="14">
        <f t="shared" si="11"/>
        <v>2023</v>
      </c>
      <c r="M363" s="12">
        <v>57158760</v>
      </c>
    </row>
    <row r="364" spans="1:13" ht="15.75" hidden="1" customHeight="1" x14ac:dyDescent="0.25">
      <c r="A364" s="9" t="s">
        <v>10</v>
      </c>
      <c r="B364" s="9" t="s">
        <v>29</v>
      </c>
      <c r="C364" s="10" t="s">
        <v>21</v>
      </c>
      <c r="D364" s="9" t="s">
        <v>41</v>
      </c>
      <c r="E364" s="9" t="s">
        <v>14</v>
      </c>
      <c r="F364" s="10">
        <v>2055</v>
      </c>
      <c r="G364" s="11">
        <v>44754</v>
      </c>
      <c r="H364" s="14">
        <f t="shared" si="10"/>
        <v>2022</v>
      </c>
      <c r="I364" s="12">
        <f>1126.3*58298</f>
        <v>65661037.399999999</v>
      </c>
      <c r="J364" s="10">
        <v>476</v>
      </c>
      <c r="K364" s="11">
        <v>44964</v>
      </c>
      <c r="L364" s="14">
        <f t="shared" si="11"/>
        <v>2023</v>
      </c>
      <c r="M364" s="12">
        <v>69778790</v>
      </c>
    </row>
    <row r="365" spans="1:13" ht="15.75" hidden="1" customHeight="1" x14ac:dyDescent="0.25">
      <c r="A365" s="9" t="s">
        <v>10</v>
      </c>
      <c r="B365" s="9" t="s">
        <v>29</v>
      </c>
      <c r="C365" s="10" t="s">
        <v>21</v>
      </c>
      <c r="D365" s="9" t="s">
        <v>41</v>
      </c>
      <c r="E365" s="9" t="s">
        <v>14</v>
      </c>
      <c r="F365" s="10">
        <v>2051</v>
      </c>
      <c r="G365" s="11">
        <v>44754</v>
      </c>
      <c r="H365" s="14">
        <f t="shared" si="10"/>
        <v>2022</v>
      </c>
      <c r="I365" s="12">
        <f>888.65*58298</f>
        <v>51806517.699999996</v>
      </c>
      <c r="J365" s="10">
        <v>443</v>
      </c>
      <c r="K365" s="11">
        <v>44964</v>
      </c>
      <c r="L365" s="14">
        <f t="shared" si="11"/>
        <v>2023</v>
      </c>
      <c r="M365" s="12">
        <v>55055422</v>
      </c>
    </row>
    <row r="366" spans="1:13" ht="15.75" hidden="1" customHeight="1" x14ac:dyDescent="0.25">
      <c r="A366" s="9" t="s">
        <v>10</v>
      </c>
      <c r="B366" s="9" t="s">
        <v>29</v>
      </c>
      <c r="C366" s="10" t="s">
        <v>21</v>
      </c>
      <c r="D366" s="9" t="s">
        <v>41</v>
      </c>
      <c r="E366" s="9" t="s">
        <v>14</v>
      </c>
      <c r="F366" s="10">
        <v>2050</v>
      </c>
      <c r="G366" s="11">
        <v>44754</v>
      </c>
      <c r="H366" s="14">
        <f t="shared" si="10"/>
        <v>2022</v>
      </c>
      <c r="I366" s="12">
        <f>599.9*58298</f>
        <v>34972970.199999996</v>
      </c>
      <c r="J366" s="10">
        <v>442</v>
      </c>
      <c r="K366" s="11">
        <v>44964</v>
      </c>
      <c r="L366" s="14">
        <f t="shared" si="11"/>
        <v>2023</v>
      </c>
      <c r="M366" s="12">
        <v>37166205</v>
      </c>
    </row>
    <row r="367" spans="1:13" ht="15.75" hidden="1" customHeight="1" x14ac:dyDescent="0.25">
      <c r="A367" s="9" t="s">
        <v>10</v>
      </c>
      <c r="B367" s="9" t="s">
        <v>29</v>
      </c>
      <c r="C367" s="10" t="s">
        <v>21</v>
      </c>
      <c r="D367" s="9" t="s">
        <v>22</v>
      </c>
      <c r="E367" s="9" t="s">
        <v>14</v>
      </c>
      <c r="F367" s="10">
        <v>2048</v>
      </c>
      <c r="G367" s="11">
        <v>44754</v>
      </c>
      <c r="H367" s="14">
        <f t="shared" si="10"/>
        <v>2022</v>
      </c>
      <c r="I367" s="12">
        <f>2346.4*58298</f>
        <v>136790427.20000002</v>
      </c>
      <c r="J367" s="10">
        <v>480</v>
      </c>
      <c r="K367" s="11">
        <v>44964</v>
      </c>
      <c r="L367" s="14">
        <f t="shared" si="11"/>
        <v>2023</v>
      </c>
      <c r="M367" s="12">
        <v>145368865</v>
      </c>
    </row>
    <row r="368" spans="1:13" ht="15.75" hidden="1" customHeight="1" x14ac:dyDescent="0.25">
      <c r="A368" s="9" t="s">
        <v>10</v>
      </c>
      <c r="B368" s="9" t="s">
        <v>29</v>
      </c>
      <c r="C368" s="10" t="s">
        <v>21</v>
      </c>
      <c r="D368" s="9" t="s">
        <v>49</v>
      </c>
      <c r="E368" s="9" t="s">
        <v>14</v>
      </c>
      <c r="F368" s="10">
        <v>2049</v>
      </c>
      <c r="G368" s="11">
        <v>44754</v>
      </c>
      <c r="H368" s="14">
        <f t="shared" si="10"/>
        <v>2022</v>
      </c>
      <c r="I368" s="12">
        <f>2136.05*58298</f>
        <v>124527442.90000001</v>
      </c>
      <c r="J368" s="10">
        <v>441</v>
      </c>
      <c r="K368" s="11">
        <v>44964</v>
      </c>
      <c r="L368" s="14">
        <f t="shared" si="11"/>
        <v>2023</v>
      </c>
      <c r="M368" s="12">
        <v>132336842</v>
      </c>
    </row>
    <row r="369" spans="1:13" ht="15.75" hidden="1" customHeight="1" x14ac:dyDescent="0.25">
      <c r="A369" s="9" t="s">
        <v>59</v>
      </c>
      <c r="B369" s="9" t="s">
        <v>29</v>
      </c>
      <c r="C369" s="10" t="s">
        <v>21</v>
      </c>
      <c r="D369" s="9" t="s">
        <v>83</v>
      </c>
      <c r="E369" s="9" t="s">
        <v>72</v>
      </c>
      <c r="F369" s="10">
        <v>1961</v>
      </c>
      <c r="G369" s="11">
        <v>44748</v>
      </c>
      <c r="H369" s="14">
        <f t="shared" si="10"/>
        <v>2022</v>
      </c>
      <c r="I369" s="12">
        <f>7956.39*58298</f>
        <v>463841624.22000003</v>
      </c>
      <c r="J369" s="10">
        <v>980</v>
      </c>
      <c r="K369" s="11">
        <v>45005</v>
      </c>
      <c r="L369" s="14">
        <f t="shared" si="11"/>
        <v>2023</v>
      </c>
      <c r="M369" s="12">
        <v>7956.39</v>
      </c>
    </row>
    <row r="370" spans="1:13" ht="15.75" hidden="1" customHeight="1" x14ac:dyDescent="0.25">
      <c r="A370" s="9" t="s">
        <v>10</v>
      </c>
      <c r="B370" s="9" t="s">
        <v>29</v>
      </c>
      <c r="C370" s="10" t="s">
        <v>21</v>
      </c>
      <c r="D370" s="9" t="s">
        <v>83</v>
      </c>
      <c r="E370" s="9" t="s">
        <v>72</v>
      </c>
      <c r="F370" s="10">
        <v>2915</v>
      </c>
      <c r="G370" s="11">
        <v>44834</v>
      </c>
      <c r="H370" s="14">
        <f t="shared" si="10"/>
        <v>2022</v>
      </c>
      <c r="I370" s="12">
        <f>11632.13*59595</f>
        <v>693216787.3499999</v>
      </c>
      <c r="J370" s="10">
        <v>2042</v>
      </c>
      <c r="K370" s="11">
        <v>45077</v>
      </c>
      <c r="L370" s="14">
        <f t="shared" si="11"/>
        <v>2023</v>
      </c>
      <c r="M370" s="12">
        <v>733684968</v>
      </c>
    </row>
    <row r="371" spans="1:13" ht="15.75" hidden="1" customHeight="1" x14ac:dyDescent="0.25">
      <c r="A371" s="9" t="s">
        <v>10</v>
      </c>
      <c r="B371" s="9" t="s">
        <v>29</v>
      </c>
      <c r="C371" s="10" t="s">
        <v>21</v>
      </c>
      <c r="D371" s="9" t="s">
        <v>83</v>
      </c>
      <c r="E371" s="9" t="s">
        <v>72</v>
      </c>
      <c r="F371" s="10">
        <v>2914</v>
      </c>
      <c r="G371" s="11">
        <v>44834</v>
      </c>
      <c r="H371" s="14">
        <f t="shared" si="10"/>
        <v>2022</v>
      </c>
      <c r="I371" s="12">
        <f>14451.83*59595</f>
        <v>861256808.85000002</v>
      </c>
      <c r="J371" s="10">
        <v>457</v>
      </c>
      <c r="K371" s="11">
        <v>44964</v>
      </c>
      <c r="L371" s="14">
        <f t="shared" si="11"/>
        <v>2023</v>
      </c>
      <c r="M371" s="12">
        <v>895348676</v>
      </c>
    </row>
    <row r="372" spans="1:13" ht="15.75" hidden="1" customHeight="1" x14ac:dyDescent="0.25">
      <c r="A372" s="9" t="s">
        <v>10</v>
      </c>
      <c r="B372" s="9" t="s">
        <v>29</v>
      </c>
      <c r="C372" s="10" t="s">
        <v>21</v>
      </c>
      <c r="D372" s="9" t="s">
        <v>83</v>
      </c>
      <c r="E372" s="9" t="s">
        <v>72</v>
      </c>
      <c r="F372" s="10">
        <v>2913</v>
      </c>
      <c r="G372" s="11">
        <v>44834</v>
      </c>
      <c r="H372" s="14">
        <f t="shared" si="10"/>
        <v>2022</v>
      </c>
      <c r="I372" s="12">
        <f>16419.28*59595</f>
        <v>978506991.5999999</v>
      </c>
      <c r="J372" s="10">
        <v>456</v>
      </c>
      <c r="K372" s="11">
        <v>44964</v>
      </c>
      <c r="L372" s="14">
        <f t="shared" si="11"/>
        <v>2023</v>
      </c>
      <c r="M372" s="12">
        <v>1017302027</v>
      </c>
    </row>
    <row r="373" spans="1:13" ht="15.75" hidden="1" customHeight="1" x14ac:dyDescent="0.25">
      <c r="A373" s="9" t="s">
        <v>10</v>
      </c>
      <c r="B373" s="9" t="s">
        <v>29</v>
      </c>
      <c r="C373" s="10" t="s">
        <v>21</v>
      </c>
      <c r="D373" s="9" t="s">
        <v>83</v>
      </c>
      <c r="E373" s="9" t="s">
        <v>72</v>
      </c>
      <c r="F373" s="10">
        <v>2916</v>
      </c>
      <c r="G373" s="11">
        <v>44834</v>
      </c>
      <c r="H373" s="14">
        <f t="shared" si="10"/>
        <v>2022</v>
      </c>
      <c r="I373" s="12">
        <f>1223.75*59595</f>
        <v>72929381.25</v>
      </c>
      <c r="J373" s="10">
        <v>460</v>
      </c>
      <c r="K373" s="11">
        <v>44964</v>
      </c>
      <c r="L373" s="14">
        <f t="shared" si="11"/>
        <v>2023</v>
      </c>
      <c r="M373" s="12">
        <v>75816207</v>
      </c>
    </row>
    <row r="374" spans="1:13" ht="15.75" hidden="1" customHeight="1" x14ac:dyDescent="0.25">
      <c r="A374" s="9" t="s">
        <v>10</v>
      </c>
      <c r="B374" s="9" t="s">
        <v>29</v>
      </c>
      <c r="C374" s="10" t="s">
        <v>21</v>
      </c>
      <c r="D374" s="9" t="s">
        <v>22</v>
      </c>
      <c r="E374" s="9" t="s">
        <v>14</v>
      </c>
      <c r="F374" s="10">
        <v>2052</v>
      </c>
      <c r="G374" s="11">
        <v>44754</v>
      </c>
      <c r="H374" s="14">
        <f t="shared" si="10"/>
        <v>2022</v>
      </c>
      <c r="I374" s="12">
        <f>954.8*58298</f>
        <v>55662930.399999999</v>
      </c>
      <c r="J374" s="10">
        <v>444</v>
      </c>
      <c r="K374" s="11">
        <v>44964</v>
      </c>
      <c r="L374" s="14">
        <f t="shared" si="11"/>
        <v>2023</v>
      </c>
      <c r="M374" s="12">
        <v>59153679</v>
      </c>
    </row>
    <row r="375" spans="1:13" ht="15.75" hidden="1" customHeight="1" x14ac:dyDescent="0.25">
      <c r="A375" s="9" t="s">
        <v>10</v>
      </c>
      <c r="B375" s="9" t="s">
        <v>29</v>
      </c>
      <c r="C375" s="10" t="s">
        <v>21</v>
      </c>
      <c r="D375" s="9" t="s">
        <v>22</v>
      </c>
      <c r="E375" s="9" t="s">
        <v>14</v>
      </c>
      <c r="F375" s="10">
        <v>2057</v>
      </c>
      <c r="G375" s="11">
        <v>44754</v>
      </c>
      <c r="H375" s="14">
        <f t="shared" si="10"/>
        <v>2022</v>
      </c>
      <c r="I375" s="12">
        <f>1300.6*58298</f>
        <v>75822378.799999997</v>
      </c>
      <c r="J375" s="10">
        <v>478</v>
      </c>
      <c r="K375" s="11">
        <v>44964</v>
      </c>
      <c r="L375" s="14">
        <f t="shared" si="11"/>
        <v>2023</v>
      </c>
      <c r="M375" s="12">
        <v>80577372</v>
      </c>
    </row>
    <row r="376" spans="1:13" ht="15.75" hidden="1" customHeight="1" x14ac:dyDescent="0.25">
      <c r="A376" s="9" t="s">
        <v>15</v>
      </c>
      <c r="B376" s="9" t="s">
        <v>29</v>
      </c>
      <c r="C376" s="10" t="s">
        <v>21</v>
      </c>
      <c r="D376" s="9" t="s">
        <v>83</v>
      </c>
      <c r="E376" s="9" t="s">
        <v>70</v>
      </c>
      <c r="F376" s="10">
        <v>2349</v>
      </c>
      <c r="G376" s="11">
        <v>44771</v>
      </c>
      <c r="H376" s="14">
        <f t="shared" si="10"/>
        <v>2022</v>
      </c>
      <c r="I376" s="12">
        <f>2.7*58298</f>
        <v>157404.6</v>
      </c>
      <c r="J376" s="10">
        <v>364</v>
      </c>
      <c r="K376" s="11">
        <v>44959</v>
      </c>
      <c r="L376" s="14">
        <f t="shared" si="11"/>
        <v>2023</v>
      </c>
      <c r="M376" s="12">
        <v>2.7</v>
      </c>
    </row>
    <row r="377" spans="1:13" ht="15.75" hidden="1" customHeight="1" x14ac:dyDescent="0.25">
      <c r="A377" s="9" t="s">
        <v>15</v>
      </c>
      <c r="B377" s="9" t="s">
        <v>29</v>
      </c>
      <c r="C377" s="10" t="s">
        <v>21</v>
      </c>
      <c r="D377" s="9" t="s">
        <v>49</v>
      </c>
      <c r="E377" s="9" t="s">
        <v>65</v>
      </c>
      <c r="F377" s="10">
        <v>2577</v>
      </c>
      <c r="G377" s="11">
        <v>44795</v>
      </c>
      <c r="H377" s="14">
        <f t="shared" si="10"/>
        <v>2022</v>
      </c>
      <c r="I377" s="12">
        <f>2.6*58772</f>
        <v>152807.20000000001</v>
      </c>
      <c r="J377" s="10">
        <v>1412</v>
      </c>
      <c r="K377" s="11">
        <v>45042</v>
      </c>
      <c r="L377" s="14">
        <f t="shared" si="11"/>
        <v>2023</v>
      </c>
      <c r="M377" s="12">
        <v>162210.6</v>
      </c>
    </row>
    <row r="378" spans="1:13" ht="15.75" hidden="1" customHeight="1" x14ac:dyDescent="0.25">
      <c r="A378" s="9" t="s">
        <v>15</v>
      </c>
      <c r="B378" s="9" t="s">
        <v>29</v>
      </c>
      <c r="C378" s="10" t="s">
        <v>21</v>
      </c>
      <c r="D378" s="9" t="s">
        <v>38</v>
      </c>
      <c r="E378" s="9" t="s">
        <v>65</v>
      </c>
      <c r="F378" s="10">
        <v>2814</v>
      </c>
      <c r="G378" s="11">
        <v>44830</v>
      </c>
      <c r="H378" s="14">
        <f t="shared" si="10"/>
        <v>2022</v>
      </c>
      <c r="I378" s="12">
        <f>2.4*59595</f>
        <v>143028</v>
      </c>
      <c r="J378" s="10">
        <v>1116</v>
      </c>
      <c r="K378" s="11">
        <v>45016</v>
      </c>
      <c r="L378" s="14">
        <f t="shared" si="11"/>
        <v>2023</v>
      </c>
      <c r="M378" s="12">
        <v>149880</v>
      </c>
    </row>
    <row r="379" spans="1:13" ht="15.75" hidden="1" customHeight="1" x14ac:dyDescent="0.25">
      <c r="A379" s="9" t="s">
        <v>15</v>
      </c>
      <c r="B379" s="9" t="s">
        <v>29</v>
      </c>
      <c r="C379" s="10" t="s">
        <v>21</v>
      </c>
      <c r="D379" s="9" t="s">
        <v>22</v>
      </c>
      <c r="E379" s="9" t="s">
        <v>73</v>
      </c>
      <c r="F379" s="10">
        <v>1618</v>
      </c>
      <c r="G379" s="11">
        <v>44713</v>
      </c>
      <c r="H379" s="14">
        <f t="shared" si="10"/>
        <v>2022</v>
      </c>
      <c r="I379" s="12">
        <f>360*57557</f>
        <v>20720520</v>
      </c>
      <c r="J379" s="10">
        <v>1331</v>
      </c>
      <c r="K379" s="11">
        <v>45036</v>
      </c>
      <c r="L379" s="14">
        <f t="shared" si="11"/>
        <v>2023</v>
      </c>
      <c r="M379" s="12">
        <v>22459680</v>
      </c>
    </row>
    <row r="380" spans="1:13" ht="15.75" hidden="1" customHeight="1" x14ac:dyDescent="0.25">
      <c r="A380" s="9" t="s">
        <v>59</v>
      </c>
      <c r="B380" s="9" t="s">
        <v>29</v>
      </c>
      <c r="C380" s="10" t="s">
        <v>56</v>
      </c>
      <c r="D380" s="9" t="s">
        <v>40</v>
      </c>
      <c r="E380" s="9" t="s">
        <v>14</v>
      </c>
      <c r="F380" s="10">
        <v>3700</v>
      </c>
      <c r="G380" s="11">
        <v>44904</v>
      </c>
      <c r="H380" s="14">
        <f t="shared" si="10"/>
        <v>2022</v>
      </c>
      <c r="I380" s="12">
        <f>162.75*61157</f>
        <v>9953301.75</v>
      </c>
      <c r="J380" s="10">
        <v>2073</v>
      </c>
      <c r="K380" s="11">
        <v>45079</v>
      </c>
      <c r="L380" s="14">
        <f t="shared" si="11"/>
        <v>2023</v>
      </c>
      <c r="M380" s="12">
        <v>7901759</v>
      </c>
    </row>
    <row r="381" spans="1:13" ht="15.75" hidden="1" customHeight="1" x14ac:dyDescent="0.25">
      <c r="A381" s="9" t="s">
        <v>10</v>
      </c>
      <c r="B381" s="9" t="s">
        <v>29</v>
      </c>
      <c r="C381" s="10" t="s">
        <v>56</v>
      </c>
      <c r="D381" s="9" t="s">
        <v>40</v>
      </c>
      <c r="E381" s="9" t="s">
        <v>14</v>
      </c>
      <c r="F381" s="10">
        <v>3776</v>
      </c>
      <c r="G381" s="11">
        <v>44908</v>
      </c>
      <c r="H381" s="14">
        <f t="shared" si="10"/>
        <v>2022</v>
      </c>
      <c r="I381" s="12">
        <f>273*61157</f>
        <v>16695861</v>
      </c>
      <c r="J381" s="10">
        <v>2558</v>
      </c>
      <c r="K381" s="11">
        <v>45088</v>
      </c>
      <c r="L381" s="14">
        <f t="shared" si="11"/>
        <v>2023</v>
      </c>
      <c r="M381" s="12">
        <v>13403985</v>
      </c>
    </row>
    <row r="382" spans="1:13" ht="15.75" hidden="1" customHeight="1" x14ac:dyDescent="0.25">
      <c r="A382" s="9" t="s">
        <v>10</v>
      </c>
      <c r="B382" s="9" t="s">
        <v>29</v>
      </c>
      <c r="C382" s="10" t="s">
        <v>56</v>
      </c>
      <c r="D382" s="9" t="s">
        <v>13</v>
      </c>
      <c r="E382" s="9" t="s">
        <v>14</v>
      </c>
      <c r="F382" s="10">
        <v>3777</v>
      </c>
      <c r="G382" s="11">
        <v>44908</v>
      </c>
      <c r="H382" s="14">
        <f t="shared" si="10"/>
        <v>2022</v>
      </c>
      <c r="I382" s="12">
        <f>824.25*61157</f>
        <v>50408657.25</v>
      </c>
      <c r="J382" s="10">
        <v>2556</v>
      </c>
      <c r="K382" s="11">
        <v>45118</v>
      </c>
      <c r="L382" s="14">
        <f t="shared" si="11"/>
        <v>2023</v>
      </c>
      <c r="M382" s="12">
        <v>40494725</v>
      </c>
    </row>
    <row r="383" spans="1:13" ht="15.75" hidden="1" customHeight="1" x14ac:dyDescent="0.25">
      <c r="A383" s="9" t="s">
        <v>59</v>
      </c>
      <c r="B383" s="9" t="s">
        <v>29</v>
      </c>
      <c r="C383" s="10" t="s">
        <v>56</v>
      </c>
      <c r="D383" s="9" t="s">
        <v>13</v>
      </c>
      <c r="E383" s="9" t="s">
        <v>14</v>
      </c>
      <c r="F383" s="10">
        <v>3701</v>
      </c>
      <c r="G383" s="11">
        <v>44904</v>
      </c>
      <c r="H383" s="14">
        <f t="shared" si="10"/>
        <v>2022</v>
      </c>
      <c r="I383" s="12">
        <f>415.45*61157</f>
        <v>25407675.649999999</v>
      </c>
      <c r="J383" s="10">
        <v>2569</v>
      </c>
      <c r="K383" s="11">
        <v>45119</v>
      </c>
      <c r="L383" s="14">
        <f t="shared" si="11"/>
        <v>2023</v>
      </c>
      <c r="M383" s="12">
        <v>20393770</v>
      </c>
    </row>
    <row r="384" spans="1:13" ht="15.75" hidden="1" customHeight="1" x14ac:dyDescent="0.25">
      <c r="A384" s="9" t="s">
        <v>59</v>
      </c>
      <c r="B384" s="9" t="s">
        <v>29</v>
      </c>
      <c r="C384" s="10" t="s">
        <v>56</v>
      </c>
      <c r="D384" s="9" t="s">
        <v>13</v>
      </c>
      <c r="E384" s="9" t="s">
        <v>73</v>
      </c>
      <c r="F384" s="10">
        <v>425</v>
      </c>
      <c r="G384" s="11">
        <v>44964</v>
      </c>
      <c r="H384" s="14">
        <f t="shared" si="10"/>
        <v>2023</v>
      </c>
      <c r="I384" s="12">
        <v>9719000</v>
      </c>
      <c r="J384" s="10">
        <v>1544</v>
      </c>
      <c r="K384" s="11">
        <v>45048</v>
      </c>
      <c r="L384" s="14">
        <f t="shared" si="11"/>
        <v>2023</v>
      </c>
      <c r="M384" s="12">
        <v>9719000</v>
      </c>
    </row>
    <row r="385" spans="1:13" ht="15.75" hidden="1" customHeight="1" x14ac:dyDescent="0.25">
      <c r="A385" s="9" t="s">
        <v>15</v>
      </c>
      <c r="B385" s="9" t="s">
        <v>29</v>
      </c>
      <c r="C385" s="10" t="s">
        <v>56</v>
      </c>
      <c r="D385" s="9" t="s">
        <v>40</v>
      </c>
      <c r="E385" s="9" t="s">
        <v>19</v>
      </c>
      <c r="F385" s="10">
        <v>657</v>
      </c>
      <c r="G385" s="11">
        <v>44978</v>
      </c>
      <c r="H385" s="14">
        <f t="shared" si="10"/>
        <v>2023</v>
      </c>
      <c r="I385" s="12">
        <v>239436</v>
      </c>
      <c r="J385" s="10">
        <v>2067</v>
      </c>
      <c r="K385" s="11">
        <v>45079</v>
      </c>
      <c r="L385" s="14">
        <f t="shared" si="11"/>
        <v>2023</v>
      </c>
      <c r="M385" s="12">
        <v>239436</v>
      </c>
    </row>
    <row r="386" spans="1:13" ht="15.75" hidden="1" customHeight="1" x14ac:dyDescent="0.25">
      <c r="A386" s="9" t="s">
        <v>59</v>
      </c>
      <c r="B386" s="9" t="s">
        <v>29</v>
      </c>
      <c r="C386" s="10" t="s">
        <v>79</v>
      </c>
      <c r="D386" s="9" t="s">
        <v>13</v>
      </c>
      <c r="E386" s="9" t="s">
        <v>19</v>
      </c>
      <c r="F386" s="10">
        <v>656</v>
      </c>
      <c r="G386" s="11">
        <v>44978</v>
      </c>
      <c r="H386" s="14">
        <f t="shared" ref="H386:H439" si="12">YEAR(G386)</f>
        <v>2023</v>
      </c>
      <c r="I386" s="12">
        <v>850756</v>
      </c>
      <c r="J386" s="10">
        <v>2071</v>
      </c>
      <c r="K386" s="11">
        <v>45079</v>
      </c>
      <c r="L386" s="14">
        <f t="shared" ref="L386:L439" si="13">YEAR(K386)</f>
        <v>2023</v>
      </c>
      <c r="M386" s="12">
        <v>850756</v>
      </c>
    </row>
    <row r="387" spans="1:13" ht="15.75" hidden="1" customHeight="1" x14ac:dyDescent="0.25">
      <c r="A387" s="9" t="s">
        <v>15</v>
      </c>
      <c r="B387" s="9" t="s">
        <v>29</v>
      </c>
      <c r="C387" s="10" t="s">
        <v>56</v>
      </c>
      <c r="D387" s="9" t="s">
        <v>13</v>
      </c>
      <c r="E387" s="9" t="s">
        <v>19</v>
      </c>
      <c r="F387" s="10">
        <v>655</v>
      </c>
      <c r="G387" s="11">
        <v>44978</v>
      </c>
      <c r="H387" s="14">
        <f t="shared" si="12"/>
        <v>2023</v>
      </c>
      <c r="I387" s="12">
        <v>3695886</v>
      </c>
      <c r="J387" s="10">
        <v>2068</v>
      </c>
      <c r="K387" s="11">
        <v>45079</v>
      </c>
      <c r="L387" s="14">
        <f t="shared" si="13"/>
        <v>2023</v>
      </c>
      <c r="M387" s="12">
        <v>3695886</v>
      </c>
    </row>
    <row r="388" spans="1:13" ht="15.75" hidden="1" customHeight="1" x14ac:dyDescent="0.25">
      <c r="A388" s="9" t="s">
        <v>15</v>
      </c>
      <c r="B388" s="9" t="s">
        <v>29</v>
      </c>
      <c r="C388" s="10" t="s">
        <v>56</v>
      </c>
      <c r="D388" s="9" t="s">
        <v>40</v>
      </c>
      <c r="E388" s="9" t="s">
        <v>23</v>
      </c>
      <c r="F388" s="10">
        <v>600</v>
      </c>
      <c r="G388" s="11">
        <v>44974</v>
      </c>
      <c r="H388" s="14">
        <f t="shared" si="12"/>
        <v>2023</v>
      </c>
      <c r="I388" s="12">
        <v>11717238</v>
      </c>
      <c r="J388" s="10">
        <v>2333</v>
      </c>
      <c r="K388" s="11">
        <v>45097</v>
      </c>
      <c r="L388" s="14">
        <f t="shared" si="13"/>
        <v>2023</v>
      </c>
      <c r="M388" s="12">
        <v>11717238</v>
      </c>
    </row>
    <row r="389" spans="1:13" ht="15.75" hidden="1" customHeight="1" x14ac:dyDescent="0.25">
      <c r="A389" s="9" t="s">
        <v>15</v>
      </c>
      <c r="B389" s="9" t="s">
        <v>29</v>
      </c>
      <c r="C389" s="10" t="s">
        <v>56</v>
      </c>
      <c r="D389" s="9" t="s">
        <v>13</v>
      </c>
      <c r="E389" s="9" t="s">
        <v>23</v>
      </c>
      <c r="F389" s="10">
        <v>604</v>
      </c>
      <c r="G389" s="11">
        <v>44974</v>
      </c>
      <c r="H389" s="14">
        <f t="shared" si="12"/>
        <v>2023</v>
      </c>
      <c r="I389" s="12">
        <v>93679298</v>
      </c>
      <c r="J389" s="10">
        <v>2331</v>
      </c>
      <c r="K389" s="11">
        <v>45097</v>
      </c>
      <c r="L389" s="14">
        <f t="shared" si="13"/>
        <v>2023</v>
      </c>
      <c r="M389" s="12">
        <v>93679298</v>
      </c>
    </row>
    <row r="390" spans="1:13" ht="15.75" hidden="1" customHeight="1" x14ac:dyDescent="0.25">
      <c r="A390" s="9" t="s">
        <v>59</v>
      </c>
      <c r="B390" s="9" t="s">
        <v>29</v>
      </c>
      <c r="C390" s="10" t="s">
        <v>56</v>
      </c>
      <c r="D390" s="9" t="s">
        <v>13</v>
      </c>
      <c r="E390" s="9" t="s">
        <v>72</v>
      </c>
      <c r="F390" s="10">
        <v>67</v>
      </c>
      <c r="G390" s="11">
        <v>44937</v>
      </c>
      <c r="H390" s="14">
        <f t="shared" si="12"/>
        <v>2023</v>
      </c>
      <c r="I390" s="12">
        <v>2969500</v>
      </c>
      <c r="J390" s="10">
        <v>1689</v>
      </c>
      <c r="K390" s="11">
        <v>45062</v>
      </c>
      <c r="L390" s="14">
        <f t="shared" si="13"/>
        <v>2023</v>
      </c>
      <c r="M390" s="12">
        <v>2969500</v>
      </c>
    </row>
    <row r="391" spans="1:13" ht="15.75" hidden="1" customHeight="1" x14ac:dyDescent="0.25">
      <c r="A391" s="9" t="s">
        <v>10</v>
      </c>
      <c r="B391" s="9" t="s">
        <v>29</v>
      </c>
      <c r="C391" s="10" t="s">
        <v>56</v>
      </c>
      <c r="D391" s="9" t="s">
        <v>40</v>
      </c>
      <c r="E391" s="9" t="s">
        <v>72</v>
      </c>
      <c r="F391" s="10">
        <v>418</v>
      </c>
      <c r="G391" s="11">
        <v>44964</v>
      </c>
      <c r="H391" s="14">
        <f t="shared" si="12"/>
        <v>2023</v>
      </c>
      <c r="I391" s="12">
        <v>273026</v>
      </c>
      <c r="J391" s="10">
        <v>1651</v>
      </c>
      <c r="K391" s="11">
        <v>45057</v>
      </c>
      <c r="L391" s="14">
        <f t="shared" si="13"/>
        <v>2023</v>
      </c>
      <c r="M391" s="12">
        <v>273026</v>
      </c>
    </row>
    <row r="392" spans="1:13" ht="15.75" hidden="1" customHeight="1" x14ac:dyDescent="0.25">
      <c r="A392" s="9" t="s">
        <v>10</v>
      </c>
      <c r="B392" s="9" t="s">
        <v>29</v>
      </c>
      <c r="C392" s="10" t="s">
        <v>56</v>
      </c>
      <c r="D392" s="9" t="s">
        <v>40</v>
      </c>
      <c r="E392" s="9" t="s">
        <v>72</v>
      </c>
      <c r="F392" s="10">
        <v>419</v>
      </c>
      <c r="G392" s="11">
        <v>44964</v>
      </c>
      <c r="H392" s="14">
        <f t="shared" si="12"/>
        <v>2023</v>
      </c>
      <c r="I392" s="12">
        <v>2754663</v>
      </c>
      <c r="J392" s="10">
        <v>1652</v>
      </c>
      <c r="K392" s="11">
        <v>45057</v>
      </c>
      <c r="L392" s="14">
        <f t="shared" si="13"/>
        <v>2023</v>
      </c>
      <c r="M392" s="12">
        <v>2754663</v>
      </c>
    </row>
    <row r="393" spans="1:13" ht="15.75" hidden="1" customHeight="1" x14ac:dyDescent="0.25">
      <c r="A393" s="9" t="s">
        <v>10</v>
      </c>
      <c r="B393" s="9" t="s">
        <v>29</v>
      </c>
      <c r="C393" s="10" t="s">
        <v>56</v>
      </c>
      <c r="D393" s="9" t="s">
        <v>40</v>
      </c>
      <c r="E393" s="9" t="s">
        <v>72</v>
      </c>
      <c r="F393" s="10">
        <v>420</v>
      </c>
      <c r="G393" s="11">
        <v>44964</v>
      </c>
      <c r="H393" s="14">
        <f t="shared" si="12"/>
        <v>2023</v>
      </c>
      <c r="I393" s="12">
        <v>137558</v>
      </c>
      <c r="J393" s="10">
        <v>2057</v>
      </c>
      <c r="K393" s="11">
        <v>45079</v>
      </c>
      <c r="L393" s="14">
        <f t="shared" si="13"/>
        <v>2023</v>
      </c>
      <c r="M393" s="12">
        <v>137558</v>
      </c>
    </row>
    <row r="394" spans="1:13" ht="15.75" hidden="1" customHeight="1" x14ac:dyDescent="0.25">
      <c r="A394" s="9" t="s">
        <v>10</v>
      </c>
      <c r="B394" s="9" t="s">
        <v>29</v>
      </c>
      <c r="C394" s="10" t="s">
        <v>56</v>
      </c>
      <c r="D394" s="9" t="s">
        <v>13</v>
      </c>
      <c r="E394" s="9" t="s">
        <v>72</v>
      </c>
      <c r="F394" s="10">
        <v>421</v>
      </c>
      <c r="G394" s="11">
        <v>44964</v>
      </c>
      <c r="H394" s="14">
        <f t="shared" si="12"/>
        <v>2023</v>
      </c>
      <c r="I394" s="12">
        <v>17403</v>
      </c>
      <c r="J394" s="10">
        <v>1650</v>
      </c>
      <c r="K394" s="11">
        <v>45057</v>
      </c>
      <c r="L394" s="14">
        <f t="shared" si="13"/>
        <v>2023</v>
      </c>
      <c r="M394" s="12">
        <v>17403</v>
      </c>
    </row>
    <row r="395" spans="1:13" ht="15.75" hidden="1" customHeight="1" x14ac:dyDescent="0.25">
      <c r="A395" s="9" t="s">
        <v>10</v>
      </c>
      <c r="B395" s="9" t="s">
        <v>29</v>
      </c>
      <c r="C395" s="10" t="s">
        <v>56</v>
      </c>
      <c r="D395" s="9" t="s">
        <v>13</v>
      </c>
      <c r="E395" s="9" t="s">
        <v>72</v>
      </c>
      <c r="F395" s="10">
        <v>422</v>
      </c>
      <c r="G395" s="11">
        <v>44964</v>
      </c>
      <c r="H395" s="14">
        <f t="shared" si="12"/>
        <v>2023</v>
      </c>
      <c r="I395" s="12">
        <v>697811</v>
      </c>
      <c r="J395" s="10">
        <v>1648</v>
      </c>
      <c r="K395" s="11">
        <v>45057</v>
      </c>
      <c r="L395" s="14">
        <f t="shared" si="13"/>
        <v>2023</v>
      </c>
      <c r="M395" s="12">
        <v>697811</v>
      </c>
    </row>
    <row r="396" spans="1:13" ht="15.75" hidden="1" customHeight="1" x14ac:dyDescent="0.25">
      <c r="A396" s="9" t="s">
        <v>10</v>
      </c>
      <c r="B396" s="9" t="s">
        <v>29</v>
      </c>
      <c r="C396" s="10" t="s">
        <v>56</v>
      </c>
      <c r="D396" s="9" t="s">
        <v>13</v>
      </c>
      <c r="E396" s="9" t="s">
        <v>72</v>
      </c>
      <c r="F396" s="10">
        <v>423</v>
      </c>
      <c r="G396" s="11">
        <v>44964</v>
      </c>
      <c r="H396" s="14">
        <f t="shared" si="12"/>
        <v>2023</v>
      </c>
      <c r="I396" s="12">
        <v>47249844</v>
      </c>
      <c r="J396" s="10">
        <v>1649</v>
      </c>
      <c r="K396" s="11">
        <v>45057</v>
      </c>
      <c r="L396" s="14">
        <f t="shared" si="13"/>
        <v>2023</v>
      </c>
      <c r="M396" s="12">
        <v>47249844</v>
      </c>
    </row>
    <row r="397" spans="1:13" ht="15.75" hidden="1" customHeight="1" x14ac:dyDescent="0.25">
      <c r="A397" s="9" t="s">
        <v>15</v>
      </c>
      <c r="B397" s="9" t="s">
        <v>29</v>
      </c>
      <c r="C397" s="10" t="s">
        <v>56</v>
      </c>
      <c r="D397" s="9" t="s">
        <v>13</v>
      </c>
      <c r="E397" s="9" t="s">
        <v>72</v>
      </c>
      <c r="F397" s="10">
        <v>628</v>
      </c>
      <c r="G397" s="11">
        <v>44978</v>
      </c>
      <c r="H397" s="14">
        <f t="shared" si="12"/>
        <v>2023</v>
      </c>
      <c r="I397" s="12">
        <v>35355925</v>
      </c>
      <c r="J397" s="10">
        <v>2043</v>
      </c>
      <c r="K397" s="11">
        <v>45077</v>
      </c>
      <c r="L397" s="14">
        <f t="shared" si="13"/>
        <v>2023</v>
      </c>
      <c r="M397" s="12">
        <v>35355925</v>
      </c>
    </row>
    <row r="398" spans="1:13" ht="15.75" hidden="1" customHeight="1" x14ac:dyDescent="0.25">
      <c r="A398" s="9" t="s">
        <v>15</v>
      </c>
      <c r="B398" s="9" t="s">
        <v>29</v>
      </c>
      <c r="C398" s="10" t="s">
        <v>56</v>
      </c>
      <c r="D398" s="9" t="s">
        <v>40</v>
      </c>
      <c r="E398" s="9" t="s">
        <v>72</v>
      </c>
      <c r="F398" s="10">
        <v>629</v>
      </c>
      <c r="G398" s="11">
        <v>44978</v>
      </c>
      <c r="H398" s="14">
        <f t="shared" si="12"/>
        <v>2023</v>
      </c>
      <c r="I398" s="12">
        <v>7889269</v>
      </c>
      <c r="J398" s="10">
        <v>2041</v>
      </c>
      <c r="K398" s="11">
        <v>45077</v>
      </c>
      <c r="L398" s="14">
        <f t="shared" si="13"/>
        <v>2023</v>
      </c>
      <c r="M398" s="12">
        <v>7889269</v>
      </c>
    </row>
    <row r="399" spans="1:13" ht="15.75" hidden="1" customHeight="1" x14ac:dyDescent="0.25">
      <c r="A399" s="9" t="s">
        <v>15</v>
      </c>
      <c r="B399" s="9" t="s">
        <v>29</v>
      </c>
      <c r="C399" s="10" t="s">
        <v>56</v>
      </c>
      <c r="D399" s="9" t="s">
        <v>13</v>
      </c>
      <c r="E399" s="9" t="s">
        <v>72</v>
      </c>
      <c r="F399" s="10">
        <v>630</v>
      </c>
      <c r="G399" s="11">
        <v>44978</v>
      </c>
      <c r="H399" s="14">
        <f t="shared" si="12"/>
        <v>2023</v>
      </c>
      <c r="I399" s="12">
        <v>316611399</v>
      </c>
      <c r="J399" s="10">
        <v>2069</v>
      </c>
      <c r="K399" s="11">
        <v>45079</v>
      </c>
      <c r="L399" s="14">
        <f t="shared" si="13"/>
        <v>2023</v>
      </c>
      <c r="M399" s="12">
        <v>244579575</v>
      </c>
    </row>
    <row r="400" spans="1:13" ht="15.75" hidden="1" customHeight="1" x14ac:dyDescent="0.25">
      <c r="A400" s="9" t="s">
        <v>59</v>
      </c>
      <c r="B400" s="9" t="s">
        <v>29</v>
      </c>
      <c r="C400" s="10" t="s">
        <v>56</v>
      </c>
      <c r="D400" s="9" t="s">
        <v>40</v>
      </c>
      <c r="E400" s="9" t="s">
        <v>72</v>
      </c>
      <c r="F400" s="10">
        <v>62</v>
      </c>
      <c r="G400" s="11">
        <v>44937</v>
      </c>
      <c r="H400" s="14">
        <f t="shared" si="12"/>
        <v>2023</v>
      </c>
      <c r="I400" s="12">
        <v>180576</v>
      </c>
      <c r="J400" s="10">
        <v>1970</v>
      </c>
      <c r="K400" s="11">
        <v>45077</v>
      </c>
      <c r="L400" s="14">
        <f t="shared" si="13"/>
        <v>2023</v>
      </c>
      <c r="M400" s="12">
        <v>180576</v>
      </c>
    </row>
    <row r="401" spans="1:13" ht="15.75" hidden="1" customHeight="1" x14ac:dyDescent="0.25">
      <c r="A401" s="9" t="s">
        <v>59</v>
      </c>
      <c r="B401" s="9" t="s">
        <v>29</v>
      </c>
      <c r="C401" s="10" t="s">
        <v>56</v>
      </c>
      <c r="D401" s="9" t="s">
        <v>40</v>
      </c>
      <c r="E401" s="9" t="s">
        <v>69</v>
      </c>
      <c r="F401" s="10">
        <v>2992</v>
      </c>
      <c r="G401" s="11">
        <v>45161</v>
      </c>
      <c r="H401" s="14">
        <f t="shared" si="12"/>
        <v>2023</v>
      </c>
      <c r="I401" s="12">
        <f>3.4*48305</f>
        <v>164237</v>
      </c>
      <c r="J401" s="10">
        <v>5934</v>
      </c>
      <c r="K401" s="11">
        <v>45239</v>
      </c>
      <c r="L401" s="14">
        <f t="shared" si="13"/>
        <v>2023</v>
      </c>
      <c r="M401" s="12">
        <v>164237</v>
      </c>
    </row>
    <row r="402" spans="1:13" ht="15.75" hidden="1" customHeight="1" x14ac:dyDescent="0.25">
      <c r="A402" s="9" t="s">
        <v>15</v>
      </c>
      <c r="B402" s="9" t="s">
        <v>29</v>
      </c>
      <c r="C402" s="10" t="s">
        <v>56</v>
      </c>
      <c r="D402" s="9" t="s">
        <v>40</v>
      </c>
      <c r="E402" s="9" t="s">
        <v>69</v>
      </c>
      <c r="F402" s="10">
        <v>2703</v>
      </c>
      <c r="G402" s="11">
        <v>45138</v>
      </c>
      <c r="H402" s="14">
        <f t="shared" si="12"/>
        <v>2023</v>
      </c>
      <c r="I402" s="12">
        <f>11*48353</f>
        <v>531883</v>
      </c>
      <c r="J402" s="10">
        <v>5928</v>
      </c>
      <c r="K402" s="11">
        <v>45239</v>
      </c>
      <c r="L402" s="14">
        <f t="shared" si="13"/>
        <v>2023</v>
      </c>
      <c r="M402" s="12">
        <v>531355</v>
      </c>
    </row>
    <row r="403" spans="1:13" ht="15.75" hidden="1" customHeight="1" x14ac:dyDescent="0.25">
      <c r="A403" s="9" t="s">
        <v>57</v>
      </c>
      <c r="B403" s="9" t="s">
        <v>29</v>
      </c>
      <c r="C403" s="10" t="s">
        <v>82</v>
      </c>
      <c r="D403" s="9" t="s">
        <v>83</v>
      </c>
      <c r="E403" s="9" t="s">
        <v>84</v>
      </c>
      <c r="F403" s="10">
        <v>5559</v>
      </c>
      <c r="G403" s="11">
        <v>45210</v>
      </c>
      <c r="H403" s="14">
        <f t="shared" si="12"/>
        <v>2023</v>
      </c>
      <c r="I403" s="12">
        <v>54199620</v>
      </c>
      <c r="J403" s="10">
        <v>6587</v>
      </c>
      <c r="K403" s="11">
        <v>45281</v>
      </c>
      <c r="L403" s="14">
        <f t="shared" si="13"/>
        <v>2023</v>
      </c>
      <c r="M403" s="12">
        <v>54199620</v>
      </c>
    </row>
    <row r="404" spans="1:13" ht="15.75" hidden="1" customHeight="1" x14ac:dyDescent="0.25">
      <c r="A404" s="9" t="s">
        <v>10</v>
      </c>
      <c r="B404" s="9" t="s">
        <v>29</v>
      </c>
      <c r="C404" s="10" t="s">
        <v>94</v>
      </c>
      <c r="D404" s="9" t="s">
        <v>25</v>
      </c>
      <c r="E404" s="9" t="s">
        <v>14</v>
      </c>
      <c r="F404" s="10">
        <v>6010</v>
      </c>
      <c r="G404" s="11">
        <v>45244</v>
      </c>
      <c r="H404" s="14">
        <f t="shared" si="12"/>
        <v>2023</v>
      </c>
      <c r="I404" s="12">
        <v>5699579</v>
      </c>
      <c r="J404" s="10">
        <v>6513</v>
      </c>
      <c r="K404" s="11">
        <v>45278</v>
      </c>
      <c r="L404" s="14">
        <f t="shared" si="13"/>
        <v>2023</v>
      </c>
      <c r="M404" s="12">
        <v>5699579</v>
      </c>
    </row>
    <row r="405" spans="1:13" ht="15.75" hidden="1" customHeight="1" x14ac:dyDescent="0.25">
      <c r="A405" s="9" t="s">
        <v>10</v>
      </c>
      <c r="B405" s="9" t="s">
        <v>80</v>
      </c>
      <c r="C405" s="10" t="s">
        <v>79</v>
      </c>
      <c r="D405" s="9" t="s">
        <v>25</v>
      </c>
      <c r="E405" s="9" t="s">
        <v>14</v>
      </c>
      <c r="F405" s="10">
        <v>3780</v>
      </c>
      <c r="G405" s="11">
        <v>44908</v>
      </c>
      <c r="H405" s="14">
        <f t="shared" si="12"/>
        <v>2022</v>
      </c>
      <c r="I405" s="12">
        <f>116.2*61157</f>
        <v>7106443.4000000004</v>
      </c>
      <c r="J405" s="10">
        <v>175</v>
      </c>
      <c r="K405" s="11">
        <v>44949</v>
      </c>
      <c r="L405" s="14">
        <f t="shared" si="13"/>
        <v>2023</v>
      </c>
      <c r="M405" s="12">
        <v>5759929</v>
      </c>
    </row>
    <row r="406" spans="1:13" ht="15.75" hidden="1" customHeight="1" x14ac:dyDescent="0.25">
      <c r="A406" s="9" t="s">
        <v>10</v>
      </c>
      <c r="B406" s="9" t="s">
        <v>80</v>
      </c>
      <c r="C406" s="10" t="s">
        <v>79</v>
      </c>
      <c r="D406" s="9" t="s">
        <v>40</v>
      </c>
      <c r="E406" s="9" t="s">
        <v>14</v>
      </c>
      <c r="F406" s="10">
        <v>3779</v>
      </c>
      <c r="G406" s="11">
        <v>44908</v>
      </c>
      <c r="H406" s="14">
        <f t="shared" si="12"/>
        <v>2022</v>
      </c>
      <c r="I406" s="12">
        <f>64.05*61157</f>
        <v>3917105.8499999996</v>
      </c>
      <c r="J406" s="10">
        <v>176</v>
      </c>
      <c r="K406" s="11">
        <v>44949</v>
      </c>
      <c r="L406" s="14">
        <f t="shared" si="13"/>
        <v>2023</v>
      </c>
      <c r="M406" s="12">
        <v>3145646</v>
      </c>
    </row>
    <row r="407" spans="1:13" ht="15.75" hidden="1" customHeight="1" x14ac:dyDescent="0.25">
      <c r="A407" s="9" t="s">
        <v>59</v>
      </c>
      <c r="B407" s="9" t="s">
        <v>80</v>
      </c>
      <c r="C407" s="10" t="s">
        <v>79</v>
      </c>
      <c r="D407" s="9" t="s">
        <v>25</v>
      </c>
      <c r="E407" s="9" t="s">
        <v>14</v>
      </c>
      <c r="F407" s="10">
        <v>3713</v>
      </c>
      <c r="G407" s="11">
        <v>44904</v>
      </c>
      <c r="H407" s="14">
        <f t="shared" si="12"/>
        <v>2022</v>
      </c>
      <c r="I407" s="12">
        <f>42*61157</f>
        <v>2568594</v>
      </c>
      <c r="J407" s="10">
        <v>177</v>
      </c>
      <c r="K407" s="11">
        <v>44949</v>
      </c>
      <c r="L407" s="14">
        <f t="shared" si="13"/>
        <v>2023</v>
      </c>
      <c r="M407" s="12">
        <v>2047122</v>
      </c>
    </row>
    <row r="408" spans="1:13" ht="15.75" hidden="1" customHeight="1" x14ac:dyDescent="0.25">
      <c r="A408" s="9" t="s">
        <v>59</v>
      </c>
      <c r="B408" s="9" t="s">
        <v>80</v>
      </c>
      <c r="C408" s="10" t="s">
        <v>79</v>
      </c>
      <c r="D408" s="9" t="s">
        <v>40</v>
      </c>
      <c r="E408" s="9" t="s">
        <v>14</v>
      </c>
      <c r="F408" s="10">
        <v>3714</v>
      </c>
      <c r="G408" s="11">
        <v>44904</v>
      </c>
      <c r="H408" s="14">
        <f t="shared" si="12"/>
        <v>2022</v>
      </c>
      <c r="I408" s="12">
        <f>199.85*61157</f>
        <v>12222226.449999999</v>
      </c>
      <c r="J408" s="10">
        <v>178</v>
      </c>
      <c r="K408" s="11">
        <v>44949</v>
      </c>
      <c r="L408" s="14">
        <f t="shared" si="13"/>
        <v>2023</v>
      </c>
      <c r="M408" s="12">
        <v>10312089</v>
      </c>
    </row>
    <row r="409" spans="1:13" ht="15.75" hidden="1" customHeight="1" x14ac:dyDescent="0.25">
      <c r="A409" s="9" t="s">
        <v>15</v>
      </c>
      <c r="B409" s="9" t="s">
        <v>80</v>
      </c>
      <c r="C409" s="10" t="s">
        <v>79</v>
      </c>
      <c r="D409" s="9" t="s">
        <v>25</v>
      </c>
      <c r="E409" s="9" t="s">
        <v>19</v>
      </c>
      <c r="F409" s="10">
        <v>662</v>
      </c>
      <c r="G409" s="11">
        <v>44978</v>
      </c>
      <c r="H409" s="14">
        <f t="shared" si="12"/>
        <v>2023</v>
      </c>
      <c r="I409" s="12">
        <v>2492029</v>
      </c>
      <c r="J409" s="10">
        <v>1965</v>
      </c>
      <c r="K409" s="11">
        <v>45077</v>
      </c>
      <c r="L409" s="14">
        <f t="shared" si="13"/>
        <v>2023</v>
      </c>
      <c r="M409" s="12">
        <v>2492029</v>
      </c>
    </row>
    <row r="410" spans="1:13" ht="15.75" hidden="1" customHeight="1" x14ac:dyDescent="0.25">
      <c r="A410" s="9" t="s">
        <v>15</v>
      </c>
      <c r="B410" s="9" t="s">
        <v>80</v>
      </c>
      <c r="C410" s="10" t="s">
        <v>79</v>
      </c>
      <c r="D410" s="9" t="s">
        <v>40</v>
      </c>
      <c r="E410" s="9" t="s">
        <v>23</v>
      </c>
      <c r="F410" s="10">
        <v>663</v>
      </c>
      <c r="G410" s="11">
        <v>44978</v>
      </c>
      <c r="H410" s="14">
        <f t="shared" si="12"/>
        <v>2023</v>
      </c>
      <c r="I410" s="12">
        <v>1272161</v>
      </c>
      <c r="J410" s="10">
        <v>2325</v>
      </c>
      <c r="K410" s="11">
        <v>45097</v>
      </c>
      <c r="L410" s="14">
        <f t="shared" si="13"/>
        <v>2023</v>
      </c>
      <c r="M410" s="12">
        <v>1272161</v>
      </c>
    </row>
    <row r="411" spans="1:13" ht="15.75" hidden="1" customHeight="1" x14ac:dyDescent="0.25">
      <c r="A411" s="9" t="s">
        <v>15</v>
      </c>
      <c r="B411" s="9" t="s">
        <v>80</v>
      </c>
      <c r="C411" s="10" t="s">
        <v>79</v>
      </c>
      <c r="D411" s="9" t="s">
        <v>25</v>
      </c>
      <c r="E411" s="9" t="s">
        <v>23</v>
      </c>
      <c r="F411" s="10">
        <v>664</v>
      </c>
      <c r="G411" s="11">
        <v>44978</v>
      </c>
      <c r="H411" s="14">
        <f t="shared" si="12"/>
        <v>2023</v>
      </c>
      <c r="I411" s="12">
        <v>10930615</v>
      </c>
      <c r="J411" s="10">
        <v>2324</v>
      </c>
      <c r="K411" s="11">
        <v>45097</v>
      </c>
      <c r="L411" s="14">
        <f t="shared" si="13"/>
        <v>2023</v>
      </c>
      <c r="M411" s="12">
        <v>10930615</v>
      </c>
    </row>
    <row r="412" spans="1:13" ht="15.75" hidden="1" customHeight="1" x14ac:dyDescent="0.25">
      <c r="A412" s="9" t="s">
        <v>15</v>
      </c>
      <c r="B412" s="9" t="s">
        <v>80</v>
      </c>
      <c r="C412" s="10" t="s">
        <v>79</v>
      </c>
      <c r="D412" s="9" t="s">
        <v>40</v>
      </c>
      <c r="E412" s="9" t="s">
        <v>23</v>
      </c>
      <c r="F412" s="10">
        <v>596</v>
      </c>
      <c r="G412" s="11">
        <v>44974</v>
      </c>
      <c r="H412" s="14">
        <f t="shared" si="12"/>
        <v>2023</v>
      </c>
      <c r="I412" s="12">
        <v>1379238</v>
      </c>
      <c r="J412" s="10">
        <v>2337</v>
      </c>
      <c r="K412" s="11">
        <v>45127</v>
      </c>
      <c r="L412" s="14">
        <f t="shared" si="13"/>
        <v>2023</v>
      </c>
      <c r="M412" s="12">
        <v>1379238</v>
      </c>
    </row>
    <row r="413" spans="1:13" ht="15.75" hidden="1" customHeight="1" x14ac:dyDescent="0.25">
      <c r="A413" s="9" t="s">
        <v>59</v>
      </c>
      <c r="B413" s="9" t="s">
        <v>80</v>
      </c>
      <c r="C413" s="10" t="s">
        <v>79</v>
      </c>
      <c r="D413" s="9" t="s">
        <v>40</v>
      </c>
      <c r="E413" s="9" t="s">
        <v>72</v>
      </c>
      <c r="F413" s="10">
        <v>52</v>
      </c>
      <c r="G413" s="11">
        <v>44937</v>
      </c>
      <c r="H413" s="14">
        <f t="shared" si="12"/>
        <v>2023</v>
      </c>
      <c r="I413" s="12">
        <v>180342</v>
      </c>
      <c r="J413" s="10">
        <v>1690</v>
      </c>
      <c r="K413" s="11">
        <v>45062</v>
      </c>
      <c r="L413" s="14">
        <f t="shared" si="13"/>
        <v>2023</v>
      </c>
      <c r="M413" s="12">
        <v>180342</v>
      </c>
    </row>
    <row r="414" spans="1:13" ht="15.75" hidden="1" customHeight="1" x14ac:dyDescent="0.25">
      <c r="A414" s="9" t="s">
        <v>10</v>
      </c>
      <c r="B414" s="9" t="s">
        <v>80</v>
      </c>
      <c r="C414" s="10" t="s">
        <v>79</v>
      </c>
      <c r="D414" s="9" t="s">
        <v>25</v>
      </c>
      <c r="E414" s="9" t="s">
        <v>72</v>
      </c>
      <c r="F414" s="10">
        <v>354</v>
      </c>
      <c r="G414" s="11">
        <v>44959</v>
      </c>
      <c r="H414" s="14">
        <f t="shared" si="12"/>
        <v>2023</v>
      </c>
      <c r="I414" s="12">
        <v>252669</v>
      </c>
      <c r="J414" s="10">
        <v>1350</v>
      </c>
      <c r="K414" s="11">
        <v>45036</v>
      </c>
      <c r="L414" s="14">
        <f t="shared" si="13"/>
        <v>2023</v>
      </c>
      <c r="M414" s="12">
        <v>252669</v>
      </c>
    </row>
    <row r="415" spans="1:13" ht="15.75" hidden="1" customHeight="1" x14ac:dyDescent="0.25">
      <c r="A415" s="9" t="s">
        <v>15</v>
      </c>
      <c r="B415" s="9" t="s">
        <v>80</v>
      </c>
      <c r="C415" s="10" t="s">
        <v>79</v>
      </c>
      <c r="D415" s="9" t="s">
        <v>25</v>
      </c>
      <c r="E415" s="9" t="s">
        <v>72</v>
      </c>
      <c r="F415" s="10">
        <v>643</v>
      </c>
      <c r="G415" s="11">
        <v>44978</v>
      </c>
      <c r="H415" s="14">
        <f t="shared" si="12"/>
        <v>2023</v>
      </c>
      <c r="I415" s="12">
        <v>121733</v>
      </c>
      <c r="J415" s="10">
        <v>1332</v>
      </c>
      <c r="K415" s="11">
        <v>45036</v>
      </c>
      <c r="L415" s="14">
        <f t="shared" si="13"/>
        <v>2023</v>
      </c>
      <c r="M415" s="12">
        <v>121733</v>
      </c>
    </row>
    <row r="416" spans="1:13" ht="15.75" hidden="1" customHeight="1" x14ac:dyDescent="0.25">
      <c r="A416" s="9" t="s">
        <v>15</v>
      </c>
      <c r="B416" s="9" t="s">
        <v>50</v>
      </c>
      <c r="C416" s="10" t="s">
        <v>82</v>
      </c>
      <c r="D416" s="9" t="s">
        <v>83</v>
      </c>
      <c r="E416" s="9" t="s">
        <v>84</v>
      </c>
      <c r="F416" s="10">
        <v>2139</v>
      </c>
      <c r="G416" s="11">
        <v>44407</v>
      </c>
      <c r="H416" s="14">
        <f t="shared" si="12"/>
        <v>2021</v>
      </c>
      <c r="I416" s="12">
        <v>13413920</v>
      </c>
      <c r="J416" s="10">
        <v>5500</v>
      </c>
      <c r="K416" s="11">
        <v>45205</v>
      </c>
      <c r="L416" s="14">
        <f t="shared" si="13"/>
        <v>2023</v>
      </c>
      <c r="M416" s="12">
        <v>0</v>
      </c>
    </row>
    <row r="417" spans="1:13" ht="15.75" hidden="1" customHeight="1" x14ac:dyDescent="0.25">
      <c r="A417" s="9" t="s">
        <v>57</v>
      </c>
      <c r="B417" s="9" t="s">
        <v>50</v>
      </c>
      <c r="C417" s="10" t="s">
        <v>82</v>
      </c>
      <c r="D417" s="9" t="s">
        <v>83</v>
      </c>
      <c r="E417" s="9" t="s">
        <v>84</v>
      </c>
      <c r="F417" s="10">
        <v>3612</v>
      </c>
      <c r="G417" s="11">
        <v>44561</v>
      </c>
      <c r="H417" s="14">
        <f t="shared" si="12"/>
        <v>2021</v>
      </c>
      <c r="I417" s="12">
        <v>19760000</v>
      </c>
      <c r="J417" s="10">
        <v>2874</v>
      </c>
      <c r="K417" s="11">
        <v>45155</v>
      </c>
      <c r="L417" s="14">
        <f t="shared" si="13"/>
        <v>2023</v>
      </c>
      <c r="M417" s="12">
        <v>5216160</v>
      </c>
    </row>
    <row r="418" spans="1:13" ht="15.75" hidden="1" customHeight="1" x14ac:dyDescent="0.25">
      <c r="A418" s="9" t="s">
        <v>15</v>
      </c>
      <c r="B418" s="9" t="s">
        <v>50</v>
      </c>
      <c r="C418" s="10" t="s">
        <v>82</v>
      </c>
      <c r="D418" s="9" t="s">
        <v>83</v>
      </c>
      <c r="E418" s="9" t="s">
        <v>91</v>
      </c>
      <c r="F418" s="10">
        <v>1075</v>
      </c>
      <c r="G418" s="11">
        <v>44658</v>
      </c>
      <c r="H418" s="14">
        <f t="shared" si="12"/>
        <v>2022</v>
      </c>
      <c r="I418" s="12">
        <v>5288336.3286199998</v>
      </c>
      <c r="J418" s="10">
        <v>511</v>
      </c>
      <c r="K418" s="11">
        <v>44964</v>
      </c>
      <c r="L418" s="14">
        <f t="shared" si="13"/>
        <v>2023</v>
      </c>
      <c r="M418" s="12">
        <v>5288336</v>
      </c>
    </row>
    <row r="419" spans="1:13" ht="15.75" hidden="1" customHeight="1" x14ac:dyDescent="0.25">
      <c r="A419" s="9" t="s">
        <v>15</v>
      </c>
      <c r="B419" s="9" t="s">
        <v>50</v>
      </c>
      <c r="C419" s="10" t="s">
        <v>94</v>
      </c>
      <c r="D419" s="9" t="s">
        <v>83</v>
      </c>
      <c r="E419" s="9" t="s">
        <v>91</v>
      </c>
      <c r="F419" s="10">
        <v>956</v>
      </c>
      <c r="G419" s="11">
        <v>44645</v>
      </c>
      <c r="H419" s="14">
        <f t="shared" si="12"/>
        <v>2022</v>
      </c>
      <c r="I419" s="12">
        <v>2074306.95</v>
      </c>
      <c r="J419" s="10">
        <v>512</v>
      </c>
      <c r="K419" s="11">
        <v>44964</v>
      </c>
      <c r="L419" s="14">
        <f t="shared" si="13"/>
        <v>2023</v>
      </c>
      <c r="M419" s="12">
        <v>2047307</v>
      </c>
    </row>
    <row r="420" spans="1:13" ht="15.75" hidden="1" customHeight="1" x14ac:dyDescent="0.25">
      <c r="A420" s="9" t="s">
        <v>15</v>
      </c>
      <c r="B420" s="9" t="s">
        <v>50</v>
      </c>
      <c r="C420" s="10" t="s">
        <v>94</v>
      </c>
      <c r="D420" s="9" t="s">
        <v>83</v>
      </c>
      <c r="E420" s="9" t="s">
        <v>91</v>
      </c>
      <c r="F420" s="10">
        <v>1007</v>
      </c>
      <c r="G420" s="11">
        <v>44651</v>
      </c>
      <c r="H420" s="14">
        <f t="shared" si="12"/>
        <v>2022</v>
      </c>
      <c r="I420" s="12">
        <v>155503.6</v>
      </c>
      <c r="J420" s="10">
        <v>513</v>
      </c>
      <c r="K420" s="11">
        <v>44964</v>
      </c>
      <c r="L420" s="14">
        <f t="shared" si="13"/>
        <v>2023</v>
      </c>
      <c r="M420" s="12">
        <v>155504</v>
      </c>
    </row>
    <row r="421" spans="1:13" ht="15.75" hidden="1" customHeight="1" x14ac:dyDescent="0.25">
      <c r="A421" s="9" t="s">
        <v>15</v>
      </c>
      <c r="B421" s="9" t="s">
        <v>50</v>
      </c>
      <c r="C421" s="10" t="s">
        <v>94</v>
      </c>
      <c r="D421" s="9" t="s">
        <v>83</v>
      </c>
      <c r="E421" s="9" t="s">
        <v>91</v>
      </c>
      <c r="F421" s="10">
        <v>1182</v>
      </c>
      <c r="G421" s="11">
        <v>44665</v>
      </c>
      <c r="H421" s="14">
        <f t="shared" si="12"/>
        <v>2022</v>
      </c>
      <c r="I421" s="12">
        <v>3856288</v>
      </c>
      <c r="J421" s="10">
        <v>509</v>
      </c>
      <c r="K421" s="11">
        <v>44964</v>
      </c>
      <c r="L421" s="14">
        <f t="shared" si="13"/>
        <v>2023</v>
      </c>
      <c r="M421" s="12">
        <v>3856288</v>
      </c>
    </row>
    <row r="422" spans="1:13" ht="15.75" hidden="1" customHeight="1" x14ac:dyDescent="0.25">
      <c r="A422" s="9" t="s">
        <v>15</v>
      </c>
      <c r="B422" s="9" t="s">
        <v>50</v>
      </c>
      <c r="C422" s="10" t="s">
        <v>94</v>
      </c>
      <c r="D422" s="9" t="s">
        <v>13</v>
      </c>
      <c r="E422" s="9" t="s">
        <v>91</v>
      </c>
      <c r="F422" s="10">
        <v>1261</v>
      </c>
      <c r="G422" s="11">
        <v>44677</v>
      </c>
      <c r="H422" s="14">
        <f t="shared" si="12"/>
        <v>2022</v>
      </c>
      <c r="I422" s="12">
        <v>169991</v>
      </c>
      <c r="J422" s="10">
        <v>510</v>
      </c>
      <c r="K422" s="11">
        <v>44964</v>
      </c>
      <c r="L422" s="14">
        <f t="shared" si="13"/>
        <v>2023</v>
      </c>
      <c r="M422" s="12">
        <v>169991</v>
      </c>
    </row>
    <row r="423" spans="1:13" ht="15.75" hidden="1" customHeight="1" x14ac:dyDescent="0.25">
      <c r="A423" s="9" t="s">
        <v>15</v>
      </c>
      <c r="B423" s="9" t="s">
        <v>50</v>
      </c>
      <c r="C423" s="10" t="s">
        <v>94</v>
      </c>
      <c r="D423" s="9" t="s">
        <v>13</v>
      </c>
      <c r="E423" s="9" t="s">
        <v>91</v>
      </c>
      <c r="F423" s="10">
        <v>5263</v>
      </c>
      <c r="G423" s="11">
        <v>45190</v>
      </c>
      <c r="H423" s="14">
        <f t="shared" si="12"/>
        <v>2023</v>
      </c>
      <c r="I423" s="12">
        <v>1760540</v>
      </c>
      <c r="J423" s="10">
        <v>6159</v>
      </c>
      <c r="K423" s="11">
        <v>45254</v>
      </c>
      <c r="L423" s="14">
        <f t="shared" si="13"/>
        <v>2023</v>
      </c>
      <c r="M423" s="12">
        <v>1760540</v>
      </c>
    </row>
    <row r="424" spans="1:13" ht="15.75" hidden="1" customHeight="1" x14ac:dyDescent="0.25">
      <c r="A424" s="9" t="s">
        <v>59</v>
      </c>
      <c r="B424" s="9" t="s">
        <v>50</v>
      </c>
      <c r="C424" s="10" t="s">
        <v>94</v>
      </c>
      <c r="D424" s="9" t="s">
        <v>13</v>
      </c>
      <c r="E424" s="9" t="s">
        <v>14</v>
      </c>
      <c r="F424" s="10">
        <v>5785</v>
      </c>
      <c r="G424" s="11">
        <v>45229</v>
      </c>
      <c r="H424" s="14">
        <f t="shared" si="12"/>
        <v>2023</v>
      </c>
      <c r="I424" s="12">
        <v>45808581</v>
      </c>
      <c r="J424" s="10">
        <v>6510</v>
      </c>
      <c r="K424" s="11">
        <v>45278</v>
      </c>
      <c r="L424" s="14">
        <f t="shared" si="13"/>
        <v>2023</v>
      </c>
      <c r="M424" s="12">
        <v>45808581</v>
      </c>
    </row>
    <row r="425" spans="1:13" ht="15.75" hidden="1" customHeight="1" x14ac:dyDescent="0.25">
      <c r="A425" s="9" t="s">
        <v>15</v>
      </c>
      <c r="B425" s="9" t="s">
        <v>98</v>
      </c>
      <c r="C425" s="10" t="s">
        <v>82</v>
      </c>
      <c r="D425" s="9" t="s">
        <v>83</v>
      </c>
      <c r="E425" s="9" t="s">
        <v>91</v>
      </c>
      <c r="F425" s="10">
        <v>954</v>
      </c>
      <c r="G425" s="11">
        <v>44645</v>
      </c>
      <c r="H425" s="14">
        <f t="shared" si="12"/>
        <v>2022</v>
      </c>
      <c r="I425" s="12">
        <v>2109554.3020850001</v>
      </c>
      <c r="J425" s="10">
        <v>1909</v>
      </c>
      <c r="K425" s="11">
        <v>45077</v>
      </c>
      <c r="L425" s="14">
        <f t="shared" si="13"/>
        <v>2023</v>
      </c>
      <c r="M425" s="12">
        <v>2109554</v>
      </c>
    </row>
    <row r="426" spans="1:13" ht="15.75" hidden="1" customHeight="1" x14ac:dyDescent="0.25">
      <c r="A426" s="9" t="s">
        <v>15</v>
      </c>
      <c r="B426" s="9" t="s">
        <v>98</v>
      </c>
      <c r="C426" s="10" t="s">
        <v>82</v>
      </c>
      <c r="D426" s="9" t="s">
        <v>83</v>
      </c>
      <c r="E426" s="9" t="s">
        <v>91</v>
      </c>
      <c r="F426" s="10">
        <v>1071</v>
      </c>
      <c r="G426" s="11">
        <v>44658</v>
      </c>
      <c r="H426" s="14">
        <f t="shared" si="12"/>
        <v>2022</v>
      </c>
      <c r="I426" s="12">
        <v>17610256.457699999</v>
      </c>
      <c r="J426" s="10">
        <v>516</v>
      </c>
      <c r="K426" s="11">
        <v>44964</v>
      </c>
      <c r="L426" s="14">
        <f t="shared" si="13"/>
        <v>2023</v>
      </c>
      <c r="M426" s="12">
        <v>17610256</v>
      </c>
    </row>
    <row r="427" spans="1:13" ht="15.75" hidden="1" customHeight="1" x14ac:dyDescent="0.25">
      <c r="A427" s="9" t="s">
        <v>10</v>
      </c>
      <c r="B427" s="9" t="s">
        <v>98</v>
      </c>
      <c r="C427" s="10" t="s">
        <v>94</v>
      </c>
      <c r="D427" s="9" t="s">
        <v>13</v>
      </c>
      <c r="E427" s="9" t="s">
        <v>14</v>
      </c>
      <c r="F427" s="10">
        <v>5981</v>
      </c>
      <c r="G427" s="11">
        <v>45240</v>
      </c>
      <c r="H427" s="14">
        <f t="shared" si="12"/>
        <v>2023</v>
      </c>
      <c r="I427" s="12">
        <v>6949126</v>
      </c>
      <c r="J427" s="10">
        <v>6506</v>
      </c>
      <c r="K427" s="11">
        <v>45278</v>
      </c>
      <c r="L427" s="14">
        <f t="shared" si="13"/>
        <v>2023</v>
      </c>
      <c r="M427" s="12">
        <v>6949126</v>
      </c>
    </row>
    <row r="428" spans="1:13" ht="15.75" hidden="1" customHeight="1" x14ac:dyDescent="0.25">
      <c r="A428" s="9" t="s">
        <v>59</v>
      </c>
      <c r="B428" s="9" t="s">
        <v>98</v>
      </c>
      <c r="C428" s="10" t="s">
        <v>94</v>
      </c>
      <c r="D428" s="9" t="s">
        <v>13</v>
      </c>
      <c r="E428" s="9" t="s">
        <v>14</v>
      </c>
      <c r="F428" s="10">
        <v>5772</v>
      </c>
      <c r="G428" s="11">
        <v>45229</v>
      </c>
      <c r="H428" s="14">
        <f t="shared" si="12"/>
        <v>2023</v>
      </c>
      <c r="I428" s="12">
        <v>5763746</v>
      </c>
      <c r="J428" s="10">
        <v>6709</v>
      </c>
      <c r="K428" s="11">
        <v>45287</v>
      </c>
      <c r="L428" s="14">
        <f t="shared" si="13"/>
        <v>2023</v>
      </c>
      <c r="M428" s="12">
        <v>3542907</v>
      </c>
    </row>
    <row r="429" spans="1:13" ht="15.75" hidden="1" customHeight="1" x14ac:dyDescent="0.25">
      <c r="A429" s="9" t="s">
        <v>59</v>
      </c>
      <c r="B429" s="9" t="s">
        <v>46</v>
      </c>
      <c r="C429" s="10" t="s">
        <v>17</v>
      </c>
      <c r="D429" s="9" t="s">
        <v>13</v>
      </c>
      <c r="E429" s="9" t="s">
        <v>14</v>
      </c>
      <c r="F429" s="10">
        <v>1443</v>
      </c>
      <c r="G429" s="11">
        <v>45042</v>
      </c>
      <c r="H429" s="14">
        <f t="shared" si="12"/>
        <v>2023</v>
      </c>
      <c r="I429" s="12">
        <f>1088.5*60386</f>
        <v>65730161</v>
      </c>
      <c r="J429" s="10">
        <v>6505</v>
      </c>
      <c r="K429" s="11">
        <v>45278</v>
      </c>
      <c r="L429" s="14">
        <f t="shared" si="13"/>
        <v>2023</v>
      </c>
      <c r="M429" s="12">
        <v>64761836</v>
      </c>
    </row>
    <row r="430" spans="1:13" ht="15.75" hidden="1" customHeight="1" x14ac:dyDescent="0.25">
      <c r="A430" s="9" t="s">
        <v>10</v>
      </c>
      <c r="B430" s="9" t="s">
        <v>46</v>
      </c>
      <c r="C430" s="10" t="s">
        <v>17</v>
      </c>
      <c r="D430" s="9" t="s">
        <v>13</v>
      </c>
      <c r="E430" s="9" t="s">
        <v>14</v>
      </c>
      <c r="F430" s="10">
        <v>1892</v>
      </c>
      <c r="G430" s="11">
        <v>45077</v>
      </c>
      <c r="H430" s="14">
        <f t="shared" si="12"/>
        <v>2023</v>
      </c>
      <c r="I430" s="12">
        <f>73.5*63074</f>
        <v>4635939</v>
      </c>
      <c r="J430" s="10">
        <v>5418</v>
      </c>
      <c r="K430" s="11">
        <v>45202</v>
      </c>
      <c r="L430" s="14">
        <f t="shared" si="13"/>
        <v>2023</v>
      </c>
      <c r="M430" s="12">
        <v>1665615</v>
      </c>
    </row>
    <row r="431" spans="1:13" ht="15.75" hidden="1" customHeight="1" x14ac:dyDescent="0.25">
      <c r="A431" s="9" t="s">
        <v>10</v>
      </c>
      <c r="B431" s="9" t="s">
        <v>46</v>
      </c>
      <c r="C431" s="10" t="s">
        <v>17</v>
      </c>
      <c r="D431" s="9" t="s">
        <v>13</v>
      </c>
      <c r="E431" s="9" t="s">
        <v>14</v>
      </c>
      <c r="F431" s="10">
        <v>1999</v>
      </c>
      <c r="G431" s="11">
        <v>45077</v>
      </c>
      <c r="H431" s="14">
        <f t="shared" si="12"/>
        <v>2023</v>
      </c>
      <c r="I431" s="12">
        <f>98.34*63074</f>
        <v>6202697.1600000001</v>
      </c>
      <c r="J431" s="10">
        <v>5493</v>
      </c>
      <c r="K431" s="11">
        <v>45205</v>
      </c>
      <c r="L431" s="14">
        <f t="shared" si="13"/>
        <v>2023</v>
      </c>
      <c r="M431" s="12">
        <v>6239870</v>
      </c>
    </row>
    <row r="432" spans="1:13" ht="15.75" hidden="1" customHeight="1" x14ac:dyDescent="0.25">
      <c r="A432" s="9" t="s">
        <v>15</v>
      </c>
      <c r="B432" s="9" t="s">
        <v>99</v>
      </c>
      <c r="C432" s="10" t="s">
        <v>94</v>
      </c>
      <c r="D432" s="9" t="s">
        <v>35</v>
      </c>
      <c r="E432" s="9" t="s">
        <v>91</v>
      </c>
      <c r="F432" s="10">
        <v>1271</v>
      </c>
      <c r="G432" s="11">
        <v>44677</v>
      </c>
      <c r="H432" s="14">
        <f t="shared" si="12"/>
        <v>2022</v>
      </c>
      <c r="I432" s="12">
        <v>155504</v>
      </c>
      <c r="J432" s="10">
        <v>6007</v>
      </c>
      <c r="K432" s="11">
        <v>45244</v>
      </c>
      <c r="L432" s="14">
        <f t="shared" si="13"/>
        <v>2023</v>
      </c>
      <c r="M432" s="12">
        <v>0</v>
      </c>
    </row>
    <row r="433" spans="1:13" ht="15.75" hidden="1" customHeight="1" x14ac:dyDescent="0.25">
      <c r="A433" s="9" t="s">
        <v>15</v>
      </c>
      <c r="B433" s="9" t="s">
        <v>99</v>
      </c>
      <c r="C433" s="10" t="s">
        <v>94</v>
      </c>
      <c r="D433" s="9" t="s">
        <v>40</v>
      </c>
      <c r="E433" s="9" t="s">
        <v>91</v>
      </c>
      <c r="F433" s="10">
        <v>5324</v>
      </c>
      <c r="G433" s="11">
        <v>45195</v>
      </c>
      <c r="H433" s="14">
        <f t="shared" si="12"/>
        <v>2023</v>
      </c>
      <c r="I433" s="12">
        <v>118365621</v>
      </c>
      <c r="J433" s="10">
        <v>6495</v>
      </c>
      <c r="K433" s="11">
        <v>45278</v>
      </c>
      <c r="L433" s="14">
        <f t="shared" si="13"/>
        <v>2023</v>
      </c>
      <c r="M433" s="12">
        <v>113338330</v>
      </c>
    </row>
    <row r="434" spans="1:13" ht="15.75" hidden="1" customHeight="1" x14ac:dyDescent="0.25">
      <c r="A434" s="9" t="s">
        <v>15</v>
      </c>
      <c r="B434" s="9" t="s">
        <v>99</v>
      </c>
      <c r="C434" s="10" t="s">
        <v>94</v>
      </c>
      <c r="D434" s="9" t="s">
        <v>31</v>
      </c>
      <c r="E434" s="9" t="s">
        <v>91</v>
      </c>
      <c r="F434" s="10">
        <v>2002</v>
      </c>
      <c r="G434" s="11">
        <v>45077</v>
      </c>
      <c r="H434" s="14">
        <f t="shared" si="12"/>
        <v>2023</v>
      </c>
      <c r="I434" s="12">
        <v>2106187691</v>
      </c>
      <c r="J434" s="10">
        <v>6503</v>
      </c>
      <c r="K434" s="11">
        <v>45278</v>
      </c>
      <c r="L434" s="14">
        <f t="shared" si="13"/>
        <v>2023</v>
      </c>
      <c r="M434" s="12">
        <v>2086502386</v>
      </c>
    </row>
    <row r="435" spans="1:13" ht="15.75" hidden="1" customHeight="1" x14ac:dyDescent="0.25">
      <c r="A435" s="9" t="s">
        <v>15</v>
      </c>
      <c r="B435" s="9" t="s">
        <v>99</v>
      </c>
      <c r="C435" s="10" t="s">
        <v>94</v>
      </c>
      <c r="D435" s="9" t="s">
        <v>25</v>
      </c>
      <c r="E435" s="9" t="s">
        <v>91</v>
      </c>
      <c r="F435" s="10">
        <v>2007</v>
      </c>
      <c r="G435" s="11">
        <v>45077</v>
      </c>
      <c r="H435" s="14">
        <f t="shared" si="12"/>
        <v>2023</v>
      </c>
      <c r="I435" s="12">
        <v>805451308</v>
      </c>
      <c r="J435" s="10">
        <v>6514</v>
      </c>
      <c r="K435" s="11">
        <v>45278</v>
      </c>
      <c r="L435" s="14">
        <f t="shared" si="13"/>
        <v>2023</v>
      </c>
      <c r="M435" s="12">
        <v>527268959</v>
      </c>
    </row>
    <row r="436" spans="1:13" ht="15.75" hidden="1" customHeight="1" x14ac:dyDescent="0.25">
      <c r="A436" s="9" t="s">
        <v>15</v>
      </c>
      <c r="B436" s="9" t="s">
        <v>99</v>
      </c>
      <c r="C436" s="10" t="s">
        <v>94</v>
      </c>
      <c r="D436" s="9" t="s">
        <v>44</v>
      </c>
      <c r="E436" s="9" t="s">
        <v>91</v>
      </c>
      <c r="F436" s="10">
        <v>5130</v>
      </c>
      <c r="G436" s="11">
        <v>45177</v>
      </c>
      <c r="H436" s="14">
        <f t="shared" si="12"/>
        <v>2023</v>
      </c>
      <c r="I436" s="12">
        <v>15392767</v>
      </c>
      <c r="J436" s="10">
        <v>6496</v>
      </c>
      <c r="K436" s="11">
        <v>45278</v>
      </c>
      <c r="L436" s="14">
        <f t="shared" si="13"/>
        <v>2023</v>
      </c>
      <c r="M436" s="12">
        <v>15392767</v>
      </c>
    </row>
    <row r="437" spans="1:13" ht="15.75" hidden="1" customHeight="1" x14ac:dyDescent="0.25">
      <c r="A437" s="9" t="s">
        <v>10</v>
      </c>
      <c r="B437" s="9" t="s">
        <v>99</v>
      </c>
      <c r="C437" s="10" t="s">
        <v>94</v>
      </c>
      <c r="D437" s="9" t="s">
        <v>40</v>
      </c>
      <c r="E437" s="9" t="s">
        <v>14</v>
      </c>
      <c r="F437" s="10">
        <v>6014</v>
      </c>
      <c r="G437" s="11">
        <v>45244</v>
      </c>
      <c r="H437" s="14">
        <f t="shared" si="12"/>
        <v>2023</v>
      </c>
      <c r="I437" s="12">
        <v>45867066</v>
      </c>
      <c r="J437" s="10">
        <v>6515</v>
      </c>
      <c r="K437" s="11">
        <v>45278</v>
      </c>
      <c r="L437" s="14">
        <f t="shared" si="13"/>
        <v>2023</v>
      </c>
      <c r="M437" s="12">
        <v>45867066</v>
      </c>
    </row>
    <row r="438" spans="1:13" ht="15.75" hidden="1" customHeight="1" x14ac:dyDescent="0.25">
      <c r="A438" s="9" t="s">
        <v>59</v>
      </c>
      <c r="B438" s="9" t="s">
        <v>99</v>
      </c>
      <c r="C438" s="10" t="s">
        <v>94</v>
      </c>
      <c r="D438" s="9" t="s">
        <v>25</v>
      </c>
      <c r="E438" s="9" t="s">
        <v>14</v>
      </c>
      <c r="F438" s="10">
        <v>5789</v>
      </c>
      <c r="G438" s="11">
        <v>45229</v>
      </c>
      <c r="H438" s="14">
        <f t="shared" si="12"/>
        <v>2023</v>
      </c>
      <c r="I438" s="12">
        <v>28669652</v>
      </c>
      <c r="J438" s="10">
        <v>6679</v>
      </c>
      <c r="K438" s="11">
        <v>45287</v>
      </c>
      <c r="L438" s="14">
        <f t="shared" si="13"/>
        <v>2023</v>
      </c>
      <c r="M438" s="12">
        <v>22000361</v>
      </c>
    </row>
    <row r="439" spans="1:13" ht="15.75" hidden="1" customHeight="1" x14ac:dyDescent="0.25">
      <c r="A439" s="9" t="s">
        <v>59</v>
      </c>
      <c r="B439" s="9" t="s">
        <v>99</v>
      </c>
      <c r="C439" s="10" t="s">
        <v>94</v>
      </c>
      <c r="D439" s="9" t="s">
        <v>37</v>
      </c>
      <c r="E439" s="9" t="s">
        <v>14</v>
      </c>
      <c r="F439" s="10">
        <v>5790</v>
      </c>
      <c r="G439" s="11">
        <v>45229</v>
      </c>
      <c r="H439" s="14">
        <f t="shared" si="12"/>
        <v>2023</v>
      </c>
      <c r="I439" s="12">
        <v>46391154</v>
      </c>
      <c r="J439" s="10">
        <v>6706</v>
      </c>
      <c r="K439" s="11">
        <v>45287</v>
      </c>
      <c r="L439" s="14">
        <f t="shared" si="13"/>
        <v>2023</v>
      </c>
      <c r="M439" s="12">
        <v>46391154</v>
      </c>
    </row>
    <row r="440" spans="1:13" ht="15.75" hidden="1" customHeight="1" x14ac:dyDescent="0.25">
      <c r="I440" s="6"/>
      <c r="M440" s="6"/>
    </row>
    <row r="441" spans="1:13" ht="15.75" hidden="1" customHeight="1" x14ac:dyDescent="0.25">
      <c r="I441" s="6"/>
      <c r="M441" s="6"/>
    </row>
    <row r="442" spans="1:13" ht="15.75" hidden="1" customHeight="1" x14ac:dyDescent="0.25">
      <c r="I442" s="13"/>
      <c r="M442" s="13"/>
    </row>
    <row r="443" spans="1:13" ht="15.75" customHeight="1" x14ac:dyDescent="0.25">
      <c r="I443" s="6"/>
      <c r="M443" s="6"/>
    </row>
    <row r="444" spans="1:13" ht="15.75" customHeight="1" x14ac:dyDescent="0.25">
      <c r="I444" s="6"/>
      <c r="M444" s="6"/>
    </row>
    <row r="445" spans="1:13" ht="15.75" customHeight="1" x14ac:dyDescent="0.25">
      <c r="I445" s="6"/>
      <c r="M445" s="6"/>
    </row>
    <row r="446" spans="1:13" ht="15.75" customHeight="1" x14ac:dyDescent="0.25">
      <c r="I446" s="6"/>
      <c r="M446" s="6"/>
    </row>
    <row r="447" spans="1:13" ht="15.75" customHeight="1" x14ac:dyDescent="0.25">
      <c r="I447" s="6"/>
      <c r="M447" s="6"/>
    </row>
    <row r="448" spans="1:13" ht="15.75" customHeight="1" x14ac:dyDescent="0.25">
      <c r="I448" s="6"/>
      <c r="M448" s="6"/>
    </row>
    <row r="449" spans="9:13" ht="15.75" customHeight="1" x14ac:dyDescent="0.25">
      <c r="I449" s="6"/>
      <c r="M449" s="6"/>
    </row>
    <row r="450" spans="9:13" ht="15.75" customHeight="1" x14ac:dyDescent="0.25">
      <c r="I450" s="6"/>
      <c r="M450" s="6"/>
    </row>
    <row r="451" spans="9:13" ht="15.75" customHeight="1" x14ac:dyDescent="0.25">
      <c r="I451" s="6"/>
      <c r="M451" s="6"/>
    </row>
    <row r="452" spans="9:13" ht="15.75" customHeight="1" x14ac:dyDescent="0.25">
      <c r="I452" s="6"/>
      <c r="M452" s="6"/>
    </row>
    <row r="453" spans="9:13" ht="15.75" customHeight="1" x14ac:dyDescent="0.25">
      <c r="I453" s="6"/>
      <c r="M453" s="6"/>
    </row>
    <row r="454" spans="9:13" ht="15.75" customHeight="1" x14ac:dyDescent="0.25">
      <c r="I454" s="6"/>
      <c r="M454" s="6"/>
    </row>
    <row r="455" spans="9:13" ht="15.75" customHeight="1" x14ac:dyDescent="0.25">
      <c r="I455" s="6"/>
      <c r="M455" s="6"/>
    </row>
    <row r="456" spans="9:13" ht="15.75" customHeight="1" x14ac:dyDescent="0.25">
      <c r="I456" s="6"/>
      <c r="M456" s="6"/>
    </row>
    <row r="457" spans="9:13" ht="15.75" customHeight="1" x14ac:dyDescent="0.25">
      <c r="I457" s="6"/>
      <c r="M457" s="6"/>
    </row>
    <row r="458" spans="9:13" ht="15.75" customHeight="1" x14ac:dyDescent="0.25">
      <c r="I458" s="6"/>
      <c r="M458" s="6"/>
    </row>
    <row r="459" spans="9:13" ht="15.75" customHeight="1" x14ac:dyDescent="0.25">
      <c r="I459" s="6"/>
      <c r="M459" s="6"/>
    </row>
    <row r="460" spans="9:13" ht="15.75" customHeight="1" x14ac:dyDescent="0.25">
      <c r="I460" s="6"/>
      <c r="M460" s="6"/>
    </row>
    <row r="461" spans="9:13" ht="15.75" customHeight="1" x14ac:dyDescent="0.25">
      <c r="I461" s="6"/>
      <c r="M461" s="6"/>
    </row>
    <row r="462" spans="9:13" ht="15.75" customHeight="1" x14ac:dyDescent="0.25">
      <c r="I462" s="6"/>
      <c r="M462" s="6"/>
    </row>
    <row r="463" spans="9:13" ht="15.75" customHeight="1" x14ac:dyDescent="0.25">
      <c r="I463" s="6"/>
      <c r="M463" s="6"/>
    </row>
    <row r="464" spans="9:13" ht="15.75" customHeight="1" x14ac:dyDescent="0.25">
      <c r="I464" s="6"/>
      <c r="M464" s="6"/>
    </row>
    <row r="465" spans="9:13" ht="15.75" customHeight="1" x14ac:dyDescent="0.25">
      <c r="I465" s="6"/>
      <c r="M465" s="6"/>
    </row>
    <row r="466" spans="9:13" ht="15.75" customHeight="1" x14ac:dyDescent="0.25">
      <c r="I466" s="6"/>
      <c r="M466" s="6"/>
    </row>
    <row r="467" spans="9:13" ht="15.75" customHeight="1" x14ac:dyDescent="0.25">
      <c r="I467" s="6"/>
      <c r="M467" s="6"/>
    </row>
    <row r="468" spans="9:13" ht="15.75" customHeight="1" x14ac:dyDescent="0.25">
      <c r="I468" s="6"/>
      <c r="M468" s="6"/>
    </row>
    <row r="469" spans="9:13" ht="15.75" customHeight="1" x14ac:dyDescent="0.25">
      <c r="I469" s="6"/>
      <c r="M469" s="6"/>
    </row>
    <row r="470" spans="9:13" ht="15.75" customHeight="1" x14ac:dyDescent="0.25">
      <c r="I470" s="6"/>
      <c r="M470" s="6"/>
    </row>
    <row r="471" spans="9:13" ht="15.75" customHeight="1" x14ac:dyDescent="0.25">
      <c r="I471" s="6"/>
      <c r="M471" s="6"/>
    </row>
    <row r="472" spans="9:13" ht="15.75" customHeight="1" x14ac:dyDescent="0.25">
      <c r="I472" s="6"/>
      <c r="M472" s="6"/>
    </row>
    <row r="473" spans="9:13" ht="15.75" customHeight="1" x14ac:dyDescent="0.25">
      <c r="I473" s="6"/>
      <c r="M473" s="6"/>
    </row>
    <row r="474" spans="9:13" ht="15.75" customHeight="1" x14ac:dyDescent="0.25">
      <c r="I474" s="6"/>
      <c r="M474" s="6"/>
    </row>
    <row r="475" spans="9:13" ht="15.75" customHeight="1" x14ac:dyDescent="0.25">
      <c r="I475" s="6"/>
      <c r="M475" s="6"/>
    </row>
    <row r="476" spans="9:13" ht="15.75" customHeight="1" x14ac:dyDescent="0.25">
      <c r="I476" s="6"/>
      <c r="M476" s="6"/>
    </row>
    <row r="477" spans="9:13" ht="15.75" customHeight="1" x14ac:dyDescent="0.25">
      <c r="I477" s="6"/>
      <c r="M477" s="6"/>
    </row>
    <row r="478" spans="9:13" ht="15.75" customHeight="1" x14ac:dyDescent="0.25">
      <c r="I478" s="6"/>
      <c r="M478" s="6"/>
    </row>
    <row r="479" spans="9:13" ht="15.75" customHeight="1" x14ac:dyDescent="0.25">
      <c r="I479" s="6"/>
      <c r="M479" s="6"/>
    </row>
    <row r="480" spans="9:13" ht="15.75" customHeight="1" x14ac:dyDescent="0.25">
      <c r="I480" s="6"/>
      <c r="M480" s="6"/>
    </row>
    <row r="481" spans="9:13" ht="15.75" customHeight="1" x14ac:dyDescent="0.25">
      <c r="I481" s="6"/>
      <c r="M481" s="6"/>
    </row>
    <row r="482" spans="9:13" ht="15.75" customHeight="1" x14ac:dyDescent="0.25">
      <c r="I482" s="6"/>
      <c r="M482" s="6"/>
    </row>
    <row r="483" spans="9:13" ht="15.75" customHeight="1" x14ac:dyDescent="0.25">
      <c r="I483" s="6"/>
      <c r="M483" s="6"/>
    </row>
    <row r="484" spans="9:13" ht="15.75" customHeight="1" x14ac:dyDescent="0.25">
      <c r="I484" s="6"/>
      <c r="M484" s="6"/>
    </row>
    <row r="485" spans="9:13" ht="15.75" customHeight="1" x14ac:dyDescent="0.25">
      <c r="I485" s="6"/>
      <c r="M485" s="6"/>
    </row>
    <row r="486" spans="9:13" ht="15.75" customHeight="1" x14ac:dyDescent="0.25">
      <c r="I486" s="6"/>
      <c r="M486" s="6"/>
    </row>
    <row r="487" spans="9:13" ht="15.75" customHeight="1" x14ac:dyDescent="0.25">
      <c r="I487" s="6"/>
      <c r="M487" s="6"/>
    </row>
    <row r="488" spans="9:13" ht="15.75" customHeight="1" x14ac:dyDescent="0.25">
      <c r="I488" s="6"/>
      <c r="M488" s="6"/>
    </row>
    <row r="489" spans="9:13" ht="15.75" customHeight="1" x14ac:dyDescent="0.25">
      <c r="I489" s="6"/>
      <c r="M489" s="6"/>
    </row>
    <row r="490" spans="9:13" ht="15.75" customHeight="1" x14ac:dyDescent="0.25">
      <c r="I490" s="6"/>
      <c r="M490" s="6"/>
    </row>
    <row r="491" spans="9:13" ht="15.75" customHeight="1" x14ac:dyDescent="0.25">
      <c r="I491" s="6"/>
      <c r="M491" s="6"/>
    </row>
    <row r="492" spans="9:13" ht="15.75" customHeight="1" x14ac:dyDescent="0.25">
      <c r="I492" s="6"/>
      <c r="M492" s="6"/>
    </row>
    <row r="493" spans="9:13" ht="15.75" customHeight="1" x14ac:dyDescent="0.25">
      <c r="I493" s="6"/>
      <c r="M493" s="6"/>
    </row>
    <row r="494" spans="9:13" ht="15.75" customHeight="1" x14ac:dyDescent="0.25">
      <c r="I494" s="6"/>
      <c r="M494" s="6"/>
    </row>
    <row r="495" spans="9:13" ht="15.75" customHeight="1" x14ac:dyDescent="0.25">
      <c r="I495" s="6"/>
      <c r="M495" s="6"/>
    </row>
    <row r="496" spans="9:13" ht="15.75" customHeight="1" x14ac:dyDescent="0.25">
      <c r="I496" s="6"/>
      <c r="M496" s="6"/>
    </row>
    <row r="497" spans="9:13" ht="15.75" customHeight="1" x14ac:dyDescent="0.25">
      <c r="I497" s="6"/>
      <c r="M497" s="6"/>
    </row>
    <row r="498" spans="9:13" ht="15.75" customHeight="1" x14ac:dyDescent="0.25">
      <c r="I498" s="6"/>
      <c r="M498" s="6"/>
    </row>
    <row r="499" spans="9:13" ht="15.75" customHeight="1" x14ac:dyDescent="0.25">
      <c r="I499" s="6"/>
      <c r="M499" s="6"/>
    </row>
    <row r="500" spans="9:13" ht="15.75" customHeight="1" x14ac:dyDescent="0.25">
      <c r="I500" s="6"/>
      <c r="M500" s="6"/>
    </row>
    <row r="501" spans="9:13" ht="15.75" customHeight="1" x14ac:dyDescent="0.25">
      <c r="I501" s="6"/>
      <c r="M501" s="6"/>
    </row>
    <row r="502" spans="9:13" ht="15.75" customHeight="1" x14ac:dyDescent="0.25">
      <c r="I502" s="6"/>
      <c r="M502" s="6"/>
    </row>
    <row r="503" spans="9:13" ht="15.75" customHeight="1" x14ac:dyDescent="0.25">
      <c r="I503" s="6"/>
      <c r="M503" s="6"/>
    </row>
    <row r="504" spans="9:13" ht="15.75" customHeight="1" x14ac:dyDescent="0.25">
      <c r="I504" s="6"/>
      <c r="M504" s="6"/>
    </row>
    <row r="505" spans="9:13" ht="15.75" customHeight="1" x14ac:dyDescent="0.25">
      <c r="I505" s="6"/>
      <c r="M505" s="6"/>
    </row>
    <row r="506" spans="9:13" ht="15.75" customHeight="1" x14ac:dyDescent="0.25">
      <c r="I506" s="6"/>
      <c r="M506" s="6"/>
    </row>
    <row r="507" spans="9:13" ht="15.75" customHeight="1" x14ac:dyDescent="0.25">
      <c r="I507" s="6"/>
      <c r="M507" s="6"/>
    </row>
    <row r="508" spans="9:13" ht="15.75" customHeight="1" x14ac:dyDescent="0.25">
      <c r="I508" s="6"/>
      <c r="M508" s="6"/>
    </row>
    <row r="509" spans="9:13" ht="15.75" customHeight="1" x14ac:dyDescent="0.25">
      <c r="I509" s="6"/>
      <c r="M509" s="6"/>
    </row>
    <row r="510" spans="9:13" ht="15.75" customHeight="1" x14ac:dyDescent="0.25">
      <c r="I510" s="6"/>
      <c r="M510" s="6"/>
    </row>
    <row r="511" spans="9:13" ht="15.75" customHeight="1" x14ac:dyDescent="0.25">
      <c r="I511" s="6"/>
      <c r="M511" s="6"/>
    </row>
    <row r="512" spans="9:13" ht="15.75" customHeight="1" x14ac:dyDescent="0.25">
      <c r="I512" s="6"/>
      <c r="M512" s="6"/>
    </row>
    <row r="513" spans="9:13" ht="15.75" customHeight="1" x14ac:dyDescent="0.25">
      <c r="I513" s="6"/>
      <c r="M513" s="6"/>
    </row>
    <row r="514" spans="9:13" ht="15.75" customHeight="1" x14ac:dyDescent="0.25">
      <c r="I514" s="6"/>
      <c r="M514" s="6"/>
    </row>
    <row r="515" spans="9:13" ht="15.75" customHeight="1" x14ac:dyDescent="0.25">
      <c r="I515" s="6"/>
      <c r="M515" s="6"/>
    </row>
    <row r="516" spans="9:13" ht="15.75" customHeight="1" x14ac:dyDescent="0.25">
      <c r="I516" s="6"/>
      <c r="M516" s="6"/>
    </row>
    <row r="517" spans="9:13" ht="15.75" customHeight="1" x14ac:dyDescent="0.25">
      <c r="I517" s="6"/>
      <c r="M517" s="6"/>
    </row>
    <row r="518" spans="9:13" ht="15.75" customHeight="1" x14ac:dyDescent="0.25">
      <c r="I518" s="6"/>
      <c r="M518" s="6"/>
    </row>
    <row r="519" spans="9:13" ht="15.75" customHeight="1" x14ac:dyDescent="0.25">
      <c r="I519" s="6"/>
      <c r="M519" s="6"/>
    </row>
    <row r="520" spans="9:13" ht="15.75" customHeight="1" x14ac:dyDescent="0.25">
      <c r="I520" s="6"/>
      <c r="M520" s="6"/>
    </row>
    <row r="521" spans="9:13" ht="15.75" customHeight="1" x14ac:dyDescent="0.25">
      <c r="I521" s="6"/>
      <c r="M521" s="6"/>
    </row>
    <row r="522" spans="9:13" ht="15.75" customHeight="1" x14ac:dyDescent="0.25">
      <c r="I522" s="6"/>
      <c r="M522" s="6"/>
    </row>
    <row r="523" spans="9:13" ht="15.75" customHeight="1" x14ac:dyDescent="0.25">
      <c r="I523" s="6"/>
      <c r="M523" s="6"/>
    </row>
    <row r="524" spans="9:13" ht="15.75" customHeight="1" x14ac:dyDescent="0.25">
      <c r="I524" s="6"/>
      <c r="M524" s="6"/>
    </row>
    <row r="525" spans="9:13" ht="15.75" customHeight="1" x14ac:dyDescent="0.25">
      <c r="I525" s="6"/>
      <c r="M525" s="6"/>
    </row>
    <row r="526" spans="9:13" ht="15.75" customHeight="1" x14ac:dyDescent="0.25">
      <c r="I526" s="6"/>
      <c r="M526" s="6"/>
    </row>
    <row r="527" spans="9:13" ht="15.75" customHeight="1" x14ac:dyDescent="0.25">
      <c r="I527" s="6"/>
      <c r="M527" s="6"/>
    </row>
    <row r="528" spans="9:13" ht="15.75" customHeight="1" x14ac:dyDescent="0.25">
      <c r="I528" s="6"/>
      <c r="M528" s="6"/>
    </row>
    <row r="529" spans="9:13" ht="15.75" customHeight="1" x14ac:dyDescent="0.25">
      <c r="I529" s="6"/>
      <c r="M529" s="6"/>
    </row>
    <row r="530" spans="9:13" ht="15.75" customHeight="1" x14ac:dyDescent="0.25">
      <c r="I530" s="6"/>
      <c r="M530" s="6"/>
    </row>
    <row r="531" spans="9:13" ht="15.75" customHeight="1" x14ac:dyDescent="0.25">
      <c r="I531" s="6"/>
      <c r="M531" s="6"/>
    </row>
    <row r="532" spans="9:13" ht="15.75" customHeight="1" x14ac:dyDescent="0.25">
      <c r="I532" s="6"/>
      <c r="M532" s="6"/>
    </row>
    <row r="533" spans="9:13" ht="15.75" customHeight="1" x14ac:dyDescent="0.25">
      <c r="I533" s="6"/>
      <c r="M533" s="6"/>
    </row>
    <row r="534" spans="9:13" ht="15.75" customHeight="1" x14ac:dyDescent="0.25">
      <c r="I534" s="6"/>
      <c r="M534" s="6"/>
    </row>
    <row r="535" spans="9:13" ht="15.75" customHeight="1" x14ac:dyDescent="0.25">
      <c r="I535" s="6"/>
      <c r="M535" s="6"/>
    </row>
    <row r="536" spans="9:13" ht="15.75" customHeight="1" x14ac:dyDescent="0.25">
      <c r="I536" s="6"/>
      <c r="M536" s="6"/>
    </row>
    <row r="537" spans="9:13" ht="15.75" customHeight="1" x14ac:dyDescent="0.25">
      <c r="I537" s="6"/>
      <c r="M537" s="6"/>
    </row>
    <row r="538" spans="9:13" ht="15.75" customHeight="1" x14ac:dyDescent="0.25">
      <c r="I538" s="6"/>
      <c r="M538" s="6"/>
    </row>
    <row r="539" spans="9:13" ht="15.75" customHeight="1" x14ac:dyDescent="0.25">
      <c r="I539" s="6"/>
      <c r="M539" s="6"/>
    </row>
    <row r="540" spans="9:13" ht="15.75" customHeight="1" x14ac:dyDescent="0.25">
      <c r="I540" s="6"/>
      <c r="M540" s="6"/>
    </row>
    <row r="541" spans="9:13" ht="15.75" customHeight="1" x14ac:dyDescent="0.25">
      <c r="I541" s="6"/>
      <c r="M541" s="6"/>
    </row>
    <row r="542" spans="9:13" ht="15.75" customHeight="1" x14ac:dyDescent="0.25">
      <c r="I542" s="6"/>
      <c r="M542" s="6"/>
    </row>
    <row r="543" spans="9:13" ht="15.75" customHeight="1" x14ac:dyDescent="0.25">
      <c r="I543" s="6"/>
      <c r="M543" s="6"/>
    </row>
    <row r="544" spans="9:13" ht="15.75" customHeight="1" x14ac:dyDescent="0.25">
      <c r="I544" s="6"/>
      <c r="M544" s="6"/>
    </row>
    <row r="545" spans="9:13" ht="15.75" customHeight="1" x14ac:dyDescent="0.25">
      <c r="I545" s="6"/>
      <c r="M545" s="6"/>
    </row>
    <row r="546" spans="9:13" ht="15.75" customHeight="1" x14ac:dyDescent="0.25">
      <c r="I546" s="6"/>
      <c r="M546" s="6"/>
    </row>
    <row r="547" spans="9:13" ht="15.75" customHeight="1" x14ac:dyDescent="0.25">
      <c r="I547" s="6"/>
      <c r="M547" s="6"/>
    </row>
    <row r="548" spans="9:13" ht="15.75" customHeight="1" x14ac:dyDescent="0.25">
      <c r="I548" s="6"/>
      <c r="M548" s="6"/>
    </row>
    <row r="549" spans="9:13" ht="15.75" customHeight="1" x14ac:dyDescent="0.25">
      <c r="I549" s="6"/>
      <c r="M549" s="6"/>
    </row>
    <row r="550" spans="9:13" ht="15.75" customHeight="1" x14ac:dyDescent="0.25">
      <c r="I550" s="6"/>
      <c r="M550" s="6"/>
    </row>
    <row r="551" spans="9:13" ht="15.75" customHeight="1" x14ac:dyDescent="0.25">
      <c r="I551" s="6"/>
      <c r="M551" s="6"/>
    </row>
    <row r="552" spans="9:13" ht="15.75" customHeight="1" x14ac:dyDescent="0.25">
      <c r="I552" s="6"/>
      <c r="M552" s="6"/>
    </row>
    <row r="553" spans="9:13" ht="15.75" customHeight="1" x14ac:dyDescent="0.25">
      <c r="I553" s="6"/>
      <c r="M553" s="6"/>
    </row>
    <row r="554" spans="9:13" ht="15.75" customHeight="1" x14ac:dyDescent="0.25">
      <c r="I554" s="6"/>
      <c r="M554" s="6"/>
    </row>
    <row r="555" spans="9:13" ht="15.75" customHeight="1" x14ac:dyDescent="0.25">
      <c r="I555" s="6"/>
      <c r="M555" s="6"/>
    </row>
    <row r="556" spans="9:13" ht="15.75" customHeight="1" x14ac:dyDescent="0.25">
      <c r="I556" s="6"/>
      <c r="M556" s="6"/>
    </row>
    <row r="557" spans="9:13" ht="15.75" customHeight="1" x14ac:dyDescent="0.25">
      <c r="I557" s="6"/>
      <c r="M557" s="6"/>
    </row>
    <row r="558" spans="9:13" ht="15.75" customHeight="1" x14ac:dyDescent="0.25">
      <c r="I558" s="6"/>
      <c r="M558" s="6"/>
    </row>
    <row r="559" spans="9:13" ht="15.75" customHeight="1" x14ac:dyDescent="0.25">
      <c r="I559" s="6"/>
      <c r="M559" s="6"/>
    </row>
    <row r="560" spans="9:13" ht="15.75" customHeight="1" x14ac:dyDescent="0.25">
      <c r="I560" s="6"/>
      <c r="M560" s="6"/>
    </row>
    <row r="561" spans="9:13" ht="15.75" customHeight="1" x14ac:dyDescent="0.25">
      <c r="I561" s="6"/>
      <c r="M561" s="6"/>
    </row>
    <row r="562" spans="9:13" ht="15.75" customHeight="1" x14ac:dyDescent="0.25">
      <c r="I562" s="6"/>
      <c r="M562" s="6"/>
    </row>
    <row r="563" spans="9:13" ht="15.75" customHeight="1" x14ac:dyDescent="0.25">
      <c r="I563" s="6"/>
      <c r="M563" s="6"/>
    </row>
    <row r="564" spans="9:13" ht="15.75" customHeight="1" x14ac:dyDescent="0.25">
      <c r="I564" s="6"/>
      <c r="M564" s="6"/>
    </row>
    <row r="565" spans="9:13" ht="15.75" customHeight="1" x14ac:dyDescent="0.25">
      <c r="I565" s="6"/>
      <c r="M565" s="6"/>
    </row>
    <row r="566" spans="9:13" ht="15.75" customHeight="1" x14ac:dyDescent="0.25">
      <c r="I566" s="6"/>
      <c r="M566" s="6"/>
    </row>
    <row r="567" spans="9:13" ht="15.75" customHeight="1" x14ac:dyDescent="0.25">
      <c r="I567" s="6"/>
      <c r="M567" s="6"/>
    </row>
    <row r="568" spans="9:13" ht="15.75" customHeight="1" x14ac:dyDescent="0.25">
      <c r="I568" s="6"/>
      <c r="M568" s="6"/>
    </row>
    <row r="569" spans="9:13" ht="15.75" customHeight="1" x14ac:dyDescent="0.25">
      <c r="I569" s="6"/>
      <c r="M569" s="6"/>
    </row>
    <row r="570" spans="9:13" ht="15.75" customHeight="1" x14ac:dyDescent="0.25">
      <c r="I570" s="6"/>
      <c r="M570" s="6"/>
    </row>
    <row r="571" spans="9:13" ht="15.75" customHeight="1" x14ac:dyDescent="0.25">
      <c r="I571" s="6"/>
      <c r="M571" s="6"/>
    </row>
    <row r="572" spans="9:13" ht="15.75" customHeight="1" x14ac:dyDescent="0.25">
      <c r="I572" s="6"/>
      <c r="M572" s="6"/>
    </row>
    <row r="573" spans="9:13" ht="15.75" customHeight="1" x14ac:dyDescent="0.25">
      <c r="I573" s="6"/>
      <c r="M573" s="6"/>
    </row>
    <row r="574" spans="9:13" ht="15.75" customHeight="1" x14ac:dyDescent="0.25">
      <c r="I574" s="6"/>
      <c r="M574" s="6"/>
    </row>
    <row r="575" spans="9:13" ht="15.75" customHeight="1" x14ac:dyDescent="0.25">
      <c r="I575" s="6"/>
      <c r="M575" s="6"/>
    </row>
    <row r="576" spans="9:13" ht="15.75" customHeight="1" x14ac:dyDescent="0.25">
      <c r="I576" s="6"/>
      <c r="M576" s="6"/>
    </row>
    <row r="577" spans="9:13" ht="15.75" customHeight="1" x14ac:dyDescent="0.25">
      <c r="I577" s="6"/>
      <c r="M577" s="6"/>
    </row>
    <row r="578" spans="9:13" ht="15.75" customHeight="1" x14ac:dyDescent="0.25">
      <c r="I578" s="6"/>
      <c r="M578" s="6"/>
    </row>
    <row r="579" spans="9:13" ht="15.75" customHeight="1" x14ac:dyDescent="0.25">
      <c r="I579" s="6"/>
      <c r="M579" s="6"/>
    </row>
    <row r="580" spans="9:13" ht="15.75" customHeight="1" x14ac:dyDescent="0.25">
      <c r="I580" s="6"/>
      <c r="M580" s="6"/>
    </row>
    <row r="581" spans="9:13" ht="15.75" customHeight="1" x14ac:dyDescent="0.25">
      <c r="I581" s="6"/>
      <c r="M581" s="6"/>
    </row>
    <row r="582" spans="9:13" ht="15.75" customHeight="1" x14ac:dyDescent="0.25">
      <c r="I582" s="6"/>
      <c r="M582" s="6"/>
    </row>
    <row r="583" spans="9:13" ht="15.75" customHeight="1" x14ac:dyDescent="0.25">
      <c r="I583" s="6"/>
      <c r="M583" s="6"/>
    </row>
    <row r="584" spans="9:13" ht="15.75" customHeight="1" x14ac:dyDescent="0.25">
      <c r="I584" s="6"/>
      <c r="M584" s="6"/>
    </row>
    <row r="585" spans="9:13" ht="15.75" customHeight="1" x14ac:dyDescent="0.25">
      <c r="I585" s="6"/>
      <c r="M585" s="6"/>
    </row>
    <row r="586" spans="9:13" ht="15.75" customHeight="1" x14ac:dyDescent="0.25">
      <c r="I586" s="6"/>
      <c r="M586" s="6"/>
    </row>
    <row r="587" spans="9:13" ht="15.75" customHeight="1" x14ac:dyDescent="0.25">
      <c r="I587" s="6"/>
      <c r="M587" s="6"/>
    </row>
    <row r="588" spans="9:13" ht="15.75" customHeight="1" x14ac:dyDescent="0.25">
      <c r="I588" s="6"/>
      <c r="M588" s="6"/>
    </row>
    <row r="589" spans="9:13" ht="15.75" customHeight="1" x14ac:dyDescent="0.25">
      <c r="I589" s="6"/>
      <c r="M589" s="6"/>
    </row>
    <row r="590" spans="9:13" ht="15.75" customHeight="1" x14ac:dyDescent="0.25">
      <c r="I590" s="6"/>
      <c r="M590" s="6"/>
    </row>
    <row r="591" spans="9:13" ht="15.75" customHeight="1" x14ac:dyDescent="0.25">
      <c r="I591" s="6"/>
      <c r="M591" s="6"/>
    </row>
    <row r="592" spans="9:13" ht="15.75" customHeight="1" x14ac:dyDescent="0.25">
      <c r="I592" s="6"/>
      <c r="M592" s="6"/>
    </row>
    <row r="593" spans="9:13" ht="15.75" customHeight="1" x14ac:dyDescent="0.25">
      <c r="I593" s="6"/>
      <c r="M593" s="6"/>
    </row>
    <row r="594" spans="9:13" ht="15.75" customHeight="1" x14ac:dyDescent="0.25">
      <c r="I594" s="6"/>
      <c r="M594" s="6"/>
    </row>
    <row r="595" spans="9:13" ht="15.75" customHeight="1" x14ac:dyDescent="0.25">
      <c r="I595" s="6"/>
      <c r="M595" s="6"/>
    </row>
    <row r="596" spans="9:13" ht="15.75" customHeight="1" x14ac:dyDescent="0.25">
      <c r="I596" s="6"/>
      <c r="M596" s="6"/>
    </row>
    <row r="597" spans="9:13" ht="15.75" customHeight="1" x14ac:dyDescent="0.25">
      <c r="I597" s="6"/>
      <c r="M597" s="6"/>
    </row>
    <row r="598" spans="9:13" ht="15.75" customHeight="1" x14ac:dyDescent="0.25">
      <c r="I598" s="6"/>
      <c r="M598" s="6"/>
    </row>
    <row r="599" spans="9:13" ht="15.75" customHeight="1" x14ac:dyDescent="0.25">
      <c r="I599" s="6"/>
      <c r="M599" s="6"/>
    </row>
    <row r="600" spans="9:13" ht="15.75" customHeight="1" x14ac:dyDescent="0.25">
      <c r="I600" s="6"/>
      <c r="M600" s="6"/>
    </row>
    <row r="601" spans="9:13" ht="15.75" customHeight="1" x14ac:dyDescent="0.25">
      <c r="I601" s="6"/>
      <c r="M601" s="6"/>
    </row>
    <row r="602" spans="9:13" ht="15.75" customHeight="1" x14ac:dyDescent="0.25">
      <c r="I602" s="6"/>
      <c r="M602" s="6"/>
    </row>
    <row r="603" spans="9:13" ht="15.75" customHeight="1" x14ac:dyDescent="0.25">
      <c r="I603" s="6"/>
      <c r="M603" s="6"/>
    </row>
    <row r="604" spans="9:13" ht="15.75" customHeight="1" x14ac:dyDescent="0.25">
      <c r="I604" s="6"/>
      <c r="M604" s="6"/>
    </row>
    <row r="605" spans="9:13" ht="15.75" customHeight="1" x14ac:dyDescent="0.25">
      <c r="I605" s="6"/>
      <c r="M605" s="6"/>
    </row>
    <row r="606" spans="9:13" ht="15.75" customHeight="1" x14ac:dyDescent="0.25">
      <c r="I606" s="6"/>
      <c r="M606" s="6"/>
    </row>
    <row r="607" spans="9:13" ht="15.75" customHeight="1" x14ac:dyDescent="0.25">
      <c r="I607" s="6"/>
      <c r="M607" s="6"/>
    </row>
    <row r="608" spans="9:13" ht="15.75" customHeight="1" x14ac:dyDescent="0.25">
      <c r="I608" s="6"/>
      <c r="M608" s="6"/>
    </row>
    <row r="609" spans="9:13" ht="15.75" customHeight="1" x14ac:dyDescent="0.25">
      <c r="I609" s="6"/>
      <c r="M609" s="6"/>
    </row>
    <row r="610" spans="9:13" ht="15.75" customHeight="1" x14ac:dyDescent="0.25">
      <c r="I610" s="6"/>
      <c r="M610" s="6"/>
    </row>
    <row r="611" spans="9:13" ht="15.75" customHeight="1" x14ac:dyDescent="0.25">
      <c r="I611" s="6"/>
      <c r="M611" s="6"/>
    </row>
    <row r="612" spans="9:13" ht="15.75" customHeight="1" x14ac:dyDescent="0.25">
      <c r="I612" s="6"/>
      <c r="M612" s="6"/>
    </row>
    <row r="613" spans="9:13" ht="15.75" customHeight="1" x14ac:dyDescent="0.25">
      <c r="I613" s="6"/>
      <c r="M613" s="6"/>
    </row>
    <row r="614" spans="9:13" ht="15.75" customHeight="1" x14ac:dyDescent="0.25">
      <c r="I614" s="6"/>
      <c r="M614" s="6"/>
    </row>
    <row r="615" spans="9:13" ht="15.75" customHeight="1" x14ac:dyDescent="0.25">
      <c r="I615" s="6"/>
      <c r="M615" s="6"/>
    </row>
    <row r="616" spans="9:13" ht="15.75" customHeight="1" x14ac:dyDescent="0.25">
      <c r="I616" s="6"/>
      <c r="M616" s="6"/>
    </row>
    <row r="617" spans="9:13" ht="15.75" customHeight="1" x14ac:dyDescent="0.25">
      <c r="I617" s="6"/>
      <c r="M617" s="6"/>
    </row>
    <row r="618" spans="9:13" ht="15.75" customHeight="1" x14ac:dyDescent="0.25">
      <c r="I618" s="6"/>
      <c r="M618" s="6"/>
    </row>
    <row r="619" spans="9:13" ht="15.75" customHeight="1" x14ac:dyDescent="0.25">
      <c r="I619" s="6"/>
      <c r="M619" s="6"/>
    </row>
    <row r="620" spans="9:13" ht="15.75" customHeight="1" x14ac:dyDescent="0.25">
      <c r="I620" s="6"/>
      <c r="M620" s="6"/>
    </row>
    <row r="621" spans="9:13" ht="15.75" customHeight="1" x14ac:dyDescent="0.25">
      <c r="I621" s="6"/>
      <c r="M621" s="6"/>
    </row>
    <row r="622" spans="9:13" ht="15.75" customHeight="1" x14ac:dyDescent="0.25">
      <c r="I622" s="6"/>
      <c r="M622" s="6"/>
    </row>
    <row r="623" spans="9:13" ht="15.75" customHeight="1" x14ac:dyDescent="0.25">
      <c r="I623" s="6"/>
      <c r="M623" s="6"/>
    </row>
    <row r="624" spans="9:13" ht="15.75" customHeight="1" x14ac:dyDescent="0.25">
      <c r="I624" s="6"/>
      <c r="M624" s="6"/>
    </row>
    <row r="625" spans="9:13" ht="15.75" customHeight="1" x14ac:dyDescent="0.25">
      <c r="I625" s="6"/>
      <c r="M625" s="6"/>
    </row>
    <row r="626" spans="9:13" ht="15.75" customHeight="1" x14ac:dyDescent="0.25">
      <c r="I626" s="6"/>
      <c r="M626" s="6"/>
    </row>
    <row r="627" spans="9:13" ht="15.75" customHeight="1" x14ac:dyDescent="0.25">
      <c r="I627" s="6"/>
      <c r="M627" s="6"/>
    </row>
    <row r="628" spans="9:13" ht="15.75" customHeight="1" x14ac:dyDescent="0.25">
      <c r="I628" s="6"/>
      <c r="M628" s="6"/>
    </row>
    <row r="629" spans="9:13" ht="15.75" customHeight="1" x14ac:dyDescent="0.25">
      <c r="I629" s="6"/>
      <c r="M629" s="6"/>
    </row>
    <row r="630" spans="9:13" ht="15.75" customHeight="1" x14ac:dyDescent="0.25">
      <c r="I630" s="6"/>
      <c r="M630" s="6"/>
    </row>
    <row r="631" spans="9:13" ht="15.75" customHeight="1" x14ac:dyDescent="0.25">
      <c r="I631" s="6"/>
      <c r="M631" s="6"/>
    </row>
    <row r="632" spans="9:13" ht="15.75" customHeight="1" x14ac:dyDescent="0.25">
      <c r="I632" s="6"/>
      <c r="M632" s="6"/>
    </row>
    <row r="633" spans="9:13" ht="15.75" customHeight="1" x14ac:dyDescent="0.25">
      <c r="I633" s="6"/>
      <c r="M633" s="6"/>
    </row>
    <row r="634" spans="9:13" ht="15.75" customHeight="1" x14ac:dyDescent="0.25">
      <c r="I634" s="6"/>
      <c r="M634" s="6"/>
    </row>
    <row r="635" spans="9:13" ht="15.75" customHeight="1" x14ac:dyDescent="0.25">
      <c r="I635" s="6"/>
      <c r="M635" s="6"/>
    </row>
    <row r="636" spans="9:13" ht="15.75" customHeight="1" x14ac:dyDescent="0.25">
      <c r="I636" s="6"/>
      <c r="M636" s="6"/>
    </row>
    <row r="637" spans="9:13" ht="15.75" customHeight="1" x14ac:dyDescent="0.25">
      <c r="I637" s="6"/>
      <c r="M637" s="6"/>
    </row>
    <row r="638" spans="9:13" ht="15.75" customHeight="1" x14ac:dyDescent="0.25">
      <c r="I638" s="6"/>
      <c r="M638" s="6"/>
    </row>
    <row r="639" spans="9:13" ht="15.75" customHeight="1" x14ac:dyDescent="0.25">
      <c r="I639" s="6"/>
      <c r="M639" s="6"/>
    </row>
    <row r="640" spans="9:13" ht="15.75" customHeight="1" x14ac:dyDescent="0.25">
      <c r="I640" s="6"/>
      <c r="M640" s="6"/>
    </row>
    <row r="641" spans="9:13" ht="15.75" customHeight="1" x14ac:dyDescent="0.25">
      <c r="I641" s="6"/>
      <c r="M641" s="6"/>
    </row>
    <row r="642" spans="9:13" ht="15.75" customHeight="1" x14ac:dyDescent="0.25">
      <c r="I642" s="6"/>
      <c r="M642" s="6"/>
    </row>
    <row r="643" spans="9:13" ht="15.75" customHeight="1" x14ac:dyDescent="0.25">
      <c r="I643" s="6"/>
      <c r="M643" s="6"/>
    </row>
    <row r="644" spans="9:13" ht="15.75" customHeight="1" x14ac:dyDescent="0.25">
      <c r="I644" s="6"/>
      <c r="M644" s="6"/>
    </row>
    <row r="645" spans="9:13" ht="15.75" customHeight="1" x14ac:dyDescent="0.25">
      <c r="I645" s="6"/>
      <c r="M645" s="6"/>
    </row>
    <row r="646" spans="9:13" ht="15.75" customHeight="1" x14ac:dyDescent="0.25">
      <c r="I646" s="6"/>
      <c r="M646" s="6"/>
    </row>
    <row r="647" spans="9:13" ht="15.75" customHeight="1" x14ac:dyDescent="0.25">
      <c r="I647" s="6"/>
      <c r="M647" s="6"/>
    </row>
    <row r="648" spans="9:13" ht="15.75" customHeight="1" x14ac:dyDescent="0.25">
      <c r="I648" s="6"/>
      <c r="M648" s="6"/>
    </row>
    <row r="649" spans="9:13" ht="15.75" customHeight="1" x14ac:dyDescent="0.25">
      <c r="I649" s="6"/>
      <c r="M649" s="6"/>
    </row>
    <row r="650" spans="9:13" ht="15.75" customHeight="1" x14ac:dyDescent="0.25">
      <c r="I650" s="6"/>
      <c r="M650" s="6"/>
    </row>
    <row r="651" spans="9:13" ht="15.75" customHeight="1" x14ac:dyDescent="0.25">
      <c r="I651" s="6"/>
      <c r="M651" s="6"/>
    </row>
    <row r="652" spans="9:13" ht="15.75" customHeight="1" x14ac:dyDescent="0.25">
      <c r="I652" s="6"/>
      <c r="M652" s="6"/>
    </row>
    <row r="653" spans="9:13" ht="15.75" customHeight="1" x14ac:dyDescent="0.25">
      <c r="I653" s="6"/>
      <c r="M653" s="6"/>
    </row>
    <row r="654" spans="9:13" ht="15.75" customHeight="1" x14ac:dyDescent="0.25">
      <c r="I654" s="6"/>
      <c r="M654" s="6"/>
    </row>
    <row r="655" spans="9:13" ht="15.75" customHeight="1" x14ac:dyDescent="0.25">
      <c r="I655" s="6"/>
      <c r="M655" s="6"/>
    </row>
    <row r="656" spans="9:13" ht="15.75" customHeight="1" x14ac:dyDescent="0.25">
      <c r="I656" s="6"/>
      <c r="M656" s="6"/>
    </row>
    <row r="657" spans="9:13" ht="15.75" customHeight="1" x14ac:dyDescent="0.25">
      <c r="I657" s="6"/>
      <c r="M657" s="6"/>
    </row>
    <row r="658" spans="9:13" ht="15.75" customHeight="1" x14ac:dyDescent="0.25">
      <c r="I658" s="6"/>
      <c r="M658" s="6"/>
    </row>
    <row r="659" spans="9:13" ht="15.75" customHeight="1" x14ac:dyDescent="0.25">
      <c r="I659" s="6"/>
      <c r="M659" s="6"/>
    </row>
    <row r="660" spans="9:13" ht="15.75" customHeight="1" x14ac:dyDescent="0.25">
      <c r="I660" s="6"/>
      <c r="M660" s="6"/>
    </row>
    <row r="661" spans="9:13" ht="15.75" customHeight="1" x14ac:dyDescent="0.25">
      <c r="I661" s="6"/>
      <c r="M661" s="6"/>
    </row>
    <row r="662" spans="9:13" ht="15.75" customHeight="1" x14ac:dyDescent="0.25">
      <c r="I662" s="6"/>
      <c r="M662" s="6"/>
    </row>
    <row r="663" spans="9:13" ht="15.75" customHeight="1" x14ac:dyDescent="0.25">
      <c r="I663" s="6"/>
      <c r="M663" s="6"/>
    </row>
    <row r="664" spans="9:13" ht="15.75" customHeight="1" x14ac:dyDescent="0.25">
      <c r="I664" s="6"/>
      <c r="M664" s="6"/>
    </row>
    <row r="665" spans="9:13" ht="15.75" customHeight="1" x14ac:dyDescent="0.25">
      <c r="I665" s="6"/>
      <c r="M665" s="6"/>
    </row>
    <row r="666" spans="9:13" ht="15.75" customHeight="1" x14ac:dyDescent="0.25">
      <c r="I666" s="6"/>
      <c r="M666" s="6"/>
    </row>
    <row r="667" spans="9:13" ht="15.75" customHeight="1" x14ac:dyDescent="0.25">
      <c r="I667" s="6"/>
      <c r="M667" s="6"/>
    </row>
    <row r="668" spans="9:13" ht="15.75" customHeight="1" x14ac:dyDescent="0.25">
      <c r="I668" s="6"/>
      <c r="M668" s="6"/>
    </row>
    <row r="669" spans="9:13" ht="15.75" customHeight="1" x14ac:dyDescent="0.25">
      <c r="I669" s="6"/>
      <c r="M669" s="6"/>
    </row>
    <row r="670" spans="9:13" ht="15.75" customHeight="1" x14ac:dyDescent="0.25">
      <c r="I670" s="6"/>
      <c r="M670" s="6"/>
    </row>
    <row r="671" spans="9:13" ht="15.75" customHeight="1" x14ac:dyDescent="0.25">
      <c r="I671" s="6"/>
      <c r="M671" s="6"/>
    </row>
    <row r="672" spans="9:13" ht="15.75" customHeight="1" x14ac:dyDescent="0.25">
      <c r="I672" s="6"/>
      <c r="M672" s="6"/>
    </row>
    <row r="673" spans="9:13" ht="15.75" customHeight="1" x14ac:dyDescent="0.25">
      <c r="I673" s="6"/>
      <c r="M673" s="6"/>
    </row>
    <row r="674" spans="9:13" ht="15.75" customHeight="1" x14ac:dyDescent="0.25">
      <c r="I674" s="6"/>
      <c r="M674" s="6"/>
    </row>
    <row r="675" spans="9:13" ht="15.75" customHeight="1" x14ac:dyDescent="0.25">
      <c r="I675" s="6"/>
      <c r="M675" s="6"/>
    </row>
    <row r="676" spans="9:13" ht="15.75" customHeight="1" x14ac:dyDescent="0.25">
      <c r="I676" s="6"/>
      <c r="M676" s="6"/>
    </row>
    <row r="677" spans="9:13" ht="15.75" customHeight="1" x14ac:dyDescent="0.25">
      <c r="I677" s="6"/>
      <c r="M677" s="6"/>
    </row>
    <row r="678" spans="9:13" ht="15.75" customHeight="1" x14ac:dyDescent="0.25">
      <c r="I678" s="6"/>
      <c r="M678" s="6"/>
    </row>
    <row r="679" spans="9:13" ht="15.75" customHeight="1" x14ac:dyDescent="0.25">
      <c r="I679" s="6"/>
      <c r="M679" s="6"/>
    </row>
    <row r="680" spans="9:13" ht="15.75" customHeight="1" x14ac:dyDescent="0.25">
      <c r="I680" s="6"/>
      <c r="M680" s="6"/>
    </row>
    <row r="681" spans="9:13" ht="15.75" customHeight="1" x14ac:dyDescent="0.25">
      <c r="I681" s="6"/>
      <c r="M681" s="6"/>
    </row>
    <row r="682" spans="9:13" ht="15.75" customHeight="1" x14ac:dyDescent="0.25">
      <c r="I682" s="6"/>
      <c r="M682" s="6"/>
    </row>
    <row r="683" spans="9:13" ht="15.75" customHeight="1" x14ac:dyDescent="0.25">
      <c r="I683" s="6"/>
      <c r="M683" s="6"/>
    </row>
    <row r="684" spans="9:13" ht="15.75" customHeight="1" x14ac:dyDescent="0.25">
      <c r="I684" s="6"/>
      <c r="M684" s="6"/>
    </row>
    <row r="685" spans="9:13" ht="15.75" customHeight="1" x14ac:dyDescent="0.25">
      <c r="I685" s="6"/>
      <c r="M685" s="6"/>
    </row>
    <row r="686" spans="9:13" ht="15.75" customHeight="1" x14ac:dyDescent="0.25">
      <c r="I686" s="6"/>
      <c r="M686" s="6"/>
    </row>
    <row r="687" spans="9:13" ht="15.75" customHeight="1" x14ac:dyDescent="0.25">
      <c r="I687" s="6"/>
      <c r="M687" s="6"/>
    </row>
    <row r="688" spans="9:13" ht="15.75" customHeight="1" x14ac:dyDescent="0.25">
      <c r="I688" s="6"/>
      <c r="M688" s="6"/>
    </row>
    <row r="689" spans="9:13" ht="15.75" customHeight="1" x14ac:dyDescent="0.25">
      <c r="I689" s="6"/>
      <c r="M689" s="6"/>
    </row>
    <row r="690" spans="9:13" ht="15.75" customHeight="1" x14ac:dyDescent="0.25">
      <c r="I690" s="6"/>
      <c r="M690" s="6"/>
    </row>
    <row r="691" spans="9:13" ht="15.75" customHeight="1" x14ac:dyDescent="0.25">
      <c r="I691" s="6"/>
      <c r="M691" s="6"/>
    </row>
    <row r="692" spans="9:13" ht="15.75" customHeight="1" x14ac:dyDescent="0.25">
      <c r="I692" s="6"/>
      <c r="M692" s="6"/>
    </row>
    <row r="693" spans="9:13" ht="15.75" customHeight="1" x14ac:dyDescent="0.25">
      <c r="I693" s="6"/>
      <c r="M693" s="6"/>
    </row>
    <row r="694" spans="9:13" ht="15.75" customHeight="1" x14ac:dyDescent="0.25">
      <c r="I694" s="6"/>
      <c r="M694" s="6"/>
    </row>
    <row r="695" spans="9:13" ht="15.75" customHeight="1" x14ac:dyDescent="0.25">
      <c r="I695" s="6"/>
      <c r="M695" s="6"/>
    </row>
    <row r="696" spans="9:13" ht="15.75" customHeight="1" x14ac:dyDescent="0.25">
      <c r="I696" s="6"/>
      <c r="M696" s="6"/>
    </row>
    <row r="697" spans="9:13" ht="15.75" customHeight="1" x14ac:dyDescent="0.25">
      <c r="I697" s="6"/>
      <c r="M697" s="6"/>
    </row>
    <row r="698" spans="9:13" ht="15.75" customHeight="1" x14ac:dyDescent="0.25">
      <c r="I698" s="6"/>
      <c r="M698" s="6"/>
    </row>
    <row r="699" spans="9:13" ht="15.75" customHeight="1" x14ac:dyDescent="0.25">
      <c r="I699" s="6"/>
      <c r="M699" s="6"/>
    </row>
    <row r="700" spans="9:13" ht="15.75" customHeight="1" x14ac:dyDescent="0.25">
      <c r="I700" s="6"/>
      <c r="M700" s="6"/>
    </row>
    <row r="701" spans="9:13" ht="15.75" customHeight="1" x14ac:dyDescent="0.25">
      <c r="I701" s="6"/>
      <c r="M701" s="6"/>
    </row>
    <row r="702" spans="9:13" ht="15.75" customHeight="1" x14ac:dyDescent="0.25">
      <c r="I702" s="6"/>
      <c r="M702" s="6"/>
    </row>
    <row r="703" spans="9:13" ht="15.75" customHeight="1" x14ac:dyDescent="0.25">
      <c r="I703" s="6"/>
      <c r="M703" s="6"/>
    </row>
    <row r="704" spans="9:13" ht="15.75" customHeight="1" x14ac:dyDescent="0.25">
      <c r="I704" s="6"/>
      <c r="M704" s="6"/>
    </row>
    <row r="705" spans="9:13" ht="15.75" customHeight="1" x14ac:dyDescent="0.25">
      <c r="I705" s="6"/>
      <c r="M705" s="6"/>
    </row>
    <row r="706" spans="9:13" ht="15.75" customHeight="1" x14ac:dyDescent="0.25">
      <c r="I706" s="6"/>
      <c r="M706" s="6"/>
    </row>
    <row r="707" spans="9:13" ht="15.75" customHeight="1" x14ac:dyDescent="0.25">
      <c r="I707" s="6"/>
      <c r="M707" s="6"/>
    </row>
    <row r="708" spans="9:13" ht="15.75" customHeight="1" x14ac:dyDescent="0.25">
      <c r="I708" s="6"/>
      <c r="M708" s="6"/>
    </row>
    <row r="709" spans="9:13" ht="15.75" customHeight="1" x14ac:dyDescent="0.25">
      <c r="I709" s="6"/>
      <c r="M709" s="6"/>
    </row>
    <row r="710" spans="9:13" ht="15.75" customHeight="1" x14ac:dyDescent="0.25">
      <c r="I710" s="6"/>
      <c r="M710" s="6"/>
    </row>
    <row r="711" spans="9:13" ht="15.75" customHeight="1" x14ac:dyDescent="0.25">
      <c r="I711" s="6"/>
      <c r="M711" s="6"/>
    </row>
    <row r="712" spans="9:13" ht="15.75" customHeight="1" x14ac:dyDescent="0.25">
      <c r="I712" s="6"/>
      <c r="M712" s="6"/>
    </row>
    <row r="713" spans="9:13" ht="15.75" customHeight="1" x14ac:dyDescent="0.25">
      <c r="I713" s="6"/>
      <c r="M713" s="6"/>
    </row>
    <row r="714" spans="9:13" ht="15.75" customHeight="1" x14ac:dyDescent="0.25">
      <c r="I714" s="6"/>
      <c r="M714" s="6"/>
    </row>
    <row r="715" spans="9:13" ht="15.75" customHeight="1" x14ac:dyDescent="0.25">
      <c r="I715" s="6"/>
      <c r="M715" s="6"/>
    </row>
    <row r="716" spans="9:13" ht="15.75" customHeight="1" x14ac:dyDescent="0.25">
      <c r="I716" s="6"/>
      <c r="M716" s="6"/>
    </row>
    <row r="717" spans="9:13" ht="15.75" customHeight="1" x14ac:dyDescent="0.25">
      <c r="I717" s="6"/>
      <c r="M717" s="6"/>
    </row>
    <row r="718" spans="9:13" ht="15.75" customHeight="1" x14ac:dyDescent="0.25">
      <c r="I718" s="6"/>
      <c r="M718" s="6"/>
    </row>
    <row r="719" spans="9:13" ht="15.75" customHeight="1" x14ac:dyDescent="0.25">
      <c r="I719" s="6"/>
      <c r="M719" s="6"/>
    </row>
    <row r="720" spans="9:13" ht="15.75" customHeight="1" x14ac:dyDescent="0.25">
      <c r="I720" s="6"/>
      <c r="M720" s="6"/>
    </row>
    <row r="721" spans="9:13" ht="15.75" customHeight="1" x14ac:dyDescent="0.25">
      <c r="I721" s="6"/>
      <c r="M721" s="6"/>
    </row>
    <row r="722" spans="9:13" ht="15.75" customHeight="1" x14ac:dyDescent="0.25">
      <c r="I722" s="6"/>
      <c r="M722" s="6"/>
    </row>
    <row r="723" spans="9:13" ht="15.75" customHeight="1" x14ac:dyDescent="0.25">
      <c r="I723" s="6"/>
      <c r="M723" s="6"/>
    </row>
    <row r="724" spans="9:13" ht="15.75" customHeight="1" x14ac:dyDescent="0.25">
      <c r="I724" s="6"/>
      <c r="M724" s="6"/>
    </row>
    <row r="725" spans="9:13" ht="15.75" customHeight="1" x14ac:dyDescent="0.25">
      <c r="I725" s="6"/>
      <c r="M725" s="6"/>
    </row>
    <row r="726" spans="9:13" ht="15.75" customHeight="1" x14ac:dyDescent="0.25">
      <c r="I726" s="6"/>
      <c r="M726" s="6"/>
    </row>
    <row r="727" spans="9:13" ht="15.75" customHeight="1" x14ac:dyDescent="0.25">
      <c r="I727" s="6"/>
      <c r="M727" s="6"/>
    </row>
    <row r="728" spans="9:13" ht="15.75" customHeight="1" x14ac:dyDescent="0.25">
      <c r="I728" s="6"/>
      <c r="M728" s="6"/>
    </row>
    <row r="729" spans="9:13" ht="15.75" customHeight="1" x14ac:dyDescent="0.25">
      <c r="I729" s="6"/>
      <c r="M729" s="6"/>
    </row>
    <row r="730" spans="9:13" ht="15.75" customHeight="1" x14ac:dyDescent="0.25">
      <c r="I730" s="6"/>
      <c r="M730" s="6"/>
    </row>
    <row r="731" spans="9:13" ht="15.75" customHeight="1" x14ac:dyDescent="0.25">
      <c r="I731" s="6"/>
      <c r="M731" s="6"/>
    </row>
    <row r="732" spans="9:13" ht="15.75" customHeight="1" x14ac:dyDescent="0.25">
      <c r="I732" s="6"/>
      <c r="M732" s="6"/>
    </row>
    <row r="733" spans="9:13" ht="15.75" customHeight="1" x14ac:dyDescent="0.25">
      <c r="I733" s="6"/>
      <c r="M733" s="6"/>
    </row>
    <row r="734" spans="9:13" ht="15.75" customHeight="1" x14ac:dyDescent="0.25">
      <c r="I734" s="6"/>
      <c r="M734" s="6"/>
    </row>
    <row r="735" spans="9:13" ht="15.75" customHeight="1" x14ac:dyDescent="0.25">
      <c r="I735" s="6"/>
      <c r="M735" s="6"/>
    </row>
    <row r="736" spans="9:13" ht="15.75" customHeight="1" x14ac:dyDescent="0.25">
      <c r="I736" s="6"/>
      <c r="M736" s="6"/>
    </row>
    <row r="737" spans="9:13" ht="15.75" customHeight="1" x14ac:dyDescent="0.25">
      <c r="I737" s="6"/>
      <c r="M737" s="6"/>
    </row>
    <row r="738" spans="9:13" ht="15.75" customHeight="1" x14ac:dyDescent="0.25">
      <c r="I738" s="6"/>
      <c r="M738" s="6"/>
    </row>
    <row r="739" spans="9:13" ht="15.75" customHeight="1" x14ac:dyDescent="0.25">
      <c r="I739" s="6"/>
      <c r="M739" s="6"/>
    </row>
    <row r="740" spans="9:13" ht="15.75" customHeight="1" x14ac:dyDescent="0.25">
      <c r="I740" s="6"/>
      <c r="M740" s="6"/>
    </row>
    <row r="741" spans="9:13" ht="15.75" customHeight="1" x14ac:dyDescent="0.25">
      <c r="I741" s="6"/>
      <c r="M741" s="6"/>
    </row>
    <row r="742" spans="9:13" ht="15.75" customHeight="1" x14ac:dyDescent="0.25">
      <c r="I742" s="6"/>
      <c r="M742" s="6"/>
    </row>
    <row r="743" spans="9:13" ht="15.75" customHeight="1" x14ac:dyDescent="0.25">
      <c r="I743" s="6"/>
      <c r="M743" s="6"/>
    </row>
    <row r="744" spans="9:13" ht="15.75" customHeight="1" x14ac:dyDescent="0.25">
      <c r="I744" s="6"/>
      <c r="M744" s="6"/>
    </row>
    <row r="745" spans="9:13" ht="15.75" customHeight="1" x14ac:dyDescent="0.25">
      <c r="I745" s="6"/>
      <c r="M745" s="6"/>
    </row>
    <row r="746" spans="9:13" ht="15.75" customHeight="1" x14ac:dyDescent="0.25">
      <c r="I746" s="6"/>
      <c r="M746" s="6"/>
    </row>
    <row r="747" spans="9:13" ht="15.75" customHeight="1" x14ac:dyDescent="0.25">
      <c r="I747" s="6"/>
      <c r="M747" s="6"/>
    </row>
    <row r="748" spans="9:13" ht="15.75" customHeight="1" x14ac:dyDescent="0.25">
      <c r="I748" s="6"/>
      <c r="M748" s="6"/>
    </row>
    <row r="749" spans="9:13" ht="15.75" customHeight="1" x14ac:dyDescent="0.25">
      <c r="I749" s="6"/>
      <c r="M749" s="6"/>
    </row>
    <row r="750" spans="9:13" ht="15.75" customHeight="1" x14ac:dyDescent="0.25">
      <c r="I750" s="6"/>
      <c r="M750" s="6"/>
    </row>
    <row r="751" spans="9:13" ht="15.75" customHeight="1" x14ac:dyDescent="0.25">
      <c r="I751" s="6"/>
      <c r="M751" s="6"/>
    </row>
    <row r="752" spans="9:13" ht="15.75" customHeight="1" x14ac:dyDescent="0.25">
      <c r="I752" s="6"/>
      <c r="M752" s="6"/>
    </row>
    <row r="753" spans="9:13" ht="15.75" customHeight="1" x14ac:dyDescent="0.25">
      <c r="I753" s="6"/>
      <c r="M753" s="6"/>
    </row>
    <row r="754" spans="9:13" ht="15.75" customHeight="1" x14ac:dyDescent="0.25">
      <c r="I754" s="6"/>
      <c r="M754" s="6"/>
    </row>
    <row r="755" spans="9:13" ht="15.75" customHeight="1" x14ac:dyDescent="0.25">
      <c r="I755" s="6"/>
      <c r="M755" s="6"/>
    </row>
    <row r="756" spans="9:13" ht="15.75" customHeight="1" x14ac:dyDescent="0.25">
      <c r="I756" s="6"/>
      <c r="M756" s="6"/>
    </row>
    <row r="757" spans="9:13" ht="15.75" customHeight="1" x14ac:dyDescent="0.25">
      <c r="I757" s="6"/>
      <c r="M757" s="6"/>
    </row>
    <row r="758" spans="9:13" ht="15.75" customHeight="1" x14ac:dyDescent="0.25">
      <c r="I758" s="6"/>
      <c r="M758" s="6"/>
    </row>
    <row r="759" spans="9:13" ht="15.75" customHeight="1" x14ac:dyDescent="0.25">
      <c r="I759" s="6"/>
      <c r="M759" s="6"/>
    </row>
    <row r="760" spans="9:13" ht="15.75" customHeight="1" x14ac:dyDescent="0.25">
      <c r="I760" s="6"/>
      <c r="M760" s="6"/>
    </row>
    <row r="761" spans="9:13" ht="15.75" customHeight="1" x14ac:dyDescent="0.25">
      <c r="I761" s="6"/>
      <c r="M761" s="6"/>
    </row>
    <row r="762" spans="9:13" ht="15.75" customHeight="1" x14ac:dyDescent="0.25">
      <c r="I762" s="6"/>
      <c r="M762" s="6"/>
    </row>
    <row r="763" spans="9:13" ht="15.75" customHeight="1" x14ac:dyDescent="0.25">
      <c r="I763" s="6"/>
      <c r="M763" s="6"/>
    </row>
    <row r="764" spans="9:13" ht="15.75" customHeight="1" x14ac:dyDescent="0.25">
      <c r="I764" s="6"/>
      <c r="M764" s="6"/>
    </row>
    <row r="765" spans="9:13" ht="15.75" customHeight="1" x14ac:dyDescent="0.25">
      <c r="I765" s="6"/>
      <c r="M765" s="6"/>
    </row>
    <row r="766" spans="9:13" ht="15.75" customHeight="1" x14ac:dyDescent="0.25">
      <c r="I766" s="6"/>
      <c r="M766" s="6"/>
    </row>
    <row r="767" spans="9:13" ht="15.75" customHeight="1" x14ac:dyDescent="0.25">
      <c r="I767" s="6"/>
      <c r="M767" s="6"/>
    </row>
    <row r="768" spans="9:13" ht="15.75" customHeight="1" x14ac:dyDescent="0.25">
      <c r="I768" s="6"/>
      <c r="M768" s="6"/>
    </row>
    <row r="769" spans="9:13" ht="15.75" customHeight="1" x14ac:dyDescent="0.25">
      <c r="I769" s="6"/>
      <c r="M769" s="6"/>
    </row>
    <row r="770" spans="9:13" ht="15.75" customHeight="1" x14ac:dyDescent="0.25">
      <c r="I770" s="6"/>
      <c r="M770" s="6"/>
    </row>
    <row r="771" spans="9:13" ht="15.75" customHeight="1" x14ac:dyDescent="0.25">
      <c r="I771" s="6"/>
      <c r="M771" s="6"/>
    </row>
    <row r="772" spans="9:13" ht="15.75" customHeight="1" x14ac:dyDescent="0.25">
      <c r="I772" s="6"/>
      <c r="M772" s="6"/>
    </row>
    <row r="773" spans="9:13" ht="15.75" customHeight="1" x14ac:dyDescent="0.25">
      <c r="I773" s="6"/>
      <c r="M773" s="6"/>
    </row>
    <row r="774" spans="9:13" ht="15.75" customHeight="1" x14ac:dyDescent="0.25">
      <c r="I774" s="6"/>
      <c r="M774" s="6"/>
    </row>
    <row r="775" spans="9:13" ht="15.75" customHeight="1" x14ac:dyDescent="0.25">
      <c r="I775" s="6"/>
      <c r="M775" s="6"/>
    </row>
    <row r="776" spans="9:13" ht="15.75" customHeight="1" x14ac:dyDescent="0.25">
      <c r="I776" s="6"/>
      <c r="M776" s="6"/>
    </row>
    <row r="777" spans="9:13" ht="15.75" customHeight="1" x14ac:dyDescent="0.25">
      <c r="I777" s="6"/>
      <c r="M777" s="6"/>
    </row>
    <row r="778" spans="9:13" ht="15.75" customHeight="1" x14ac:dyDescent="0.25">
      <c r="I778" s="6"/>
      <c r="M778" s="6"/>
    </row>
    <row r="779" spans="9:13" ht="15.75" customHeight="1" x14ac:dyDescent="0.25">
      <c r="I779" s="6"/>
      <c r="M779" s="6"/>
    </row>
    <row r="780" spans="9:13" ht="15.75" customHeight="1" x14ac:dyDescent="0.25">
      <c r="I780" s="6"/>
      <c r="M780" s="6"/>
    </row>
    <row r="781" spans="9:13" ht="15.75" customHeight="1" x14ac:dyDescent="0.25">
      <c r="I781" s="6"/>
      <c r="M781" s="6"/>
    </row>
    <row r="782" spans="9:13" ht="15.75" customHeight="1" x14ac:dyDescent="0.25">
      <c r="I782" s="6"/>
      <c r="M782" s="6"/>
    </row>
    <row r="783" spans="9:13" ht="15.75" customHeight="1" x14ac:dyDescent="0.25">
      <c r="I783" s="6"/>
      <c r="M783" s="6"/>
    </row>
    <row r="784" spans="9:13" ht="15.75" customHeight="1" x14ac:dyDescent="0.25">
      <c r="I784" s="6"/>
      <c r="M784" s="6"/>
    </row>
    <row r="785" spans="9:13" ht="15.75" customHeight="1" x14ac:dyDescent="0.25">
      <c r="I785" s="6"/>
      <c r="M785" s="6"/>
    </row>
    <row r="786" spans="9:13" ht="15.75" customHeight="1" x14ac:dyDescent="0.25">
      <c r="I786" s="6"/>
      <c r="M786" s="6"/>
    </row>
    <row r="787" spans="9:13" ht="15.75" customHeight="1" x14ac:dyDescent="0.25">
      <c r="I787" s="6"/>
      <c r="M787" s="6"/>
    </row>
    <row r="788" spans="9:13" ht="15.75" customHeight="1" x14ac:dyDescent="0.25">
      <c r="I788" s="6"/>
      <c r="M788" s="6"/>
    </row>
    <row r="789" spans="9:13" ht="15.75" customHeight="1" x14ac:dyDescent="0.25">
      <c r="I789" s="6"/>
      <c r="M789" s="6"/>
    </row>
    <row r="790" spans="9:13" ht="15.75" customHeight="1" x14ac:dyDescent="0.25">
      <c r="I790" s="6"/>
      <c r="M790" s="6"/>
    </row>
    <row r="791" spans="9:13" ht="15.75" customHeight="1" x14ac:dyDescent="0.25">
      <c r="I791" s="6"/>
      <c r="M791" s="6"/>
    </row>
    <row r="792" spans="9:13" ht="15.75" customHeight="1" x14ac:dyDescent="0.25">
      <c r="I792" s="6"/>
      <c r="M792" s="6"/>
    </row>
    <row r="793" spans="9:13" ht="15.75" customHeight="1" x14ac:dyDescent="0.25">
      <c r="I793" s="6"/>
      <c r="M793" s="6"/>
    </row>
    <row r="794" spans="9:13" ht="15.75" customHeight="1" x14ac:dyDescent="0.25">
      <c r="I794" s="6"/>
      <c r="M794" s="6"/>
    </row>
    <row r="795" spans="9:13" ht="15.75" customHeight="1" x14ac:dyDescent="0.25">
      <c r="I795" s="6"/>
      <c r="M795" s="6"/>
    </row>
    <row r="796" spans="9:13" ht="15.75" customHeight="1" x14ac:dyDescent="0.25">
      <c r="I796" s="6"/>
      <c r="M796" s="6"/>
    </row>
    <row r="797" spans="9:13" ht="15.75" customHeight="1" x14ac:dyDescent="0.25">
      <c r="I797" s="6"/>
      <c r="M797" s="6"/>
    </row>
    <row r="798" spans="9:13" ht="15.75" customHeight="1" x14ac:dyDescent="0.25">
      <c r="I798" s="6"/>
      <c r="M798" s="6"/>
    </row>
    <row r="799" spans="9:13" ht="15.75" customHeight="1" x14ac:dyDescent="0.25">
      <c r="I799" s="6"/>
      <c r="M799" s="6"/>
    </row>
    <row r="800" spans="9:13" ht="15.75" customHeight="1" x14ac:dyDescent="0.25">
      <c r="I800" s="6"/>
      <c r="M800" s="6"/>
    </row>
    <row r="801" spans="9:13" ht="15.75" customHeight="1" x14ac:dyDescent="0.25">
      <c r="I801" s="6"/>
      <c r="M801" s="6"/>
    </row>
    <row r="802" spans="9:13" ht="15.75" customHeight="1" x14ac:dyDescent="0.25">
      <c r="I802" s="6"/>
      <c r="M802" s="6"/>
    </row>
    <row r="803" spans="9:13" ht="15.75" customHeight="1" x14ac:dyDescent="0.25">
      <c r="I803" s="6"/>
      <c r="M803" s="6"/>
    </row>
    <row r="804" spans="9:13" ht="15.75" customHeight="1" x14ac:dyDescent="0.25">
      <c r="I804" s="6"/>
      <c r="M804" s="6"/>
    </row>
    <row r="805" spans="9:13" ht="15.75" customHeight="1" x14ac:dyDescent="0.25">
      <c r="I805" s="6"/>
      <c r="M805" s="6"/>
    </row>
    <row r="806" spans="9:13" ht="15.75" customHeight="1" x14ac:dyDescent="0.25">
      <c r="I806" s="6"/>
      <c r="M806" s="6"/>
    </row>
    <row r="807" spans="9:13" ht="15.75" customHeight="1" x14ac:dyDescent="0.25">
      <c r="I807" s="6"/>
      <c r="M807" s="6"/>
    </row>
    <row r="808" spans="9:13" ht="15.75" customHeight="1" x14ac:dyDescent="0.25">
      <c r="I808" s="6"/>
      <c r="M808" s="6"/>
    </row>
    <row r="809" spans="9:13" ht="15.75" customHeight="1" x14ac:dyDescent="0.25">
      <c r="I809" s="6"/>
      <c r="M809" s="6"/>
    </row>
    <row r="810" spans="9:13" ht="15.75" customHeight="1" x14ac:dyDescent="0.25">
      <c r="I810" s="6"/>
      <c r="M810" s="6"/>
    </row>
    <row r="811" spans="9:13" ht="15.75" customHeight="1" x14ac:dyDescent="0.25">
      <c r="I811" s="6"/>
      <c r="M811" s="6"/>
    </row>
    <row r="812" spans="9:13" ht="15.75" customHeight="1" x14ac:dyDescent="0.25">
      <c r="I812" s="6"/>
      <c r="M812" s="6"/>
    </row>
    <row r="813" spans="9:13" ht="15.75" customHeight="1" x14ac:dyDescent="0.25">
      <c r="I813" s="6"/>
      <c r="M813" s="6"/>
    </row>
    <row r="814" spans="9:13" ht="15.75" customHeight="1" x14ac:dyDescent="0.25">
      <c r="I814" s="6"/>
      <c r="M814" s="6"/>
    </row>
    <row r="815" spans="9:13" ht="15.75" customHeight="1" x14ac:dyDescent="0.25">
      <c r="I815" s="6"/>
      <c r="M815" s="6"/>
    </row>
    <row r="816" spans="9:13" ht="15.75" customHeight="1" x14ac:dyDescent="0.25">
      <c r="I816" s="6"/>
      <c r="M816" s="6"/>
    </row>
    <row r="817" spans="9:13" ht="15.75" customHeight="1" x14ac:dyDescent="0.25">
      <c r="I817" s="6"/>
      <c r="M817" s="6"/>
    </row>
    <row r="818" spans="9:13" ht="15.75" customHeight="1" x14ac:dyDescent="0.25">
      <c r="I818" s="6"/>
      <c r="M818" s="6"/>
    </row>
    <row r="819" spans="9:13" ht="15.75" customHeight="1" x14ac:dyDescent="0.25">
      <c r="I819" s="6"/>
      <c r="M819" s="6"/>
    </row>
    <row r="820" spans="9:13" ht="15.75" customHeight="1" x14ac:dyDescent="0.25">
      <c r="I820" s="6"/>
      <c r="M820" s="6"/>
    </row>
    <row r="821" spans="9:13" ht="15.75" customHeight="1" x14ac:dyDescent="0.25">
      <c r="I821" s="6"/>
      <c r="M821" s="6"/>
    </row>
    <row r="822" spans="9:13" ht="15.75" customHeight="1" x14ac:dyDescent="0.25">
      <c r="I822" s="6"/>
      <c r="M822" s="6"/>
    </row>
    <row r="823" spans="9:13" ht="15.75" customHeight="1" x14ac:dyDescent="0.25">
      <c r="I823" s="6"/>
      <c r="M823" s="6"/>
    </row>
    <row r="824" spans="9:13" ht="15.75" customHeight="1" x14ac:dyDescent="0.25">
      <c r="I824" s="6"/>
      <c r="M824" s="6"/>
    </row>
    <row r="825" spans="9:13" ht="15.75" customHeight="1" x14ac:dyDescent="0.25">
      <c r="I825" s="6"/>
      <c r="M825" s="6"/>
    </row>
    <row r="826" spans="9:13" ht="15.75" customHeight="1" x14ac:dyDescent="0.25">
      <c r="I826" s="6"/>
      <c r="M826" s="6"/>
    </row>
    <row r="827" spans="9:13" ht="15.75" customHeight="1" x14ac:dyDescent="0.25">
      <c r="I827" s="6"/>
      <c r="M827" s="6"/>
    </row>
    <row r="828" spans="9:13" ht="15.75" customHeight="1" x14ac:dyDescent="0.25">
      <c r="I828" s="6"/>
      <c r="M828" s="6"/>
    </row>
    <row r="829" spans="9:13" ht="15.75" customHeight="1" x14ac:dyDescent="0.25">
      <c r="I829" s="6"/>
      <c r="M829" s="6"/>
    </row>
    <row r="830" spans="9:13" ht="15.75" customHeight="1" x14ac:dyDescent="0.25">
      <c r="I830" s="6"/>
      <c r="M830" s="6"/>
    </row>
    <row r="831" spans="9:13" ht="15.75" customHeight="1" x14ac:dyDescent="0.25">
      <c r="I831" s="6"/>
      <c r="M831" s="6"/>
    </row>
    <row r="832" spans="9:13" ht="15.75" customHeight="1" x14ac:dyDescent="0.25">
      <c r="I832" s="6"/>
      <c r="M832" s="6"/>
    </row>
    <row r="833" spans="9:13" ht="15.75" customHeight="1" x14ac:dyDescent="0.25">
      <c r="I833" s="6"/>
      <c r="M833" s="6"/>
    </row>
    <row r="834" spans="9:13" ht="15.75" customHeight="1" x14ac:dyDescent="0.25">
      <c r="I834" s="6"/>
      <c r="M834" s="6"/>
    </row>
    <row r="835" spans="9:13" ht="15.75" customHeight="1" x14ac:dyDescent="0.25">
      <c r="I835" s="6"/>
      <c r="M835" s="6"/>
    </row>
    <row r="836" spans="9:13" ht="15.75" customHeight="1" x14ac:dyDescent="0.25">
      <c r="I836" s="6"/>
      <c r="M836" s="6"/>
    </row>
    <row r="837" spans="9:13" ht="15.75" customHeight="1" x14ac:dyDescent="0.25">
      <c r="I837" s="6"/>
      <c r="M837" s="6"/>
    </row>
    <row r="838" spans="9:13" ht="15.75" customHeight="1" x14ac:dyDescent="0.25">
      <c r="I838" s="6"/>
      <c r="M838" s="6"/>
    </row>
    <row r="839" spans="9:13" ht="15.75" customHeight="1" x14ac:dyDescent="0.25">
      <c r="I839" s="6"/>
      <c r="M839" s="6"/>
    </row>
    <row r="840" spans="9:13" ht="15.75" customHeight="1" x14ac:dyDescent="0.25">
      <c r="I840" s="6"/>
      <c r="M840" s="6"/>
    </row>
    <row r="841" spans="9:13" ht="15.75" customHeight="1" x14ac:dyDescent="0.25">
      <c r="I841" s="6"/>
      <c r="M841" s="6"/>
    </row>
    <row r="842" spans="9:13" ht="15.75" customHeight="1" x14ac:dyDescent="0.25">
      <c r="I842" s="6"/>
      <c r="M842" s="6"/>
    </row>
    <row r="843" spans="9:13" ht="15.75" customHeight="1" x14ac:dyDescent="0.25">
      <c r="I843" s="6"/>
      <c r="M843" s="6"/>
    </row>
    <row r="844" spans="9:13" ht="15.75" customHeight="1" x14ac:dyDescent="0.25">
      <c r="I844" s="6"/>
      <c r="M844" s="6"/>
    </row>
    <row r="845" spans="9:13" ht="15.75" customHeight="1" x14ac:dyDescent="0.25">
      <c r="I845" s="6"/>
      <c r="M845" s="6"/>
    </row>
    <row r="846" spans="9:13" ht="15.75" customHeight="1" x14ac:dyDescent="0.25">
      <c r="I846" s="6"/>
      <c r="M846" s="6"/>
    </row>
    <row r="847" spans="9:13" ht="15.75" customHeight="1" x14ac:dyDescent="0.25">
      <c r="I847" s="6"/>
      <c r="M847" s="6"/>
    </row>
    <row r="848" spans="9:13" ht="15.75" customHeight="1" x14ac:dyDescent="0.25">
      <c r="I848" s="6"/>
      <c r="M848" s="6"/>
    </row>
    <row r="849" spans="9:13" ht="15.75" customHeight="1" x14ac:dyDescent="0.25">
      <c r="I849" s="6"/>
      <c r="M849" s="6"/>
    </row>
    <row r="850" spans="9:13" ht="15.75" customHeight="1" x14ac:dyDescent="0.25">
      <c r="I850" s="6"/>
      <c r="M850" s="6"/>
    </row>
    <row r="851" spans="9:13" ht="15.75" customHeight="1" x14ac:dyDescent="0.25">
      <c r="I851" s="6"/>
      <c r="M851" s="6"/>
    </row>
    <row r="852" spans="9:13" ht="15.75" customHeight="1" x14ac:dyDescent="0.25">
      <c r="I852" s="6"/>
      <c r="M852" s="6"/>
    </row>
    <row r="853" spans="9:13" ht="15.75" customHeight="1" x14ac:dyDescent="0.25">
      <c r="I853" s="6"/>
      <c r="M853" s="6"/>
    </row>
    <row r="854" spans="9:13" ht="15.75" customHeight="1" x14ac:dyDescent="0.25">
      <c r="I854" s="6"/>
      <c r="M854" s="6"/>
    </row>
    <row r="855" spans="9:13" ht="15.75" customHeight="1" x14ac:dyDescent="0.25">
      <c r="I855" s="6"/>
      <c r="M855" s="6"/>
    </row>
    <row r="856" spans="9:13" ht="15.75" customHeight="1" x14ac:dyDescent="0.25">
      <c r="I856" s="6"/>
      <c r="M856" s="6"/>
    </row>
    <row r="857" spans="9:13" ht="15.75" customHeight="1" x14ac:dyDescent="0.25">
      <c r="I857" s="6"/>
      <c r="M857" s="6"/>
    </row>
    <row r="858" spans="9:13" ht="15.75" customHeight="1" x14ac:dyDescent="0.25">
      <c r="I858" s="6"/>
      <c r="M858" s="6"/>
    </row>
    <row r="859" spans="9:13" ht="15.75" customHeight="1" x14ac:dyDescent="0.25">
      <c r="I859" s="6"/>
      <c r="M859" s="6"/>
    </row>
    <row r="860" spans="9:13" ht="15.75" customHeight="1" x14ac:dyDescent="0.25">
      <c r="I860" s="6"/>
      <c r="M860" s="6"/>
    </row>
    <row r="861" spans="9:13" ht="15.75" customHeight="1" x14ac:dyDescent="0.25">
      <c r="I861" s="6"/>
      <c r="M861" s="6"/>
    </row>
    <row r="862" spans="9:13" ht="15.75" customHeight="1" x14ac:dyDescent="0.25">
      <c r="I862" s="6"/>
      <c r="M862" s="6"/>
    </row>
    <row r="863" spans="9:13" ht="15.75" customHeight="1" x14ac:dyDescent="0.25">
      <c r="I863" s="6"/>
      <c r="M863" s="6"/>
    </row>
    <row r="864" spans="9:13" ht="15.75" customHeight="1" x14ac:dyDescent="0.25">
      <c r="I864" s="6"/>
      <c r="M864" s="6"/>
    </row>
    <row r="865" spans="9:13" ht="15.75" customHeight="1" x14ac:dyDescent="0.25">
      <c r="I865" s="6"/>
      <c r="M865" s="6"/>
    </row>
    <row r="866" spans="9:13" ht="15.75" customHeight="1" x14ac:dyDescent="0.25">
      <c r="I866" s="6"/>
      <c r="M866" s="6"/>
    </row>
    <row r="867" spans="9:13" ht="15.75" customHeight="1" x14ac:dyDescent="0.25">
      <c r="I867" s="6"/>
      <c r="M867" s="6"/>
    </row>
    <row r="868" spans="9:13" ht="15.75" customHeight="1" x14ac:dyDescent="0.25">
      <c r="I868" s="6"/>
      <c r="M868" s="6"/>
    </row>
    <row r="869" spans="9:13" ht="15.75" customHeight="1" x14ac:dyDescent="0.25">
      <c r="I869" s="6"/>
      <c r="M869" s="6"/>
    </row>
    <row r="870" spans="9:13" ht="15.75" customHeight="1" x14ac:dyDescent="0.25">
      <c r="I870" s="6"/>
      <c r="M870" s="6"/>
    </row>
    <row r="871" spans="9:13" ht="15.75" customHeight="1" x14ac:dyDescent="0.25">
      <c r="I871" s="6"/>
      <c r="M871" s="6"/>
    </row>
    <row r="872" spans="9:13" ht="15.75" customHeight="1" x14ac:dyDescent="0.25">
      <c r="I872" s="6"/>
      <c r="M872" s="6"/>
    </row>
    <row r="873" spans="9:13" ht="15.75" customHeight="1" x14ac:dyDescent="0.25">
      <c r="I873" s="6"/>
      <c r="M873" s="6"/>
    </row>
    <row r="874" spans="9:13" ht="15.75" customHeight="1" x14ac:dyDescent="0.25">
      <c r="I874" s="6"/>
      <c r="M874" s="6"/>
    </row>
    <row r="875" spans="9:13" ht="15.75" customHeight="1" x14ac:dyDescent="0.25">
      <c r="I875" s="6"/>
      <c r="M875" s="6"/>
    </row>
    <row r="876" spans="9:13" ht="15.75" customHeight="1" x14ac:dyDescent="0.25">
      <c r="I876" s="6"/>
      <c r="M876" s="6"/>
    </row>
    <row r="877" spans="9:13" ht="15.75" customHeight="1" x14ac:dyDescent="0.25">
      <c r="I877" s="6"/>
      <c r="M877" s="6"/>
    </row>
    <row r="878" spans="9:13" ht="15.75" customHeight="1" x14ac:dyDescent="0.25">
      <c r="I878" s="6"/>
      <c r="M878" s="6"/>
    </row>
    <row r="879" spans="9:13" ht="15.75" customHeight="1" x14ac:dyDescent="0.25">
      <c r="I879" s="6"/>
      <c r="M879" s="6"/>
    </row>
    <row r="880" spans="9:13" ht="15.75" customHeight="1" x14ac:dyDescent="0.25">
      <c r="I880" s="6"/>
      <c r="M880" s="6"/>
    </row>
    <row r="881" spans="9:13" ht="15.75" customHeight="1" x14ac:dyDescent="0.25">
      <c r="I881" s="6"/>
      <c r="M881" s="6"/>
    </row>
    <row r="882" spans="9:13" ht="15.75" customHeight="1" x14ac:dyDescent="0.25">
      <c r="I882" s="6"/>
      <c r="M882" s="6"/>
    </row>
    <row r="883" spans="9:13" ht="15.75" customHeight="1" x14ac:dyDescent="0.25">
      <c r="I883" s="6"/>
      <c r="M883" s="6"/>
    </row>
    <row r="884" spans="9:13" ht="15.75" customHeight="1" x14ac:dyDescent="0.25">
      <c r="I884" s="6"/>
      <c r="M884" s="6"/>
    </row>
    <row r="885" spans="9:13" ht="15.75" customHeight="1" x14ac:dyDescent="0.25">
      <c r="I885" s="6"/>
      <c r="M885" s="6"/>
    </row>
    <row r="886" spans="9:13" ht="15.75" customHeight="1" x14ac:dyDescent="0.25">
      <c r="I886" s="6"/>
      <c r="M886" s="6"/>
    </row>
    <row r="887" spans="9:13" ht="15.75" customHeight="1" x14ac:dyDescent="0.25">
      <c r="I887" s="6"/>
      <c r="M887" s="6"/>
    </row>
    <row r="888" spans="9:13" ht="15.75" customHeight="1" x14ac:dyDescent="0.25">
      <c r="I888" s="6"/>
      <c r="M888" s="6"/>
    </row>
    <row r="889" spans="9:13" ht="15.75" customHeight="1" x14ac:dyDescent="0.25">
      <c r="I889" s="6"/>
      <c r="M889" s="6"/>
    </row>
    <row r="890" spans="9:13" ht="15.75" customHeight="1" x14ac:dyDescent="0.25">
      <c r="I890" s="6"/>
      <c r="M890" s="6"/>
    </row>
    <row r="891" spans="9:13" ht="15.75" customHeight="1" x14ac:dyDescent="0.25">
      <c r="I891" s="6"/>
      <c r="M891" s="6"/>
    </row>
    <row r="892" spans="9:13" ht="15.75" customHeight="1" x14ac:dyDescent="0.25">
      <c r="I892" s="6"/>
      <c r="M892" s="6"/>
    </row>
    <row r="893" spans="9:13" ht="15.75" customHeight="1" x14ac:dyDescent="0.25">
      <c r="I893" s="6"/>
      <c r="M893" s="6"/>
    </row>
    <row r="894" spans="9:13" ht="15.75" customHeight="1" x14ac:dyDescent="0.25">
      <c r="I894" s="6"/>
      <c r="M894" s="6"/>
    </row>
    <row r="895" spans="9:13" ht="15.75" customHeight="1" x14ac:dyDescent="0.25">
      <c r="I895" s="6"/>
      <c r="M895" s="6"/>
    </row>
    <row r="896" spans="9:13" ht="15.75" customHeight="1" x14ac:dyDescent="0.25">
      <c r="I896" s="6"/>
      <c r="M896" s="6"/>
    </row>
    <row r="897" spans="9:13" ht="15.75" customHeight="1" x14ac:dyDescent="0.25">
      <c r="I897" s="6"/>
      <c r="M897" s="6"/>
    </row>
    <row r="898" spans="9:13" ht="15.75" customHeight="1" x14ac:dyDescent="0.25">
      <c r="I898" s="6"/>
      <c r="M898" s="6"/>
    </row>
    <row r="899" spans="9:13" ht="15.75" customHeight="1" x14ac:dyDescent="0.25">
      <c r="I899" s="6"/>
      <c r="M899" s="6"/>
    </row>
    <row r="900" spans="9:13" ht="15.75" customHeight="1" x14ac:dyDescent="0.25">
      <c r="I900" s="6"/>
      <c r="M900" s="6"/>
    </row>
    <row r="901" spans="9:13" ht="15.75" customHeight="1" x14ac:dyDescent="0.25">
      <c r="I901" s="6"/>
      <c r="M901" s="6"/>
    </row>
    <row r="902" spans="9:13" ht="15.75" customHeight="1" x14ac:dyDescent="0.25">
      <c r="I902" s="6"/>
      <c r="M902" s="6"/>
    </row>
    <row r="903" spans="9:13" ht="15.75" customHeight="1" x14ac:dyDescent="0.25">
      <c r="I903" s="6"/>
      <c r="M903" s="6"/>
    </row>
    <row r="904" spans="9:13" ht="15.75" customHeight="1" x14ac:dyDescent="0.25">
      <c r="I904" s="6"/>
      <c r="M904" s="6"/>
    </row>
    <row r="905" spans="9:13" ht="15.75" customHeight="1" x14ac:dyDescent="0.25">
      <c r="I905" s="6"/>
      <c r="M905" s="6"/>
    </row>
    <row r="906" spans="9:13" ht="15.75" customHeight="1" x14ac:dyDescent="0.25">
      <c r="I906" s="6"/>
      <c r="M906" s="6"/>
    </row>
    <row r="907" spans="9:13" ht="15.75" customHeight="1" x14ac:dyDescent="0.25">
      <c r="I907" s="6"/>
      <c r="M907" s="6"/>
    </row>
    <row r="908" spans="9:13" ht="15.75" customHeight="1" x14ac:dyDescent="0.25">
      <c r="I908" s="6"/>
      <c r="M908" s="6"/>
    </row>
    <row r="909" spans="9:13" ht="15.75" customHeight="1" x14ac:dyDescent="0.25">
      <c r="I909" s="6"/>
      <c r="M909" s="6"/>
    </row>
    <row r="910" spans="9:13" ht="15.75" customHeight="1" x14ac:dyDescent="0.25">
      <c r="I910" s="6"/>
      <c r="M910" s="6"/>
    </row>
    <row r="911" spans="9:13" ht="15.75" customHeight="1" x14ac:dyDescent="0.25">
      <c r="I911" s="6"/>
      <c r="M911" s="6"/>
    </row>
    <row r="912" spans="9:13" ht="15.75" customHeight="1" x14ac:dyDescent="0.25">
      <c r="I912" s="6"/>
      <c r="M912" s="6"/>
    </row>
    <row r="913" spans="9:13" ht="15.75" customHeight="1" x14ac:dyDescent="0.25">
      <c r="I913" s="6"/>
      <c r="M913" s="6"/>
    </row>
    <row r="914" spans="9:13" ht="15.75" customHeight="1" x14ac:dyDescent="0.25">
      <c r="I914" s="6"/>
      <c r="M914" s="6"/>
    </row>
    <row r="915" spans="9:13" ht="15.75" customHeight="1" x14ac:dyDescent="0.25">
      <c r="I915" s="6"/>
      <c r="M915" s="6"/>
    </row>
    <row r="916" spans="9:13" ht="15.75" customHeight="1" x14ac:dyDescent="0.25">
      <c r="I916" s="6"/>
      <c r="M916" s="6"/>
    </row>
    <row r="917" spans="9:13" ht="15.75" customHeight="1" x14ac:dyDescent="0.25">
      <c r="I917" s="6"/>
      <c r="M917" s="6"/>
    </row>
    <row r="918" spans="9:13" ht="15.75" customHeight="1" x14ac:dyDescent="0.25">
      <c r="I918" s="6"/>
      <c r="M918" s="6"/>
    </row>
    <row r="919" spans="9:13" ht="15.75" customHeight="1" x14ac:dyDescent="0.25">
      <c r="I919" s="6"/>
      <c r="M919" s="6"/>
    </row>
    <row r="920" spans="9:13" ht="15.75" customHeight="1" x14ac:dyDescent="0.25">
      <c r="I920" s="6"/>
      <c r="M920" s="6"/>
    </row>
    <row r="921" spans="9:13" ht="15.75" customHeight="1" x14ac:dyDescent="0.25">
      <c r="I921" s="6"/>
      <c r="M921" s="6"/>
    </row>
    <row r="922" spans="9:13" ht="15.75" customHeight="1" x14ac:dyDescent="0.25">
      <c r="I922" s="6"/>
      <c r="M922" s="6"/>
    </row>
    <row r="923" spans="9:13" ht="15.75" customHeight="1" x14ac:dyDescent="0.25">
      <c r="I923" s="6"/>
      <c r="M923" s="6"/>
    </row>
    <row r="924" spans="9:13" ht="15.75" customHeight="1" x14ac:dyDescent="0.25">
      <c r="I924" s="6"/>
      <c r="M924" s="6"/>
    </row>
    <row r="925" spans="9:13" ht="15.75" customHeight="1" x14ac:dyDescent="0.25">
      <c r="I925" s="6"/>
      <c r="M925" s="6"/>
    </row>
    <row r="926" spans="9:13" ht="15.75" customHeight="1" x14ac:dyDescent="0.25">
      <c r="I926" s="6"/>
      <c r="M926" s="6"/>
    </row>
    <row r="927" spans="9:13" ht="15.75" customHeight="1" x14ac:dyDescent="0.25">
      <c r="I927" s="6"/>
      <c r="M927" s="6"/>
    </row>
    <row r="928" spans="9:13" ht="15.75" customHeight="1" x14ac:dyDescent="0.25">
      <c r="I928" s="6"/>
      <c r="M928" s="6"/>
    </row>
    <row r="929" spans="9:13" ht="15.75" customHeight="1" x14ac:dyDescent="0.25">
      <c r="I929" s="6"/>
      <c r="M929" s="6"/>
    </row>
    <row r="930" spans="9:13" ht="15.75" customHeight="1" x14ac:dyDescent="0.25">
      <c r="I930" s="6"/>
      <c r="M930" s="6"/>
    </row>
    <row r="931" spans="9:13" ht="15.75" customHeight="1" x14ac:dyDescent="0.25">
      <c r="I931" s="6"/>
      <c r="M931" s="6"/>
    </row>
    <row r="932" spans="9:13" ht="15.75" customHeight="1" x14ac:dyDescent="0.25">
      <c r="I932" s="6"/>
      <c r="M932" s="6"/>
    </row>
    <row r="933" spans="9:13" ht="15.75" customHeight="1" x14ac:dyDescent="0.25">
      <c r="I933" s="6"/>
      <c r="M933" s="6"/>
    </row>
    <row r="934" spans="9:13" ht="15.75" customHeight="1" x14ac:dyDescent="0.25">
      <c r="I934" s="6"/>
      <c r="M934" s="6"/>
    </row>
    <row r="935" spans="9:13" ht="15.75" customHeight="1" x14ac:dyDescent="0.25">
      <c r="I935" s="6"/>
      <c r="M935" s="6"/>
    </row>
    <row r="936" spans="9:13" ht="15.75" customHeight="1" x14ac:dyDescent="0.25">
      <c r="I936" s="6"/>
      <c r="M936" s="6"/>
    </row>
    <row r="937" spans="9:13" ht="15.75" customHeight="1" x14ac:dyDescent="0.25">
      <c r="I937" s="6"/>
      <c r="M937" s="6"/>
    </row>
    <row r="938" spans="9:13" ht="15.75" customHeight="1" x14ac:dyDescent="0.25">
      <c r="I938" s="6"/>
      <c r="M938" s="6"/>
    </row>
    <row r="939" spans="9:13" ht="15.75" customHeight="1" x14ac:dyDescent="0.25">
      <c r="I939" s="6"/>
      <c r="M939" s="6"/>
    </row>
    <row r="940" spans="9:13" ht="15.75" customHeight="1" x14ac:dyDescent="0.25">
      <c r="I940" s="6"/>
      <c r="M940" s="6"/>
    </row>
    <row r="941" spans="9:13" ht="15.75" customHeight="1" x14ac:dyDescent="0.25">
      <c r="I941" s="6"/>
      <c r="M941" s="6"/>
    </row>
    <row r="942" spans="9:13" ht="15.75" customHeight="1" x14ac:dyDescent="0.25">
      <c r="I942" s="6"/>
      <c r="M942" s="6"/>
    </row>
    <row r="943" spans="9:13" ht="15.75" customHeight="1" x14ac:dyDescent="0.25">
      <c r="I943" s="6"/>
      <c r="M943" s="6"/>
    </row>
    <row r="944" spans="9:13" ht="15.75" customHeight="1" x14ac:dyDescent="0.25">
      <c r="I944" s="6"/>
      <c r="M944" s="6"/>
    </row>
    <row r="945" spans="9:13" ht="15.75" customHeight="1" x14ac:dyDescent="0.25">
      <c r="I945" s="6"/>
      <c r="M945" s="6"/>
    </row>
    <row r="946" spans="9:13" ht="15.75" customHeight="1" x14ac:dyDescent="0.25">
      <c r="I946" s="6"/>
      <c r="M946" s="6"/>
    </row>
    <row r="947" spans="9:13" ht="15.75" customHeight="1" x14ac:dyDescent="0.25">
      <c r="I947" s="6"/>
      <c r="M947" s="6"/>
    </row>
    <row r="948" spans="9:13" ht="15.75" customHeight="1" x14ac:dyDescent="0.25">
      <c r="I948" s="6"/>
      <c r="M948" s="6"/>
    </row>
    <row r="949" spans="9:13" ht="15.75" customHeight="1" x14ac:dyDescent="0.25">
      <c r="I949" s="6"/>
      <c r="M949" s="6"/>
    </row>
    <row r="950" spans="9:13" ht="15.75" customHeight="1" x14ac:dyDescent="0.25">
      <c r="I950" s="6"/>
      <c r="M950" s="6"/>
    </row>
    <row r="951" spans="9:13" ht="15.75" customHeight="1" x14ac:dyDescent="0.25">
      <c r="I951" s="6"/>
      <c r="M951" s="6"/>
    </row>
    <row r="952" spans="9:13" ht="15.75" customHeight="1" x14ac:dyDescent="0.25">
      <c r="I952" s="6"/>
      <c r="M952" s="6"/>
    </row>
    <row r="953" spans="9:13" ht="15.75" customHeight="1" x14ac:dyDescent="0.25">
      <c r="I953" s="6"/>
      <c r="M953" s="6"/>
    </row>
    <row r="954" spans="9:13" ht="15.75" customHeight="1" x14ac:dyDescent="0.25">
      <c r="I954" s="6"/>
      <c r="M954" s="6"/>
    </row>
    <row r="955" spans="9:13" ht="15.75" customHeight="1" x14ac:dyDescent="0.25">
      <c r="I955" s="6"/>
      <c r="M955" s="6"/>
    </row>
    <row r="956" spans="9:13" ht="15.75" customHeight="1" x14ac:dyDescent="0.25">
      <c r="I956" s="6"/>
      <c r="M956" s="6"/>
    </row>
    <row r="957" spans="9:13" ht="15.75" customHeight="1" x14ac:dyDescent="0.25">
      <c r="I957" s="6"/>
      <c r="M957" s="6"/>
    </row>
    <row r="958" spans="9:13" ht="15.75" customHeight="1" x14ac:dyDescent="0.25">
      <c r="I958" s="6"/>
      <c r="M958" s="6"/>
    </row>
    <row r="959" spans="9:13" ht="15.75" customHeight="1" x14ac:dyDescent="0.25">
      <c r="I959" s="6"/>
      <c r="M959" s="6"/>
    </row>
    <row r="960" spans="9:13" ht="15.75" customHeight="1" x14ac:dyDescent="0.25">
      <c r="I960" s="6"/>
      <c r="M960" s="6"/>
    </row>
    <row r="961" spans="9:13" ht="15.75" customHeight="1" x14ac:dyDescent="0.25">
      <c r="I961" s="6"/>
      <c r="M961" s="6"/>
    </row>
    <row r="962" spans="9:13" ht="15.75" customHeight="1" x14ac:dyDescent="0.25">
      <c r="I962" s="6"/>
      <c r="M962" s="6"/>
    </row>
    <row r="963" spans="9:13" ht="15.75" customHeight="1" x14ac:dyDescent="0.25">
      <c r="I963" s="6"/>
      <c r="M963" s="6"/>
    </row>
    <row r="964" spans="9:13" ht="15.75" customHeight="1" x14ac:dyDescent="0.25">
      <c r="I964" s="6"/>
      <c r="M964" s="6"/>
    </row>
    <row r="965" spans="9:13" ht="15.75" customHeight="1" x14ac:dyDescent="0.25">
      <c r="I965" s="6"/>
      <c r="M965" s="6"/>
    </row>
    <row r="966" spans="9:13" ht="15.75" customHeight="1" x14ac:dyDescent="0.25">
      <c r="I966" s="6"/>
      <c r="M966" s="6"/>
    </row>
    <row r="967" spans="9:13" ht="15.75" customHeight="1" x14ac:dyDescent="0.25">
      <c r="I967" s="6"/>
      <c r="M967" s="6"/>
    </row>
    <row r="968" spans="9:13" ht="15.75" customHeight="1" x14ac:dyDescent="0.25">
      <c r="I968" s="6"/>
      <c r="M968" s="6"/>
    </row>
    <row r="969" spans="9:13" ht="15.75" customHeight="1" x14ac:dyDescent="0.25">
      <c r="I969" s="6"/>
      <c r="M969" s="6"/>
    </row>
    <row r="970" spans="9:13" ht="15.75" customHeight="1" x14ac:dyDescent="0.25">
      <c r="I970" s="6"/>
      <c r="M970" s="6"/>
    </row>
    <row r="971" spans="9:13" ht="15.75" customHeight="1" x14ac:dyDescent="0.25">
      <c r="I971" s="6"/>
      <c r="M971" s="6"/>
    </row>
    <row r="972" spans="9:13" ht="15.75" customHeight="1" x14ac:dyDescent="0.25">
      <c r="I972" s="6"/>
      <c r="M972" s="6"/>
    </row>
    <row r="973" spans="9:13" ht="15.75" customHeight="1" x14ac:dyDescent="0.25">
      <c r="I973" s="6"/>
      <c r="M973" s="6"/>
    </row>
    <row r="974" spans="9:13" ht="15.75" customHeight="1" x14ac:dyDescent="0.25">
      <c r="I974" s="6"/>
      <c r="M974" s="6"/>
    </row>
    <row r="975" spans="9:13" ht="15.75" customHeight="1" x14ac:dyDescent="0.25">
      <c r="I975" s="6"/>
      <c r="M975" s="6"/>
    </row>
    <row r="976" spans="9:13" ht="15.75" customHeight="1" x14ac:dyDescent="0.25">
      <c r="I976" s="6"/>
      <c r="M976" s="6"/>
    </row>
    <row r="977" spans="9:13" ht="15.75" customHeight="1" x14ac:dyDescent="0.25">
      <c r="I977" s="6"/>
      <c r="M977" s="6"/>
    </row>
    <row r="978" spans="9:13" ht="15.75" customHeight="1" x14ac:dyDescent="0.25">
      <c r="I978" s="6"/>
      <c r="M978" s="6"/>
    </row>
    <row r="979" spans="9:13" ht="15.75" customHeight="1" x14ac:dyDescent="0.25">
      <c r="I979" s="6"/>
      <c r="M979" s="6"/>
    </row>
    <row r="980" spans="9:13" ht="15.75" customHeight="1" x14ac:dyDescent="0.25">
      <c r="I980" s="6"/>
      <c r="M980" s="6"/>
    </row>
    <row r="981" spans="9:13" ht="15.75" customHeight="1" x14ac:dyDescent="0.25">
      <c r="I981" s="6"/>
      <c r="M981" s="6"/>
    </row>
    <row r="982" spans="9:13" ht="15.75" customHeight="1" x14ac:dyDescent="0.25">
      <c r="I982" s="6"/>
      <c r="M982" s="6"/>
    </row>
    <row r="983" spans="9:13" ht="15.75" customHeight="1" x14ac:dyDescent="0.25">
      <c r="I983" s="6"/>
      <c r="M983" s="6"/>
    </row>
    <row r="984" spans="9:13" ht="15.75" customHeight="1" x14ac:dyDescent="0.25">
      <c r="I984" s="6"/>
      <c r="M984" s="6"/>
    </row>
    <row r="985" spans="9:13" ht="15.75" customHeight="1" x14ac:dyDescent="0.25">
      <c r="I985" s="6"/>
      <c r="M985" s="6"/>
    </row>
    <row r="986" spans="9:13" ht="15.75" customHeight="1" x14ac:dyDescent="0.25">
      <c r="I986" s="6"/>
      <c r="M986" s="6"/>
    </row>
    <row r="987" spans="9:13" ht="15.75" customHeight="1" x14ac:dyDescent="0.25">
      <c r="I987" s="6"/>
      <c r="M987" s="6"/>
    </row>
    <row r="988" spans="9:13" ht="15.75" customHeight="1" x14ac:dyDescent="0.25">
      <c r="I988" s="6"/>
      <c r="M988" s="6"/>
    </row>
    <row r="989" spans="9:13" ht="15.75" customHeight="1" x14ac:dyDescent="0.25">
      <c r="I989" s="6"/>
      <c r="M989" s="6"/>
    </row>
    <row r="990" spans="9:13" ht="15.75" customHeight="1" x14ac:dyDescent="0.25">
      <c r="I990" s="6"/>
      <c r="M990" s="6"/>
    </row>
    <row r="991" spans="9:13" ht="15.75" customHeight="1" x14ac:dyDescent="0.25">
      <c r="I991" s="6"/>
      <c r="M991" s="6"/>
    </row>
    <row r="992" spans="9:13" ht="15.75" customHeight="1" x14ac:dyDescent="0.25">
      <c r="I992" s="6"/>
      <c r="M992" s="6"/>
    </row>
    <row r="993" spans="9:13" ht="15.75" customHeight="1" x14ac:dyDescent="0.25">
      <c r="I993" s="6"/>
      <c r="M993" s="6"/>
    </row>
    <row r="994" spans="9:13" ht="15.75" customHeight="1" x14ac:dyDescent="0.25">
      <c r="I994" s="6"/>
      <c r="M994" s="6"/>
    </row>
    <row r="995" spans="9:13" ht="15.75" customHeight="1" x14ac:dyDescent="0.25">
      <c r="I995" s="6"/>
      <c r="M995" s="6"/>
    </row>
    <row r="996" spans="9:13" ht="15.75" customHeight="1" x14ac:dyDescent="0.25">
      <c r="I996" s="6"/>
      <c r="M996" s="6"/>
    </row>
    <row r="997" spans="9:13" ht="15.75" customHeight="1" x14ac:dyDescent="0.25">
      <c r="I997" s="6"/>
      <c r="M997" s="6"/>
    </row>
    <row r="998" spans="9:13" ht="15.75" customHeight="1" x14ac:dyDescent="0.25">
      <c r="I998" s="6"/>
      <c r="M998" s="6"/>
    </row>
  </sheetData>
  <autoFilter ref="A1:M442" xr:uid="{00000000-0009-0000-0000-000006000000}">
    <filterColumn colId="1">
      <filters>
        <filter val="ALISERVICE S.A."/>
      </filters>
    </filterColumn>
    <sortState xmlns:xlrd2="http://schemas.microsoft.com/office/spreadsheetml/2017/richdata2" ref="A2:M442">
      <sortCondition ref="B1:B442"/>
    </sortState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2020</vt:lpstr>
      <vt:lpstr>2021</vt:lpstr>
      <vt:lpstr>2022</vt:lpstr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Flores Sanchez</dc:creator>
  <cp:lastModifiedBy>Flavio Nicolás Villegas Díaz</cp:lastModifiedBy>
  <dcterms:created xsi:type="dcterms:W3CDTF">2024-04-24T18:50:16Z</dcterms:created>
  <dcterms:modified xsi:type="dcterms:W3CDTF">2025-05-04T05:11:12Z</dcterms:modified>
</cp:coreProperties>
</file>