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C1\Pictures\ERAS - Prototype-Dev (testActive)\_extras\"/>
    </mc:Choice>
  </mc:AlternateContent>
  <xr:revisionPtr revIDLastSave="0" documentId="13_ncr:1_{DFCF686F-2336-4FDB-9F1C-6C8335A934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" l="1"/>
  <c r="BR25" i="1"/>
  <c r="BS25" i="1" s="1"/>
  <c r="BL25" i="1"/>
  <c r="BM25" i="1" s="1"/>
  <c r="BF25" i="1"/>
  <c r="AQ28" i="1" s="1"/>
  <c r="BR22" i="1"/>
  <c r="BL22" i="1"/>
  <c r="BF22" i="1"/>
  <c r="BG22" i="1" s="1"/>
  <c r="BG21" i="1" s="1"/>
  <c r="AZ22" i="1"/>
  <c r="AQ27" i="1" s="1"/>
  <c r="AU27" i="1"/>
  <c r="AQ26" i="1"/>
  <c r="BR29" i="1"/>
  <c r="BS29" i="1" s="1"/>
  <c r="BQ28" i="1"/>
  <c r="BQ27" i="1"/>
  <c r="BQ26" i="1"/>
  <c r="BU25" i="1"/>
  <c r="BT25" i="1"/>
  <c r="BP25" i="1"/>
  <c r="BO25" i="1"/>
  <c r="BN25" i="1"/>
  <c r="BJ25" i="1"/>
  <c r="BQ24" i="1"/>
  <c r="BK24" i="1"/>
  <c r="BE24" i="1"/>
  <c r="BQ23" i="1"/>
  <c r="BK23" i="1"/>
  <c r="BE23" i="1"/>
  <c r="BU22" i="1"/>
  <c r="BT22" i="1"/>
  <c r="BP22" i="1"/>
  <c r="BO22" i="1"/>
  <c r="BN22" i="1"/>
  <c r="BJ22" i="1"/>
  <c r="BI22" i="1"/>
  <c r="BH22" i="1"/>
  <c r="BD22" i="1"/>
  <c r="BQ21" i="1"/>
  <c r="BK21" i="1"/>
  <c r="BE21" i="1"/>
  <c r="AY21" i="1"/>
  <c r="BU20" i="1"/>
  <c r="BT20" i="1"/>
  <c r="BR20" i="1"/>
  <c r="BP20" i="1"/>
  <c r="BO20" i="1"/>
  <c r="BN20" i="1"/>
  <c r="BL20" i="1"/>
  <c r="BJ20" i="1"/>
  <c r="BI20" i="1"/>
  <c r="BH20" i="1"/>
  <c r="BG20" i="1"/>
  <c r="BF20" i="1"/>
  <c r="BD20" i="1"/>
  <c r="BC20" i="1"/>
  <c r="BB20" i="1"/>
  <c r="AZ20" i="1"/>
  <c r="BA20" i="1" s="1"/>
  <c r="AX20" i="1"/>
  <c r="AW20" i="1"/>
  <c r="AV20" i="1"/>
  <c r="AT20" i="1"/>
  <c r="AU20" i="1" s="1"/>
  <c r="AR20" i="1"/>
  <c r="AP20" i="1"/>
  <c r="AQ20" i="1" s="1"/>
  <c r="F26" i="1"/>
  <c r="F27" i="1"/>
  <c r="J27" i="1"/>
  <c r="J117" i="1"/>
  <c r="F117" i="1"/>
  <c r="J102" i="1"/>
  <c r="F102" i="1"/>
  <c r="J87" i="1"/>
  <c r="F87" i="1"/>
  <c r="J72" i="1"/>
  <c r="F72" i="1"/>
  <c r="J42" i="1"/>
  <c r="F42" i="1"/>
  <c r="J12" i="1"/>
  <c r="F12" i="1"/>
  <c r="AU29" i="1" l="1"/>
  <c r="BR26" i="1"/>
  <c r="AQ29" i="1"/>
  <c r="BR27" i="1"/>
  <c r="BL23" i="1"/>
  <c r="BL24" i="1"/>
  <c r="AU28" i="1"/>
  <c r="BA28" i="1"/>
  <c r="BF23" i="1"/>
  <c r="BR24" i="1"/>
  <c r="BF21" i="1"/>
  <c r="AZ21" i="1"/>
  <c r="BS28" i="1"/>
  <c r="BM23" i="1"/>
  <c r="BR28" i="1"/>
  <c r="BR23" i="1"/>
  <c r="BS20" i="1"/>
  <c r="BS26" i="1" s="1"/>
  <c r="BA22" i="1"/>
  <c r="BA21" i="1" s="1"/>
  <c r="BM22" i="1"/>
  <c r="BL21" i="1"/>
  <c r="BF24" i="1"/>
  <c r="BM20" i="1"/>
  <c r="BG25" i="1"/>
  <c r="BR21" i="1"/>
  <c r="BS22" i="1"/>
  <c r="BS24" i="1" s="1"/>
  <c r="F86" i="1"/>
  <c r="F71" i="1"/>
  <c r="F56" i="1"/>
  <c r="F41" i="1"/>
  <c r="F11" i="1"/>
  <c r="AG89" i="1"/>
  <c r="AI115" i="1"/>
  <c r="AI112" i="1"/>
  <c r="AE115" i="1"/>
  <c r="AE112" i="1"/>
  <c r="AI97" i="1"/>
  <c r="AC97" i="1"/>
  <c r="AC80" i="1"/>
  <c r="AI80" i="1"/>
  <c r="AI82" i="1"/>
  <c r="AC82" i="1"/>
  <c r="J89" i="1" l="1"/>
  <c r="F89" i="1"/>
  <c r="BS23" i="1"/>
  <c r="BG24" i="1"/>
  <c r="BG23" i="1"/>
  <c r="BM21" i="1"/>
  <c r="BM24" i="1"/>
  <c r="BS21" i="1"/>
  <c r="BS27" i="1"/>
  <c r="AG149" i="1"/>
  <c r="AF148" i="1"/>
  <c r="AG145" i="1"/>
  <c r="AG85" i="1"/>
  <c r="AG134" i="1"/>
  <c r="AF133" i="1"/>
  <c r="AG130" i="1"/>
  <c r="AG119" i="1"/>
  <c r="AF118" i="1"/>
  <c r="AF117" i="1"/>
  <c r="AJ115" i="1"/>
  <c r="AG115" i="1"/>
  <c r="AH115" i="1" s="1"/>
  <c r="AA115" i="1"/>
  <c r="AF114" i="1"/>
  <c r="Z114" i="1"/>
  <c r="AJ112" i="1"/>
  <c r="AG112" i="1"/>
  <c r="AA112" i="1"/>
  <c r="AG100" i="1"/>
  <c r="AG99" i="1" s="1"/>
  <c r="AA100" i="1"/>
  <c r="AB100" i="1" s="1"/>
  <c r="U100" i="1"/>
  <c r="AE97" i="1"/>
  <c r="Y97" i="1"/>
  <c r="Y82" i="1"/>
  <c r="Y80" i="1"/>
  <c r="AG104" i="1"/>
  <c r="AF103" i="1"/>
  <c r="AF102" i="1"/>
  <c r="AJ100" i="1"/>
  <c r="AI100" i="1"/>
  <c r="AE100" i="1"/>
  <c r="AD100" i="1"/>
  <c r="AC100" i="1"/>
  <c r="Y100" i="1"/>
  <c r="AF99" i="1"/>
  <c r="Z99" i="1"/>
  <c r="T99" i="1"/>
  <c r="AJ97" i="1"/>
  <c r="AG97" i="1"/>
  <c r="AH97" i="1" s="1"/>
  <c r="AD97" i="1"/>
  <c r="AA97" i="1"/>
  <c r="U97" i="1"/>
  <c r="V97" i="1" s="1"/>
  <c r="AG82" i="1"/>
  <c r="AG80" i="1"/>
  <c r="AH80" i="1" s="1"/>
  <c r="AA82" i="1"/>
  <c r="AA80" i="1"/>
  <c r="U82" i="1"/>
  <c r="V82" i="1" s="1"/>
  <c r="U80" i="1"/>
  <c r="AF88" i="1"/>
  <c r="AF87" i="1"/>
  <c r="AF86" i="1"/>
  <c r="AJ85" i="1"/>
  <c r="AI85" i="1"/>
  <c r="AE85" i="1"/>
  <c r="AD85" i="1"/>
  <c r="AC85" i="1"/>
  <c r="AA85" i="1"/>
  <c r="Y85" i="1"/>
  <c r="U85" i="1"/>
  <c r="AF84" i="1"/>
  <c r="Z84" i="1"/>
  <c r="T84" i="1"/>
  <c r="AF83" i="1"/>
  <c r="Z83" i="1"/>
  <c r="T83" i="1"/>
  <c r="AJ82" i="1"/>
  <c r="AH82" i="1"/>
  <c r="AE82" i="1"/>
  <c r="AD82" i="1"/>
  <c r="AB82" i="1"/>
  <c r="AF81" i="1"/>
  <c r="Z81" i="1"/>
  <c r="T81" i="1"/>
  <c r="AJ80" i="1"/>
  <c r="AE80" i="1"/>
  <c r="AD80" i="1"/>
  <c r="AB80" i="1"/>
  <c r="AI65" i="1"/>
  <c r="AC65" i="1"/>
  <c r="W65" i="1"/>
  <c r="AI50" i="1"/>
  <c r="AC50" i="1"/>
  <c r="W50" i="1"/>
  <c r="Q50" i="1"/>
  <c r="AG70" i="1"/>
  <c r="AH70" i="1" s="1"/>
  <c r="AA70" i="1"/>
  <c r="AB70" i="1" s="1"/>
  <c r="U70" i="1"/>
  <c r="AG74" i="1"/>
  <c r="AF73" i="1"/>
  <c r="AF72" i="1"/>
  <c r="AF71" i="1"/>
  <c r="AJ70" i="1"/>
  <c r="AI70" i="1"/>
  <c r="AE70" i="1"/>
  <c r="AD70" i="1"/>
  <c r="AC70" i="1"/>
  <c r="Y70" i="1"/>
  <c r="AF69" i="1"/>
  <c r="Z69" i="1"/>
  <c r="T69" i="1"/>
  <c r="AF68" i="1"/>
  <c r="Z68" i="1"/>
  <c r="T68" i="1"/>
  <c r="AJ67" i="1"/>
  <c r="AI67" i="1"/>
  <c r="AG67" i="1"/>
  <c r="AH67" i="1" s="1"/>
  <c r="AE67" i="1"/>
  <c r="AD67" i="1"/>
  <c r="AC67" i="1"/>
  <c r="AA67" i="1"/>
  <c r="Y67" i="1"/>
  <c r="X67" i="1"/>
  <c r="W67" i="1"/>
  <c r="U67" i="1"/>
  <c r="S67" i="1"/>
  <c r="O67" i="1"/>
  <c r="O66" i="1" s="1"/>
  <c r="AF66" i="1"/>
  <c r="Z66" i="1"/>
  <c r="T66" i="1"/>
  <c r="N66" i="1"/>
  <c r="AJ65" i="1"/>
  <c r="AG65" i="1"/>
  <c r="AG66" i="1" s="1"/>
  <c r="AE65" i="1"/>
  <c r="AD65" i="1"/>
  <c r="AA65" i="1"/>
  <c r="Y65" i="1"/>
  <c r="X65" i="1"/>
  <c r="U65" i="1"/>
  <c r="V65" i="1" s="1"/>
  <c r="S65" i="1"/>
  <c r="O65" i="1"/>
  <c r="P65" i="1" s="1"/>
  <c r="AG59" i="1"/>
  <c r="AG55" i="1"/>
  <c r="AG50" i="1"/>
  <c r="AG52" i="1"/>
  <c r="AH52" i="1" s="1"/>
  <c r="AA55" i="1"/>
  <c r="AB55" i="1" s="1"/>
  <c r="AA52" i="1"/>
  <c r="AB52" i="1" s="1"/>
  <c r="AA50" i="1"/>
  <c r="U55" i="1"/>
  <c r="U52" i="1"/>
  <c r="U50" i="1"/>
  <c r="V50" i="1" s="1"/>
  <c r="O52" i="1"/>
  <c r="O50" i="1"/>
  <c r="I50" i="1"/>
  <c r="J50" i="1" s="1"/>
  <c r="M50" i="1"/>
  <c r="G35" i="1"/>
  <c r="G5" i="1"/>
  <c r="G20" i="1"/>
  <c r="AF58" i="1"/>
  <c r="AF57" i="1"/>
  <c r="AF56" i="1"/>
  <c r="AJ55" i="1"/>
  <c r="AI55" i="1"/>
  <c r="AE55" i="1"/>
  <c r="AD55" i="1"/>
  <c r="AC55" i="1"/>
  <c r="Y55" i="1"/>
  <c r="AF54" i="1"/>
  <c r="Z54" i="1"/>
  <c r="T54" i="1"/>
  <c r="AF53" i="1"/>
  <c r="Z53" i="1"/>
  <c r="T53" i="1"/>
  <c r="AJ52" i="1"/>
  <c r="AI52" i="1"/>
  <c r="AE52" i="1"/>
  <c r="AD52" i="1"/>
  <c r="AC52" i="1"/>
  <c r="Y52" i="1"/>
  <c r="X52" i="1"/>
  <c r="W52" i="1"/>
  <c r="S52" i="1"/>
  <c r="P52" i="1"/>
  <c r="AF51" i="1"/>
  <c r="Z51" i="1"/>
  <c r="T51" i="1"/>
  <c r="N51" i="1"/>
  <c r="AJ50" i="1"/>
  <c r="AE50" i="1"/>
  <c r="AD50" i="1"/>
  <c r="Y50" i="1"/>
  <c r="X50" i="1"/>
  <c r="S50" i="1"/>
  <c r="R50" i="1"/>
  <c r="AG44" i="1"/>
  <c r="AF43" i="1"/>
  <c r="AF42" i="1"/>
  <c r="AF41" i="1"/>
  <c r="AJ40" i="1"/>
  <c r="AI40" i="1"/>
  <c r="AG40" i="1"/>
  <c r="AG39" i="1" s="1"/>
  <c r="AE40" i="1"/>
  <c r="AD40" i="1"/>
  <c r="AC40" i="1"/>
  <c r="AA40" i="1"/>
  <c r="AB40" i="1" s="1"/>
  <c r="Y40" i="1"/>
  <c r="U40" i="1"/>
  <c r="AF39" i="1"/>
  <c r="Z39" i="1"/>
  <c r="T39" i="1"/>
  <c r="AF38" i="1"/>
  <c r="Z38" i="1"/>
  <c r="T38" i="1"/>
  <c r="AJ37" i="1"/>
  <c r="AI37" i="1"/>
  <c r="AG37" i="1"/>
  <c r="AH37" i="1" s="1"/>
  <c r="AE37" i="1"/>
  <c r="AD37" i="1"/>
  <c r="AC37" i="1"/>
  <c r="AA37" i="1"/>
  <c r="Y37" i="1"/>
  <c r="X37" i="1"/>
  <c r="W37" i="1"/>
  <c r="U37" i="1"/>
  <c r="S37" i="1"/>
  <c r="O37" i="1"/>
  <c r="P37" i="1" s="1"/>
  <c r="AF36" i="1"/>
  <c r="Z36" i="1"/>
  <c r="T36" i="1"/>
  <c r="N36" i="1"/>
  <c r="AJ35" i="1"/>
  <c r="AI35" i="1"/>
  <c r="AG35" i="1"/>
  <c r="AE35" i="1"/>
  <c r="AD35" i="1"/>
  <c r="AC35" i="1"/>
  <c r="AA35" i="1"/>
  <c r="AA38" i="1" s="1"/>
  <c r="Y35" i="1"/>
  <c r="X35" i="1"/>
  <c r="W35" i="1"/>
  <c r="V35" i="1"/>
  <c r="U35" i="1"/>
  <c r="U36" i="1" s="1"/>
  <c r="S35" i="1"/>
  <c r="R35" i="1"/>
  <c r="Q35" i="1"/>
  <c r="O35" i="1"/>
  <c r="P35" i="1" s="1"/>
  <c r="M35" i="1"/>
  <c r="L35" i="1"/>
  <c r="K35" i="1"/>
  <c r="I35" i="1"/>
  <c r="J35" i="1" s="1"/>
  <c r="E35" i="1"/>
  <c r="F35" i="1" s="1"/>
  <c r="AG29" i="1"/>
  <c r="AF28" i="1"/>
  <c r="AF27" i="1"/>
  <c r="AF26" i="1"/>
  <c r="AJ25" i="1"/>
  <c r="AI25" i="1"/>
  <c r="AG25" i="1"/>
  <c r="AH25" i="1" s="1"/>
  <c r="AE25" i="1"/>
  <c r="AD25" i="1"/>
  <c r="AC25" i="1"/>
  <c r="AA25" i="1"/>
  <c r="AB25" i="1" s="1"/>
  <c r="Y25" i="1"/>
  <c r="U25" i="1"/>
  <c r="AF24" i="1"/>
  <c r="Z24" i="1"/>
  <c r="T24" i="1"/>
  <c r="AF23" i="1"/>
  <c r="Z23" i="1"/>
  <c r="T23" i="1"/>
  <c r="AJ22" i="1"/>
  <c r="AI22" i="1"/>
  <c r="AG22" i="1"/>
  <c r="AE22" i="1"/>
  <c r="AD22" i="1"/>
  <c r="AC22" i="1"/>
  <c r="AA22" i="1"/>
  <c r="Y22" i="1"/>
  <c r="X22" i="1"/>
  <c r="W22" i="1"/>
  <c r="U22" i="1"/>
  <c r="S22" i="1"/>
  <c r="O22" i="1"/>
  <c r="O21" i="1" s="1"/>
  <c r="AG21" i="1"/>
  <c r="AF21" i="1"/>
  <c r="Z21" i="1"/>
  <c r="T21" i="1"/>
  <c r="N21" i="1"/>
  <c r="AJ20" i="1"/>
  <c r="AI20" i="1"/>
  <c r="AG20" i="1"/>
  <c r="AE20" i="1"/>
  <c r="AD20" i="1"/>
  <c r="AC20" i="1"/>
  <c r="AA20" i="1"/>
  <c r="AB20" i="1" s="1"/>
  <c r="Y20" i="1"/>
  <c r="X20" i="1"/>
  <c r="W20" i="1"/>
  <c r="V20" i="1"/>
  <c r="U20" i="1"/>
  <c r="U21" i="1" s="1"/>
  <c r="S20" i="1"/>
  <c r="R20" i="1"/>
  <c r="Q20" i="1"/>
  <c r="O20" i="1"/>
  <c r="P20" i="1" s="1"/>
  <c r="M20" i="1"/>
  <c r="L20" i="1"/>
  <c r="K20" i="1"/>
  <c r="I20" i="1"/>
  <c r="J20" i="1" s="1"/>
  <c r="E20" i="1"/>
  <c r="F20" i="1" s="1"/>
  <c r="U6" i="1"/>
  <c r="U10" i="1"/>
  <c r="O6" i="1"/>
  <c r="AA10" i="1"/>
  <c r="AA8" i="1" s="1"/>
  <c r="AG10" i="1"/>
  <c r="AG8" i="1" s="1"/>
  <c r="AG14" i="1"/>
  <c r="AA6" i="1"/>
  <c r="AG6" i="1"/>
  <c r="AI10" i="1"/>
  <c r="AC10" i="1"/>
  <c r="AI7" i="1"/>
  <c r="AC7" i="1"/>
  <c r="W7" i="1"/>
  <c r="AI5" i="1"/>
  <c r="AH5" i="1"/>
  <c r="AF13" i="1"/>
  <c r="AF12" i="1"/>
  <c r="AF11" i="1"/>
  <c r="AJ10" i="1"/>
  <c r="AE10" i="1"/>
  <c r="AF9" i="1"/>
  <c r="AF8" i="1"/>
  <c r="AJ7" i="1"/>
  <c r="AG7" i="1"/>
  <c r="AH7" i="1" s="1"/>
  <c r="AE7" i="1"/>
  <c r="AF6" i="1"/>
  <c r="AJ5" i="1"/>
  <c r="AG5" i="1"/>
  <c r="AE5" i="1"/>
  <c r="AC5" i="1"/>
  <c r="AB5" i="1"/>
  <c r="AD10" i="1"/>
  <c r="Y10" i="1"/>
  <c r="Z9" i="1"/>
  <c r="Z8" i="1"/>
  <c r="AD7" i="1"/>
  <c r="AA7" i="1"/>
  <c r="AB7" i="1" s="1"/>
  <c r="Y7" i="1"/>
  <c r="Z6" i="1"/>
  <c r="AD5" i="1"/>
  <c r="AA5" i="1"/>
  <c r="Y5" i="1"/>
  <c r="T9" i="1"/>
  <c r="T8" i="1"/>
  <c r="T6" i="1"/>
  <c r="N6" i="1"/>
  <c r="M5" i="1"/>
  <c r="S7" i="1"/>
  <c r="S5" i="1"/>
  <c r="W5" i="1"/>
  <c r="X7" i="1"/>
  <c r="U7" i="1"/>
  <c r="V7" i="1" s="1"/>
  <c r="X5" i="1"/>
  <c r="U5" i="1"/>
  <c r="V5" i="1" s="1"/>
  <c r="R5" i="1"/>
  <c r="Q5" i="1"/>
  <c r="O7" i="1"/>
  <c r="P7" i="1" s="1"/>
  <c r="O5" i="1"/>
  <c r="P5" i="1" s="1"/>
  <c r="AG11" i="1" l="1"/>
  <c r="J14" i="1"/>
  <c r="F14" i="1"/>
  <c r="AH29" i="1"/>
  <c r="AH28" i="1" s="1"/>
  <c r="F29" i="1"/>
  <c r="J29" i="1"/>
  <c r="AG41" i="1"/>
  <c r="AH44" i="1"/>
  <c r="AH42" i="1" s="1"/>
  <c r="F44" i="1"/>
  <c r="F74" i="1"/>
  <c r="J74" i="1"/>
  <c r="V85" i="1"/>
  <c r="V84" i="1" s="1"/>
  <c r="P88" i="1"/>
  <c r="J88" i="1"/>
  <c r="F88" i="1"/>
  <c r="AG69" i="1"/>
  <c r="V70" i="1"/>
  <c r="V68" i="1" s="1"/>
  <c r="P73" i="1"/>
  <c r="J73" i="1"/>
  <c r="F73" i="1"/>
  <c r="AA53" i="1"/>
  <c r="AA39" i="1"/>
  <c r="AH40" i="1"/>
  <c r="AB10" i="1"/>
  <c r="AB8" i="1" s="1"/>
  <c r="AA9" i="1"/>
  <c r="AA24" i="1"/>
  <c r="AH10" i="1"/>
  <c r="AH9" i="1" s="1"/>
  <c r="AG9" i="1"/>
  <c r="V40" i="1"/>
  <c r="V38" i="1" s="1"/>
  <c r="F43" i="1"/>
  <c r="P43" i="1"/>
  <c r="J43" i="1"/>
  <c r="V25" i="1"/>
  <c r="V23" i="1" s="1"/>
  <c r="P28" i="1"/>
  <c r="F28" i="1"/>
  <c r="J28" i="1"/>
  <c r="U8" i="1"/>
  <c r="F13" i="1"/>
  <c r="P13" i="1"/>
  <c r="J13" i="1"/>
  <c r="AH149" i="1"/>
  <c r="F149" i="1"/>
  <c r="J149" i="1"/>
  <c r="AH145" i="1"/>
  <c r="J148" i="1"/>
  <c r="P148" i="1"/>
  <c r="F148" i="1"/>
  <c r="AH134" i="1"/>
  <c r="F134" i="1"/>
  <c r="J134" i="1"/>
  <c r="AH130" i="1"/>
  <c r="P133" i="1"/>
  <c r="J133" i="1"/>
  <c r="F133" i="1"/>
  <c r="AH119" i="1"/>
  <c r="J119" i="1"/>
  <c r="F119" i="1"/>
  <c r="AB115" i="1"/>
  <c r="J118" i="1"/>
  <c r="P118" i="1"/>
  <c r="F118" i="1"/>
  <c r="AH104" i="1"/>
  <c r="AH102" i="1" s="1"/>
  <c r="J104" i="1"/>
  <c r="F104" i="1"/>
  <c r="AH100" i="1"/>
  <c r="V100" i="1"/>
  <c r="V99" i="1" s="1"/>
  <c r="P103" i="1"/>
  <c r="F103" i="1"/>
  <c r="J103" i="1"/>
  <c r="J59" i="1"/>
  <c r="F59" i="1"/>
  <c r="V55" i="1"/>
  <c r="V53" i="1" s="1"/>
  <c r="F58" i="1"/>
  <c r="P58" i="1"/>
  <c r="J58" i="1"/>
  <c r="O51" i="1"/>
  <c r="AA54" i="1"/>
  <c r="F57" i="1"/>
  <c r="J57" i="1"/>
  <c r="AA83" i="1"/>
  <c r="AG148" i="1"/>
  <c r="AG88" i="1"/>
  <c r="AH85" i="1"/>
  <c r="AH83" i="1" s="1"/>
  <c r="AG133" i="1"/>
  <c r="AA114" i="1"/>
  <c r="AG84" i="1"/>
  <c r="AB85" i="1"/>
  <c r="AB83" i="1" s="1"/>
  <c r="AA84" i="1"/>
  <c r="U83" i="1"/>
  <c r="AG114" i="1"/>
  <c r="AH112" i="1"/>
  <c r="AH114" i="1" s="1"/>
  <c r="AB112" i="1"/>
  <c r="AG117" i="1"/>
  <c r="AG118" i="1"/>
  <c r="AG103" i="1"/>
  <c r="AA99" i="1"/>
  <c r="AB97" i="1"/>
  <c r="AB99" i="1" s="1"/>
  <c r="U99" i="1"/>
  <c r="AG102" i="1"/>
  <c r="AH81" i="1"/>
  <c r="AH89" i="1"/>
  <c r="AG86" i="1"/>
  <c r="V80" i="1"/>
  <c r="V81" i="1" s="1"/>
  <c r="U81" i="1"/>
  <c r="AA81" i="1"/>
  <c r="U84" i="1"/>
  <c r="AG87" i="1"/>
  <c r="AB81" i="1"/>
  <c r="AG81" i="1"/>
  <c r="AG83" i="1"/>
  <c r="AG73" i="1"/>
  <c r="AA68" i="1"/>
  <c r="AA69" i="1"/>
  <c r="U69" i="1"/>
  <c r="AB65" i="1"/>
  <c r="AB68" i="1" s="1"/>
  <c r="U68" i="1"/>
  <c r="V67" i="1"/>
  <c r="U66" i="1"/>
  <c r="AH69" i="1"/>
  <c r="AG68" i="1"/>
  <c r="AH65" i="1"/>
  <c r="AH68" i="1" s="1"/>
  <c r="P67" i="1"/>
  <c r="P66" i="1" s="1"/>
  <c r="AH74" i="1"/>
  <c r="AA66" i="1"/>
  <c r="AG72" i="1"/>
  <c r="AG71" i="1"/>
  <c r="AB67" i="1"/>
  <c r="AH35" i="1"/>
  <c r="AB37" i="1"/>
  <c r="AB39" i="1" s="1"/>
  <c r="AB35" i="1"/>
  <c r="U39" i="1"/>
  <c r="V37" i="1"/>
  <c r="U38" i="1"/>
  <c r="O36" i="1"/>
  <c r="P36" i="1"/>
  <c r="AG58" i="1"/>
  <c r="AG56" i="1"/>
  <c r="AH59" i="1"/>
  <c r="AH57" i="1" s="1"/>
  <c r="AB54" i="1"/>
  <c r="AG57" i="1"/>
  <c r="AG54" i="1"/>
  <c r="AH50" i="1"/>
  <c r="AG53" i="1"/>
  <c r="U51" i="1"/>
  <c r="P50" i="1"/>
  <c r="P51" i="1" s="1"/>
  <c r="U53" i="1"/>
  <c r="AA51" i="1"/>
  <c r="U54" i="1"/>
  <c r="AB50" i="1"/>
  <c r="AB53" i="1" s="1"/>
  <c r="V52" i="1"/>
  <c r="V51" i="1" s="1"/>
  <c r="AH55" i="1"/>
  <c r="AG51" i="1"/>
  <c r="AA36" i="1"/>
  <c r="AG42" i="1"/>
  <c r="AG36" i="1"/>
  <c r="AG43" i="1"/>
  <c r="AG38" i="1"/>
  <c r="AG24" i="1"/>
  <c r="AG23" i="1"/>
  <c r="U24" i="1"/>
  <c r="AH22" i="1"/>
  <c r="AH24" i="1" s="1"/>
  <c r="V22" i="1"/>
  <c r="AA23" i="1"/>
  <c r="AB23" i="1"/>
  <c r="U23" i="1"/>
  <c r="AG26" i="1"/>
  <c r="P22" i="1"/>
  <c r="P21" i="1" s="1"/>
  <c r="AA21" i="1"/>
  <c r="AG27" i="1"/>
  <c r="AH20" i="1"/>
  <c r="AB22" i="1"/>
  <c r="AB21" i="1" s="1"/>
  <c r="AG28" i="1"/>
  <c r="AB6" i="1"/>
  <c r="V6" i="1"/>
  <c r="P6" i="1"/>
  <c r="AH6" i="1"/>
  <c r="V10" i="1"/>
  <c r="U9" i="1"/>
  <c r="AH14" i="1"/>
  <c r="AG13" i="1"/>
  <c r="AG12" i="1"/>
  <c r="AH43" i="1" l="1"/>
  <c r="AH103" i="1"/>
  <c r="V69" i="1"/>
  <c r="AH39" i="1"/>
  <c r="AH38" i="1"/>
  <c r="AB9" i="1"/>
  <c r="AH8" i="1"/>
  <c r="V39" i="1"/>
  <c r="V24" i="1"/>
  <c r="AH148" i="1"/>
  <c r="AH133" i="1"/>
  <c r="AB114" i="1"/>
  <c r="AH117" i="1"/>
  <c r="AH118" i="1"/>
  <c r="AH99" i="1"/>
  <c r="AB36" i="1"/>
  <c r="V21" i="1"/>
  <c r="AH27" i="1"/>
  <c r="AH66" i="1"/>
  <c r="AH84" i="1"/>
  <c r="AH88" i="1"/>
  <c r="AB84" i="1"/>
  <c r="AH86" i="1"/>
  <c r="AH87" i="1"/>
  <c r="V83" i="1"/>
  <c r="AB66" i="1"/>
  <c r="V66" i="1"/>
  <c r="AB69" i="1"/>
  <c r="AH73" i="1"/>
  <c r="AH72" i="1"/>
  <c r="AH71" i="1"/>
  <c r="AH41" i="1"/>
  <c r="AH36" i="1"/>
  <c r="AB38" i="1"/>
  <c r="V36" i="1"/>
  <c r="AH58" i="1"/>
  <c r="AH56" i="1"/>
  <c r="AH51" i="1"/>
  <c r="V54" i="1"/>
  <c r="AH54" i="1"/>
  <c r="AH53" i="1"/>
  <c r="AB51" i="1"/>
  <c r="AH21" i="1"/>
  <c r="AH23" i="1"/>
  <c r="AH26" i="1"/>
  <c r="AB24" i="1"/>
  <c r="V8" i="1"/>
  <c r="V9" i="1"/>
  <c r="AH11" i="1"/>
  <c r="AH12" i="1"/>
  <c r="AH13" i="1"/>
  <c r="L5" i="1" l="1"/>
  <c r="K5" i="1"/>
  <c r="I5" i="1"/>
  <c r="J5" i="1" s="1"/>
  <c r="E5" i="1"/>
  <c r="F5" i="1" s="1"/>
</calcChain>
</file>

<file path=xl/sharedStrings.xml><?xml version="1.0" encoding="utf-8"?>
<sst xmlns="http://schemas.openxmlformats.org/spreadsheetml/2006/main" count="545" uniqueCount="32">
  <si>
    <t>STABILITY</t>
  </si>
  <si>
    <t>DESIGNATION</t>
  </si>
  <si>
    <t>ALLOYS (POLYMERICS)</t>
  </si>
  <si>
    <t>PLANET SIZE</t>
  </si>
  <si>
    <t>Mult</t>
  </si>
  <si>
    <t>[1-3] Level Mult</t>
  </si>
  <si>
    <t>[1-2] Level Mult</t>
  </si>
  <si>
    <t>[2-3] Level Mult</t>
  </si>
  <si>
    <t>[1-4] Level Mult</t>
  </si>
  <si>
    <t>[2-4] Level Mult</t>
  </si>
  <si>
    <t>[3-4] Level Mult</t>
  </si>
  <si>
    <t>TYPE-1</t>
  </si>
  <si>
    <t>TYPE-2</t>
  </si>
  <si>
    <t>TYPE-3</t>
  </si>
  <si>
    <t>TYPE-4</t>
  </si>
  <si>
    <t>TYPE-5</t>
  </si>
  <si>
    <t>P/Job</t>
  </si>
  <si>
    <t>P/District</t>
  </si>
  <si>
    <t>P/Planet</t>
  </si>
  <si>
    <t>Total-I</t>
  </si>
  <si>
    <t>Interval-I</t>
  </si>
  <si>
    <t>AUTOMACHINES</t>
  </si>
  <si>
    <t>GASES / CRYSTALS</t>
  </si>
  <si>
    <t>CONSUMER GOODS/ ENERGY / FOOD</t>
  </si>
  <si>
    <t>EXOTIC PARTICLES</t>
  </si>
  <si>
    <t>FEMTOMATTER</t>
  </si>
  <si>
    <t>CONDENSICS</t>
  </si>
  <si>
    <t>QUASI-MATTER</t>
  </si>
  <si>
    <t>TYPE-6</t>
  </si>
  <si>
    <t>OSCILLYONS</t>
  </si>
  <si>
    <r>
      <rPr>
        <i/>
        <sz val="11"/>
        <color theme="1"/>
        <rFont val="Calibri"/>
        <family val="2"/>
        <scheme val="minor"/>
      </rPr>
      <t>RESEARCH</t>
    </r>
    <r>
      <rPr>
        <b/>
        <i/>
        <sz val="11"/>
        <color theme="1"/>
        <rFont val="Calibri"/>
        <family val="2"/>
        <scheme val="minor"/>
      </rPr>
      <t xml:space="preserve"> / MINERALS</t>
    </r>
  </si>
  <si>
    <r>
      <t xml:space="preserve">RESEARCH / </t>
    </r>
    <r>
      <rPr>
        <i/>
        <sz val="11"/>
        <color theme="1"/>
        <rFont val="Calibri"/>
        <family val="2"/>
        <scheme val="minor"/>
      </rPr>
      <t>MINERALS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</si>
</sst>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5757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57FFDB"/>
        <bgColor indexed="64"/>
      </patternFill>
    </fill>
    <fill>
      <patternFill patternType="solid">
        <fgColor rgb="FF9FFFE4"/>
        <bgColor indexed="64"/>
      </patternFill>
    </fill>
    <fill>
      <patternFill patternType="solid">
        <fgColor rgb="FFDDFFF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ABFFFF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C9C9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7" borderId="46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5" borderId="19" xfId="0" applyFill="1" applyBorder="1" applyAlignment="1">
      <alignment horizontal="center" vertical="center"/>
    </xf>
    <xf numFmtId="0" fontId="0" fillId="25" borderId="14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7" borderId="50" xfId="0" applyFill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164" fontId="4" fillId="0" borderId="34" xfId="0" applyNumberFormat="1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164" fontId="0" fillId="7" borderId="34" xfId="0" applyNumberFormat="1" applyFill="1" applyBorder="1" applyAlignment="1">
      <alignment horizontal="center" vertical="center"/>
    </xf>
    <xf numFmtId="0" fontId="0" fillId="24" borderId="37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27" borderId="11" xfId="0" applyFill="1" applyBorder="1" applyAlignment="1">
      <alignment horizontal="center" vertical="center"/>
    </xf>
    <xf numFmtId="0" fontId="0" fillId="27" borderId="19" xfId="0" applyFill="1" applyBorder="1" applyAlignment="1">
      <alignment horizontal="center" vertical="center"/>
    </xf>
    <xf numFmtId="0" fontId="0" fillId="28" borderId="11" xfId="0" applyFill="1" applyBorder="1" applyAlignment="1">
      <alignment horizontal="center" vertical="center"/>
    </xf>
    <xf numFmtId="0" fontId="0" fillId="29" borderId="9" xfId="0" applyFill="1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0" borderId="11" xfId="0" applyFill="1" applyBorder="1" applyAlignment="1">
      <alignment horizontal="center" vertical="center"/>
    </xf>
    <xf numFmtId="0" fontId="0" fillId="31" borderId="9" xfId="0" applyFill="1" applyBorder="1" applyAlignment="1">
      <alignment horizontal="center" vertical="center"/>
    </xf>
    <xf numFmtId="0" fontId="0" fillId="31" borderId="15" xfId="0" applyFill="1" applyBorder="1" applyAlignment="1">
      <alignment horizontal="center" vertical="center"/>
    </xf>
    <xf numFmtId="0" fontId="0" fillId="32" borderId="19" xfId="0" applyFill="1" applyBorder="1" applyAlignment="1">
      <alignment horizontal="center" vertical="center"/>
    </xf>
    <xf numFmtId="0" fontId="0" fillId="32" borderId="1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9C9"/>
      <color rgb="FFFF9999"/>
      <color rgb="FFFF7171"/>
      <color rgb="FFFF6565"/>
      <color rgb="FFFF8181"/>
      <color rgb="FFFF6D6D"/>
      <color rgb="FFFF5D5D"/>
      <color rgb="FFFFB9B9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60"/>
  <sheetViews>
    <sheetView tabSelected="1" topLeftCell="A25" zoomScale="75" zoomScaleNormal="75" workbookViewId="0">
      <selection activeCell="P44" sqref="P44"/>
    </sheetView>
  </sheetViews>
  <sheetFormatPr defaultRowHeight="14.4" x14ac:dyDescent="0.3"/>
  <cols>
    <col min="1" max="1" width="12" style="1" bestFit="1" customWidth="1"/>
    <col min="2" max="2" width="9.5546875" style="1" bestFit="1" customWidth="1"/>
    <col min="3" max="3" width="13.33203125" style="1" bestFit="1" customWidth="1"/>
    <col min="4" max="4" width="5.6640625" style="1" customWidth="1"/>
    <col min="5" max="5" width="8.6640625" style="1" customWidth="1"/>
    <col min="6" max="6" width="8.21875" style="1" customWidth="1"/>
    <col min="7" max="7" width="5.5546875" style="1" bestFit="1" customWidth="1"/>
    <col min="8" max="8" width="5.5546875" style="1" customWidth="1"/>
    <col min="9" max="9" width="9.44140625" style="1" bestFit="1" customWidth="1"/>
    <col min="10" max="10" width="8.21875" style="1" customWidth="1"/>
    <col min="11" max="11" width="6.44140625" style="1" bestFit="1" customWidth="1"/>
    <col min="12" max="12" width="8.44140625" style="1" bestFit="1" customWidth="1"/>
    <col min="13" max="13" width="5.5546875" style="1" bestFit="1" customWidth="1"/>
    <col min="14" max="14" width="5.44140625" style="1" customWidth="1"/>
    <col min="15" max="15" width="8.6640625" style="1" customWidth="1"/>
    <col min="16" max="16" width="8.21875" style="1" customWidth="1"/>
    <col min="17" max="17" width="6.44140625" style="1" bestFit="1" customWidth="1"/>
    <col min="18" max="18" width="8.44140625" style="1" bestFit="1" customWidth="1"/>
    <col min="19" max="19" width="5.5546875" style="1" bestFit="1" customWidth="1"/>
    <col min="20" max="20" width="5.5546875" style="1" customWidth="1"/>
    <col min="21" max="21" width="8.6640625" style="1" customWidth="1"/>
    <col min="22" max="22" width="8.21875" style="1" customWidth="1"/>
    <col min="23" max="23" width="6.44140625" style="1" bestFit="1" customWidth="1"/>
    <col min="24" max="24" width="8.44140625" style="1" bestFit="1" customWidth="1"/>
    <col min="25" max="25" width="5.5546875" style="1" bestFit="1" customWidth="1"/>
    <col min="26" max="26" width="5.6640625" style="1" customWidth="1"/>
    <col min="27" max="27" width="8.6640625" style="1" customWidth="1"/>
    <col min="28" max="28" width="8.21875" style="1" customWidth="1"/>
    <col min="29" max="29" width="6.44140625" style="1" bestFit="1" customWidth="1"/>
    <col min="30" max="30" width="8.44140625" style="1" bestFit="1" customWidth="1"/>
    <col min="31" max="31" width="5.5546875" style="1" bestFit="1" customWidth="1"/>
    <col min="32" max="32" width="5.5546875" style="1" customWidth="1"/>
    <col min="33" max="33" width="8.6640625" style="1" customWidth="1"/>
    <col min="34" max="34" width="8.21875" style="1" customWidth="1"/>
    <col min="35" max="35" width="6.44140625" style="1" bestFit="1" customWidth="1"/>
    <col min="36" max="36" width="8.44140625" style="1" bestFit="1" customWidth="1"/>
    <col min="37" max="37" width="8.88671875" style="1"/>
    <col min="38" max="38" width="11.6640625" style="1" bestFit="1" customWidth="1"/>
    <col min="39" max="39" width="9.5546875" style="1" bestFit="1" customWidth="1"/>
    <col min="40" max="40" width="13.109375" style="1" bestFit="1" customWidth="1"/>
    <col min="41" max="41" width="6.109375" style="1" bestFit="1" customWidth="1"/>
    <col min="42" max="42" width="9.44140625" style="1" bestFit="1" customWidth="1"/>
    <col min="43" max="43" width="8.88671875" style="1"/>
    <col min="44" max="44" width="5.77734375" style="1" bestFit="1" customWidth="1"/>
    <col min="45" max="45" width="6.109375" style="1" bestFit="1" customWidth="1"/>
    <col min="46" max="46" width="9" style="1" customWidth="1"/>
    <col min="47" max="47" width="8.88671875" style="1"/>
    <col min="48" max="48" width="6.44140625" style="1" bestFit="1" customWidth="1"/>
    <col min="49" max="49" width="8.6640625" style="1" bestFit="1" customWidth="1"/>
    <col min="50" max="50" width="5.77734375" style="1" bestFit="1" customWidth="1"/>
    <col min="51" max="51" width="6.109375" style="1" bestFit="1" customWidth="1"/>
    <col min="52" max="53" width="8.88671875" style="1"/>
    <col min="54" max="54" width="6.44140625" style="1" bestFit="1" customWidth="1"/>
    <col min="55" max="55" width="8.6640625" style="1" bestFit="1" customWidth="1"/>
    <col min="56" max="56" width="5.77734375" style="1" bestFit="1" customWidth="1"/>
    <col min="57" max="57" width="6.109375" style="1" bestFit="1" customWidth="1"/>
    <col min="58" max="58" width="9.44140625" style="1" bestFit="1" customWidth="1"/>
    <col min="59" max="59" width="9.33203125" style="1" bestFit="1" customWidth="1"/>
    <col min="60" max="60" width="6.44140625" style="1" bestFit="1" customWidth="1"/>
    <col min="61" max="61" width="8.6640625" style="1" bestFit="1" customWidth="1"/>
    <col min="62" max="62" width="5.77734375" style="1" bestFit="1" customWidth="1"/>
    <col min="63" max="63" width="6.109375" style="1" bestFit="1" customWidth="1"/>
    <col min="64" max="64" width="9.44140625" style="1" bestFit="1" customWidth="1"/>
    <col min="65" max="65" width="9.33203125" style="1" bestFit="1" customWidth="1"/>
    <col min="66" max="66" width="6.44140625" style="1" bestFit="1" customWidth="1"/>
    <col min="67" max="67" width="8.6640625" style="1" bestFit="1" customWidth="1"/>
    <col min="68" max="68" width="5.77734375" style="1" bestFit="1" customWidth="1"/>
    <col min="69" max="69" width="6.109375" style="1" bestFit="1" customWidth="1"/>
    <col min="70" max="70" width="9.44140625" style="1" bestFit="1" customWidth="1"/>
    <col min="71" max="71" width="9.33203125" style="1" bestFit="1" customWidth="1"/>
    <col min="72" max="72" width="6.44140625" style="1" bestFit="1" customWidth="1"/>
    <col min="73" max="73" width="8.6640625" style="1" bestFit="1" customWidth="1"/>
    <col min="74" max="16384" width="8.88671875" style="1"/>
  </cols>
  <sheetData>
    <row r="1" spans="1:73" ht="15" thickBot="1" x14ac:dyDescent="0.35">
      <c r="A1" s="139" t="s">
        <v>2</v>
      </c>
      <c r="B1" s="140"/>
      <c r="C1" s="141"/>
      <c r="D1" s="129" t="s">
        <v>11</v>
      </c>
      <c r="E1" s="130"/>
      <c r="F1" s="132"/>
      <c r="G1" s="129" t="s">
        <v>12</v>
      </c>
      <c r="H1" s="130"/>
      <c r="I1" s="130"/>
      <c r="J1" s="130"/>
      <c r="K1" s="130"/>
      <c r="L1" s="132"/>
      <c r="M1" s="129" t="s">
        <v>13</v>
      </c>
      <c r="N1" s="130"/>
      <c r="O1" s="130"/>
      <c r="P1" s="130"/>
      <c r="Q1" s="130"/>
      <c r="R1" s="132"/>
      <c r="S1" s="129" t="s">
        <v>14</v>
      </c>
      <c r="T1" s="130"/>
      <c r="U1" s="130"/>
      <c r="V1" s="130"/>
      <c r="W1" s="130"/>
      <c r="X1" s="132"/>
      <c r="Y1" s="129" t="s">
        <v>15</v>
      </c>
      <c r="Z1" s="130"/>
      <c r="AA1" s="130"/>
      <c r="AB1" s="130"/>
      <c r="AC1" s="130"/>
      <c r="AD1" s="132"/>
      <c r="AE1" s="129" t="s">
        <v>28</v>
      </c>
      <c r="AF1" s="130"/>
      <c r="AG1" s="130"/>
      <c r="AH1" s="130"/>
      <c r="AI1" s="130"/>
      <c r="AJ1" s="132"/>
    </row>
    <row r="2" spans="1:73" x14ac:dyDescent="0.3">
      <c r="A2" s="133" t="s">
        <v>3</v>
      </c>
      <c r="B2" s="136" t="s">
        <v>0</v>
      </c>
      <c r="C2" s="133" t="s">
        <v>1</v>
      </c>
      <c r="D2" s="127" t="s">
        <v>16</v>
      </c>
      <c r="E2" s="128" t="s">
        <v>17</v>
      </c>
      <c r="F2" s="125" t="s">
        <v>18</v>
      </c>
      <c r="G2" s="126" t="s">
        <v>4</v>
      </c>
      <c r="H2" s="127" t="s">
        <v>16</v>
      </c>
      <c r="I2" s="128" t="s">
        <v>17</v>
      </c>
      <c r="J2" s="125" t="s">
        <v>18</v>
      </c>
      <c r="K2" s="5"/>
      <c r="L2" s="5"/>
      <c r="M2" s="126" t="s">
        <v>4</v>
      </c>
      <c r="N2" s="127" t="s">
        <v>16</v>
      </c>
      <c r="O2" s="128" t="s">
        <v>17</v>
      </c>
      <c r="P2" s="125" t="s">
        <v>18</v>
      </c>
      <c r="Q2" s="5"/>
      <c r="R2" s="5"/>
      <c r="S2" s="126" t="s">
        <v>4</v>
      </c>
      <c r="T2" s="127" t="s">
        <v>16</v>
      </c>
      <c r="U2" s="128" t="s">
        <v>17</v>
      </c>
      <c r="V2" s="125" t="s">
        <v>18</v>
      </c>
      <c r="W2" s="5"/>
      <c r="X2" s="5"/>
      <c r="Y2" s="126" t="s">
        <v>4</v>
      </c>
      <c r="Z2" s="127" t="s">
        <v>16</v>
      </c>
      <c r="AA2" s="128" t="s">
        <v>17</v>
      </c>
      <c r="AB2" s="125" t="s">
        <v>18</v>
      </c>
      <c r="AC2" s="5"/>
      <c r="AD2" s="5"/>
      <c r="AE2" s="126" t="s">
        <v>4</v>
      </c>
      <c r="AF2" s="127" t="s">
        <v>16</v>
      </c>
      <c r="AG2" s="128" t="s">
        <v>17</v>
      </c>
      <c r="AH2" s="125" t="s">
        <v>18</v>
      </c>
      <c r="AI2" s="5"/>
      <c r="AJ2" s="11"/>
    </row>
    <row r="3" spans="1:73" x14ac:dyDescent="0.3">
      <c r="A3" s="134"/>
      <c r="B3" s="137"/>
      <c r="C3" s="134"/>
      <c r="D3" s="127"/>
      <c r="E3" s="128"/>
      <c r="F3" s="125"/>
      <c r="G3" s="126"/>
      <c r="H3" s="127"/>
      <c r="I3" s="128"/>
      <c r="J3" s="125"/>
      <c r="K3" s="2" t="s">
        <v>19</v>
      </c>
      <c r="L3" s="27" t="s">
        <v>20</v>
      </c>
      <c r="M3" s="126"/>
      <c r="N3" s="127"/>
      <c r="O3" s="128"/>
      <c r="P3" s="125"/>
      <c r="Q3" s="2" t="s">
        <v>19</v>
      </c>
      <c r="R3" s="27" t="s">
        <v>20</v>
      </c>
      <c r="S3" s="126"/>
      <c r="T3" s="127"/>
      <c r="U3" s="128"/>
      <c r="V3" s="125"/>
      <c r="W3" s="2" t="s">
        <v>19</v>
      </c>
      <c r="X3" s="27" t="s">
        <v>20</v>
      </c>
      <c r="Y3" s="126"/>
      <c r="Z3" s="127"/>
      <c r="AA3" s="128"/>
      <c r="AB3" s="125"/>
      <c r="AC3" s="2" t="s">
        <v>19</v>
      </c>
      <c r="AD3" s="27" t="s">
        <v>20</v>
      </c>
      <c r="AE3" s="126"/>
      <c r="AF3" s="127"/>
      <c r="AG3" s="128"/>
      <c r="AH3" s="125"/>
      <c r="AI3" s="2" t="s">
        <v>19</v>
      </c>
      <c r="AJ3" s="27" t="s">
        <v>20</v>
      </c>
    </row>
    <row r="4" spans="1:73" ht="15" thickBot="1" x14ac:dyDescent="0.35">
      <c r="A4" s="135"/>
      <c r="B4" s="138"/>
      <c r="C4" s="135"/>
      <c r="D4" s="145"/>
      <c r="E4" s="146"/>
      <c r="F4" s="147"/>
      <c r="G4" s="148"/>
      <c r="H4" s="145"/>
      <c r="I4" s="146"/>
      <c r="J4" s="147"/>
      <c r="K4" s="5"/>
      <c r="L4" s="5"/>
      <c r="M4" s="148"/>
      <c r="N4" s="145"/>
      <c r="O4" s="146"/>
      <c r="P4" s="147"/>
      <c r="Q4" s="5"/>
      <c r="R4" s="5"/>
      <c r="S4" s="148"/>
      <c r="T4" s="145"/>
      <c r="U4" s="146"/>
      <c r="V4" s="147"/>
      <c r="W4" s="5"/>
      <c r="X4" s="5"/>
      <c r="Y4" s="148"/>
      <c r="Z4" s="145"/>
      <c r="AA4" s="146"/>
      <c r="AB4" s="147"/>
      <c r="AC4" s="5"/>
      <c r="AD4" s="5"/>
      <c r="AE4" s="148"/>
      <c r="AF4" s="145"/>
      <c r="AG4" s="146"/>
      <c r="AH4" s="147"/>
      <c r="AI4" s="5"/>
      <c r="AJ4" s="11"/>
    </row>
    <row r="5" spans="1:73" ht="15.6" thickTop="1" thickBot="1" x14ac:dyDescent="0.35">
      <c r="A5" s="4">
        <v>25</v>
      </c>
      <c r="B5" s="112">
        <v>68</v>
      </c>
      <c r="C5" s="3">
        <v>1.1499999999999999</v>
      </c>
      <c r="D5" s="9">
        <v>3</v>
      </c>
      <c r="E5" s="8">
        <f>D5*2</f>
        <v>6</v>
      </c>
      <c r="F5" s="7">
        <f>E5*A5*(1+B5*3/500-0.3)*C5</f>
        <v>191.12999999999997</v>
      </c>
      <c r="G5" s="24">
        <f>H5/D5</f>
        <v>1.3333333333333333</v>
      </c>
      <c r="H5" s="55">
        <v>4</v>
      </c>
      <c r="I5" s="19">
        <f>H5*2</f>
        <v>8</v>
      </c>
      <c r="J5" s="7">
        <f>I5*A5*(1+B5*3/500-0.3)*C5</f>
        <v>254.83999999999995</v>
      </c>
      <c r="K5" s="10">
        <f>H5-D5</f>
        <v>1</v>
      </c>
      <c r="L5" s="25">
        <f>H5-D5</f>
        <v>1</v>
      </c>
      <c r="M5" s="24">
        <f>N5/H5</f>
        <v>1.25</v>
      </c>
      <c r="N5" s="9">
        <v>5</v>
      </c>
      <c r="O5" s="8">
        <f>N5*2</f>
        <v>10</v>
      </c>
      <c r="P5" s="7">
        <f>O5*A5*(1+B5*3/500-0.3)*C5</f>
        <v>318.5499999999999</v>
      </c>
      <c r="Q5" s="10">
        <f>N5-D5</f>
        <v>2</v>
      </c>
      <c r="R5" s="25">
        <f>N5-H5</f>
        <v>1</v>
      </c>
      <c r="S5" s="24">
        <f>T5/N5</f>
        <v>1.2</v>
      </c>
      <c r="T5" s="9">
        <v>6</v>
      </c>
      <c r="U5" s="8">
        <f>T5*2</f>
        <v>12</v>
      </c>
      <c r="V5" s="7">
        <f>U5*A5*(1+B5*3/500-0.3)*C5</f>
        <v>382.25999999999993</v>
      </c>
      <c r="W5" s="10">
        <f>T5-D5</f>
        <v>3</v>
      </c>
      <c r="X5" s="25">
        <f>T5-N5</f>
        <v>1</v>
      </c>
      <c r="Y5" s="24">
        <f>Z5/T5</f>
        <v>1.1666666666666667</v>
      </c>
      <c r="Z5" s="9">
        <v>7</v>
      </c>
      <c r="AA5" s="8">
        <f>Z5*2</f>
        <v>14</v>
      </c>
      <c r="AB5" s="7">
        <f>AA5*A5*(1+B5*3/500-0.3)*C5</f>
        <v>445.96999999999991</v>
      </c>
      <c r="AC5" s="10">
        <f>Z5-D5</f>
        <v>4</v>
      </c>
      <c r="AD5" s="25">
        <f>Z5-T5</f>
        <v>1</v>
      </c>
      <c r="AE5" s="24">
        <f>AF5/Z5</f>
        <v>1.1428571428571428</v>
      </c>
      <c r="AF5" s="9">
        <v>8</v>
      </c>
      <c r="AG5" s="8">
        <f>AF5*2</f>
        <v>16</v>
      </c>
      <c r="AH5" s="7">
        <f>AG5*A5*(1+B5*3/500-0.3)*C5</f>
        <v>509.67999999999989</v>
      </c>
      <c r="AI5" s="10">
        <f>AF5-D5</f>
        <v>5</v>
      </c>
      <c r="AJ5" s="26">
        <f>AF5-Z5</f>
        <v>1</v>
      </c>
    </row>
    <row r="6" spans="1:73" ht="15" thickBot="1" x14ac:dyDescent="0.35">
      <c r="A6" s="129" t="s">
        <v>6</v>
      </c>
      <c r="B6" s="130"/>
      <c r="C6" s="131"/>
      <c r="D6" s="5"/>
      <c r="E6" s="5"/>
      <c r="F6" s="5"/>
      <c r="G6" s="5"/>
      <c r="H6" s="5"/>
      <c r="I6" s="5"/>
      <c r="J6" s="5"/>
      <c r="K6" s="5"/>
      <c r="L6" s="5"/>
      <c r="M6" s="5"/>
      <c r="N6" s="21">
        <f>N7/N5</f>
        <v>1.8</v>
      </c>
      <c r="O6" s="21">
        <f>O7/O5</f>
        <v>1.8</v>
      </c>
      <c r="P6" s="21">
        <f>P7/P5</f>
        <v>2.3555956678700367</v>
      </c>
      <c r="Q6" s="5"/>
      <c r="R6" s="5"/>
      <c r="S6" s="22"/>
      <c r="T6" s="21">
        <f>T7/T5</f>
        <v>2</v>
      </c>
      <c r="U6" s="21">
        <f t="shared" ref="U6:V6" si="0">U7/U5</f>
        <v>2</v>
      </c>
      <c r="V6" s="21">
        <f t="shared" si="0"/>
        <v>2.617328519855596</v>
      </c>
      <c r="W6" s="5"/>
      <c r="X6" s="5"/>
      <c r="Y6" s="22"/>
      <c r="Z6" s="21">
        <f>Z7/Z5</f>
        <v>2.1428571428571428</v>
      </c>
      <c r="AA6" s="21">
        <f t="shared" ref="AA6:AB6" si="1">AA7/AA5</f>
        <v>2.1428571428571428</v>
      </c>
      <c r="AB6" s="21">
        <f t="shared" si="1"/>
        <v>2.8042805569881382</v>
      </c>
      <c r="AC6" s="5"/>
      <c r="AD6" s="5"/>
      <c r="AE6" s="22"/>
      <c r="AF6" s="21">
        <f>AF7/AF5</f>
        <v>2.25</v>
      </c>
      <c r="AG6" s="21">
        <f t="shared" ref="AG6:AH6" si="2">AG7/AG5</f>
        <v>2.25</v>
      </c>
      <c r="AH6" s="21">
        <f t="shared" si="2"/>
        <v>2.9444945848375457</v>
      </c>
      <c r="AI6" s="5"/>
      <c r="AJ6" s="11"/>
    </row>
    <row r="7" spans="1:73" ht="15.6" thickTop="1" thickBot="1" x14ac:dyDescent="0.35">
      <c r="A7" s="3">
        <v>25</v>
      </c>
      <c r="B7" s="3">
        <v>75</v>
      </c>
      <c r="C7" s="114">
        <v>1.45</v>
      </c>
      <c r="D7" s="13"/>
      <c r="E7" s="14"/>
      <c r="F7" s="14"/>
      <c r="G7" s="14"/>
      <c r="H7" s="14"/>
      <c r="I7" s="14"/>
      <c r="J7" s="14"/>
      <c r="K7" s="14"/>
      <c r="L7" s="14"/>
      <c r="M7" s="15"/>
      <c r="N7" s="12">
        <v>9</v>
      </c>
      <c r="O7" s="8">
        <f>N7*2</f>
        <v>18</v>
      </c>
      <c r="P7" s="7">
        <f>O7*A7*(1+B7*3/500-0.3)*C7</f>
        <v>750.375</v>
      </c>
      <c r="Q7" s="14"/>
      <c r="R7" s="14"/>
      <c r="S7" s="24">
        <f>T7/N7</f>
        <v>1.3333333333333333</v>
      </c>
      <c r="T7" s="9">
        <v>12</v>
      </c>
      <c r="U7" s="8">
        <f>T7*2</f>
        <v>24</v>
      </c>
      <c r="V7" s="7">
        <f>U7*A7*(1+B7*3/500-0.3)*C7</f>
        <v>1000.5</v>
      </c>
      <c r="W7" s="10">
        <f>T7-N7</f>
        <v>3</v>
      </c>
      <c r="X7" s="25">
        <f>T7-N7</f>
        <v>3</v>
      </c>
      <c r="Y7" s="24">
        <f>Z7/T7</f>
        <v>1.25</v>
      </c>
      <c r="Z7" s="9">
        <v>15</v>
      </c>
      <c r="AA7" s="8">
        <f>Z7*2</f>
        <v>30</v>
      </c>
      <c r="AB7" s="7">
        <f>AA7*A7*(1+B7*3/500-0.3)*C7</f>
        <v>1250.6249999999998</v>
      </c>
      <c r="AC7" s="10">
        <f>Z7-N7</f>
        <v>6</v>
      </c>
      <c r="AD7" s="25">
        <f>Z7-T7</f>
        <v>3</v>
      </c>
      <c r="AE7" s="24">
        <f>AF7/Z7</f>
        <v>1.2</v>
      </c>
      <c r="AF7" s="9">
        <v>18</v>
      </c>
      <c r="AG7" s="8">
        <f>AF7*2</f>
        <v>36</v>
      </c>
      <c r="AH7" s="7">
        <f>AG7*A7*(1+B7*3/500-0.3)*C7</f>
        <v>1500.75</v>
      </c>
      <c r="AI7" s="10">
        <f>AF7-N7</f>
        <v>9</v>
      </c>
      <c r="AJ7" s="26">
        <f>AF7-Z7</f>
        <v>3</v>
      </c>
    </row>
    <row r="8" spans="1:73" ht="15" thickBot="1" x14ac:dyDescent="0.35">
      <c r="A8" s="115" t="s">
        <v>5</v>
      </c>
      <c r="B8" s="116"/>
      <c r="C8" s="11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20">
        <f>T10/T5</f>
        <v>7.5</v>
      </c>
      <c r="U8" s="20">
        <f t="shared" ref="U8:V8" si="3">U10/U5</f>
        <v>11.25</v>
      </c>
      <c r="V8" s="20">
        <f t="shared" si="3"/>
        <v>6.0314550306074421</v>
      </c>
      <c r="W8" s="5"/>
      <c r="X8" s="5"/>
      <c r="Y8" s="22"/>
      <c r="Z8" s="20">
        <f>Z10/Z5</f>
        <v>8.5714285714285712</v>
      </c>
      <c r="AA8" s="20">
        <f t="shared" ref="AA8:AB8" si="4">AA10/AA5</f>
        <v>12.857142857142858</v>
      </c>
      <c r="AB8" s="20">
        <f t="shared" si="4"/>
        <v>6.8930914635513618</v>
      </c>
      <c r="AC8" s="5"/>
      <c r="AD8" s="5"/>
      <c r="AE8" s="22"/>
      <c r="AF8" s="20">
        <f>AF10/AF5</f>
        <v>9.375</v>
      </c>
      <c r="AG8" s="20">
        <f t="shared" ref="AG8:AH8" si="5">AG10/AG5</f>
        <v>14.0625</v>
      </c>
      <c r="AH8" s="20">
        <f t="shared" si="5"/>
        <v>7.539318788259302</v>
      </c>
      <c r="AI8" s="5"/>
      <c r="AJ8" s="11"/>
    </row>
    <row r="9" spans="1:73" ht="15" thickBot="1" x14ac:dyDescent="0.35">
      <c r="A9" s="118" t="s">
        <v>7</v>
      </c>
      <c r="B9" s="119"/>
      <c r="C9" s="120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21">
        <f>T10/T7</f>
        <v>3.75</v>
      </c>
      <c r="U9" s="21">
        <f t="shared" ref="U9:V9" si="6">U10/U7</f>
        <v>5.625</v>
      </c>
      <c r="V9" s="21">
        <f t="shared" si="6"/>
        <v>2.3044317841079462</v>
      </c>
      <c r="W9" s="5"/>
      <c r="X9" s="5"/>
      <c r="Y9" s="22"/>
      <c r="Z9" s="21">
        <f>Z10/Z7</f>
        <v>4</v>
      </c>
      <c r="AA9" s="21">
        <f t="shared" ref="AA9:AB9" si="7">AA10/AA7</f>
        <v>6</v>
      </c>
      <c r="AB9" s="21">
        <f t="shared" si="7"/>
        <v>2.4580605697151428</v>
      </c>
      <c r="AC9" s="5"/>
      <c r="AD9" s="5"/>
      <c r="AE9" s="22"/>
      <c r="AF9" s="21">
        <f>AF10/AF7</f>
        <v>4.166666666666667</v>
      </c>
      <c r="AG9" s="21">
        <f t="shared" ref="AG9:AH9" si="8">AG10/AG7</f>
        <v>6.25</v>
      </c>
      <c r="AH9" s="21">
        <f t="shared" si="8"/>
        <v>2.5604797601199403</v>
      </c>
      <c r="AI9" s="5"/>
      <c r="AJ9" s="11"/>
    </row>
    <row r="10" spans="1:73" ht="15.6" thickTop="1" thickBot="1" x14ac:dyDescent="0.35">
      <c r="A10" s="3">
        <v>9</v>
      </c>
      <c r="B10" s="3">
        <v>81</v>
      </c>
      <c r="C10" s="3">
        <v>1.6</v>
      </c>
      <c r="D10" s="14"/>
      <c r="E10" s="14"/>
      <c r="F10" s="103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5"/>
      <c r="T10" s="12">
        <v>45</v>
      </c>
      <c r="U10" s="8">
        <f>T10*3</f>
        <v>135</v>
      </c>
      <c r="V10" s="7">
        <f>U10*A10*(1+B10*3/500-0.3)*C10</f>
        <v>2305.5840000000003</v>
      </c>
      <c r="W10" s="14"/>
      <c r="X10" s="14"/>
      <c r="Y10" s="24">
        <f>Z10/T10</f>
        <v>1.3333333333333333</v>
      </c>
      <c r="Z10" s="9">
        <v>60</v>
      </c>
      <c r="AA10" s="8">
        <f>Z10*3</f>
        <v>180</v>
      </c>
      <c r="AB10" s="7">
        <f>AA10*A10*(1+B10*3/500-0.3)*C10</f>
        <v>3074.1120000000001</v>
      </c>
      <c r="AC10" s="10">
        <f>Z10-T10</f>
        <v>15</v>
      </c>
      <c r="AD10" s="25">
        <f>Z10-T10</f>
        <v>15</v>
      </c>
      <c r="AE10" s="24">
        <f>AF10/Z10</f>
        <v>1.25</v>
      </c>
      <c r="AF10" s="9">
        <v>75</v>
      </c>
      <c r="AG10" s="8">
        <f>AF10*3</f>
        <v>225</v>
      </c>
      <c r="AH10" s="7">
        <f>AG10*A10*(1+B10*3/500-0.3)*C10</f>
        <v>3842.6400000000003</v>
      </c>
      <c r="AI10" s="10">
        <f>AF10-T10</f>
        <v>30</v>
      </c>
      <c r="AJ10" s="26">
        <f>AF10-Z10</f>
        <v>15</v>
      </c>
    </row>
    <row r="11" spans="1:73" ht="15.6" thickTop="1" thickBot="1" x14ac:dyDescent="0.35">
      <c r="A11" s="115" t="s">
        <v>8</v>
      </c>
      <c r="B11" s="116"/>
      <c r="C11" s="117"/>
      <c r="D11" s="5"/>
      <c r="E11" s="106">
        <v>800</v>
      </c>
      <c r="F11" s="104">
        <f>E11/(E5*(1+B5*3/500-0.3)*C5*2)</f>
        <v>52.320410192015913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20">
        <f>AF14/AF5</f>
        <v>46.875</v>
      </c>
      <c r="AG11" s="20">
        <f t="shared" ref="AG11:AH11" si="9">AG14/AG5</f>
        <v>140.625</v>
      </c>
      <c r="AH11" s="20">
        <f t="shared" si="9"/>
        <v>127.12976769737877</v>
      </c>
      <c r="AI11" s="5"/>
      <c r="AJ11" s="11"/>
    </row>
    <row r="12" spans="1:73" ht="15.6" thickTop="1" thickBot="1" x14ac:dyDescent="0.35">
      <c r="A12" s="121" t="s">
        <v>9</v>
      </c>
      <c r="B12" s="122"/>
      <c r="C12" s="123"/>
      <c r="D12" s="5"/>
      <c r="E12" s="106">
        <v>2500</v>
      </c>
      <c r="F12" s="104">
        <f>E12/(O7*(1+B7*3/500-0.3)*C7*2)</f>
        <v>41.645843744794277</v>
      </c>
      <c r="G12" s="5"/>
      <c r="H12" s="5"/>
      <c r="I12" s="106">
        <v>20000</v>
      </c>
      <c r="J12" s="104">
        <f>(E12+I12/A7)/(O7*(1+B7*3/500-0.3)*C7*2)</f>
        <v>54.972513743128438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20">
        <f>AF14/AF7</f>
        <v>20.833333333333332</v>
      </c>
      <c r="AG12" s="20">
        <f t="shared" ref="AG12:AH12" si="10">AG14/AG7</f>
        <v>62.5</v>
      </c>
      <c r="AH12" s="20">
        <f t="shared" si="10"/>
        <v>43.175412293853071</v>
      </c>
      <c r="AI12" s="5"/>
      <c r="AJ12" s="11"/>
    </row>
    <row r="13" spans="1:73" ht="15.6" thickTop="1" thickBot="1" x14ac:dyDescent="0.35">
      <c r="A13" s="124" t="s">
        <v>10</v>
      </c>
      <c r="B13" s="119"/>
      <c r="C13" s="120"/>
      <c r="D13" s="5"/>
      <c r="E13" s="106">
        <v>8683</v>
      </c>
      <c r="F13" s="104">
        <f>E13/(U10*(1+B10*3/500-0.3)*C10*2)</f>
        <v>16.947333083505089</v>
      </c>
      <c r="G13" s="5"/>
      <c r="H13" s="5"/>
      <c r="I13" s="106">
        <v>742500</v>
      </c>
      <c r="J13" s="104">
        <f>(E13+I13/4/10)/(U10*(1+B10*3/500-0.3)*C10*2)</f>
        <v>53.177307788395481</v>
      </c>
      <c r="K13" s="5"/>
      <c r="L13" s="5"/>
      <c r="M13" s="5"/>
      <c r="N13" s="5"/>
      <c r="O13" s="106">
        <v>1325500</v>
      </c>
      <c r="P13" s="104">
        <f>(E13+O13/8/10)/(U10*(1+B10*3/500-0.3)*C10*2)</f>
        <v>49.285940134907257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21">
        <f>AF14/AF10</f>
        <v>5</v>
      </c>
      <c r="AG13" s="21">
        <f t="shared" ref="AG13:AH13" si="11">AG14/AG10</f>
        <v>10</v>
      </c>
      <c r="AH13" s="21">
        <f t="shared" si="11"/>
        <v>16.862235338204982</v>
      </c>
      <c r="AI13" s="5"/>
      <c r="AJ13" s="11"/>
    </row>
    <row r="14" spans="1:73" ht="15.6" thickTop="1" thickBot="1" x14ac:dyDescent="0.35">
      <c r="A14" s="3">
        <v>14</v>
      </c>
      <c r="B14" s="3">
        <v>85</v>
      </c>
      <c r="C14" s="3">
        <v>1.7</v>
      </c>
      <c r="D14" s="14"/>
      <c r="E14" s="13">
        <v>150000</v>
      </c>
      <c r="F14" s="105">
        <f>E14/(AG14*(1+B14*3/500-0.3)*C14*2)</f>
        <v>16.204829039053639</v>
      </c>
      <c r="G14" s="14"/>
      <c r="H14" s="14"/>
      <c r="I14" s="13">
        <v>25000000</v>
      </c>
      <c r="J14" s="105">
        <f>(E14+I14/8/15)/(AG14*(1+B14*3/500-0.3)*C14*2)</f>
        <v>38.711536037739251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5"/>
      <c r="AF14" s="12">
        <v>375</v>
      </c>
      <c r="AG14" s="8">
        <f>AF14*6</f>
        <v>2250</v>
      </c>
      <c r="AH14" s="7">
        <f>AG14*A14*(1+B14*3/500-0.3)*C14</f>
        <v>64795.5</v>
      </c>
      <c r="AI14" s="16"/>
      <c r="AJ14" s="17"/>
    </row>
    <row r="15" spans="1:73" ht="15" thickBot="1" x14ac:dyDescent="0.35"/>
    <row r="16" spans="1:73" ht="15" thickBot="1" x14ac:dyDescent="0.35">
      <c r="A16" s="139" t="s">
        <v>31</v>
      </c>
      <c r="B16" s="140"/>
      <c r="C16" s="141"/>
      <c r="D16" s="129" t="s">
        <v>11</v>
      </c>
      <c r="E16" s="130"/>
      <c r="F16" s="132"/>
      <c r="G16" s="129" t="s">
        <v>12</v>
      </c>
      <c r="H16" s="130"/>
      <c r="I16" s="130"/>
      <c r="J16" s="130"/>
      <c r="K16" s="130"/>
      <c r="L16" s="132"/>
      <c r="M16" s="129" t="s">
        <v>13</v>
      </c>
      <c r="N16" s="130"/>
      <c r="O16" s="130"/>
      <c r="P16" s="130"/>
      <c r="Q16" s="130"/>
      <c r="R16" s="132"/>
      <c r="S16" s="129" t="s">
        <v>14</v>
      </c>
      <c r="T16" s="130"/>
      <c r="U16" s="130"/>
      <c r="V16" s="130"/>
      <c r="W16" s="130"/>
      <c r="X16" s="132"/>
      <c r="Y16" s="129" t="s">
        <v>15</v>
      </c>
      <c r="Z16" s="130"/>
      <c r="AA16" s="130"/>
      <c r="AB16" s="130"/>
      <c r="AC16" s="130"/>
      <c r="AD16" s="132"/>
      <c r="AE16" s="129" t="s">
        <v>28</v>
      </c>
      <c r="AF16" s="130"/>
      <c r="AG16" s="130"/>
      <c r="AH16" s="130"/>
      <c r="AI16" s="130"/>
      <c r="AJ16" s="132"/>
      <c r="AL16" s="139" t="s">
        <v>30</v>
      </c>
      <c r="AM16" s="140"/>
      <c r="AN16" s="141"/>
      <c r="AO16" s="129" t="s">
        <v>11</v>
      </c>
      <c r="AP16" s="130"/>
      <c r="AQ16" s="132"/>
      <c r="AR16" s="129" t="s">
        <v>12</v>
      </c>
      <c r="AS16" s="130"/>
      <c r="AT16" s="130"/>
      <c r="AU16" s="130"/>
      <c r="AV16" s="130"/>
      <c r="AW16" s="132"/>
      <c r="AX16" s="129" t="s">
        <v>13</v>
      </c>
      <c r="AY16" s="130"/>
      <c r="AZ16" s="130"/>
      <c r="BA16" s="130"/>
      <c r="BB16" s="130"/>
      <c r="BC16" s="132"/>
      <c r="BD16" s="129" t="s">
        <v>14</v>
      </c>
      <c r="BE16" s="130"/>
      <c r="BF16" s="130"/>
      <c r="BG16" s="130"/>
      <c r="BH16" s="130"/>
      <c r="BI16" s="132"/>
      <c r="BJ16" s="129" t="s">
        <v>15</v>
      </c>
      <c r="BK16" s="130"/>
      <c r="BL16" s="130"/>
      <c r="BM16" s="130"/>
      <c r="BN16" s="130"/>
      <c r="BO16" s="132"/>
      <c r="BP16" s="129" t="s">
        <v>28</v>
      </c>
      <c r="BQ16" s="130"/>
      <c r="BR16" s="130"/>
      <c r="BS16" s="130"/>
      <c r="BT16" s="130"/>
      <c r="BU16" s="132"/>
    </row>
    <row r="17" spans="1:73" x14ac:dyDescent="0.3">
      <c r="A17" s="133" t="s">
        <v>3</v>
      </c>
      <c r="B17" s="136" t="s">
        <v>0</v>
      </c>
      <c r="C17" s="133" t="s">
        <v>1</v>
      </c>
      <c r="D17" s="127" t="s">
        <v>16</v>
      </c>
      <c r="E17" s="128" t="s">
        <v>17</v>
      </c>
      <c r="F17" s="125" t="s">
        <v>18</v>
      </c>
      <c r="G17" s="126" t="s">
        <v>4</v>
      </c>
      <c r="H17" s="127" t="s">
        <v>16</v>
      </c>
      <c r="I17" s="128" t="s">
        <v>17</v>
      </c>
      <c r="J17" s="125" t="s">
        <v>18</v>
      </c>
      <c r="K17" s="5"/>
      <c r="L17" s="5"/>
      <c r="M17" s="126" t="s">
        <v>4</v>
      </c>
      <c r="N17" s="127" t="s">
        <v>16</v>
      </c>
      <c r="O17" s="128" t="s">
        <v>17</v>
      </c>
      <c r="P17" s="125" t="s">
        <v>18</v>
      </c>
      <c r="Q17" s="5"/>
      <c r="R17" s="5"/>
      <c r="S17" s="126" t="s">
        <v>4</v>
      </c>
      <c r="T17" s="127" t="s">
        <v>16</v>
      </c>
      <c r="U17" s="128" t="s">
        <v>17</v>
      </c>
      <c r="V17" s="125" t="s">
        <v>18</v>
      </c>
      <c r="W17" s="5"/>
      <c r="X17" s="5"/>
      <c r="Y17" s="126" t="s">
        <v>4</v>
      </c>
      <c r="Z17" s="127" t="s">
        <v>16</v>
      </c>
      <c r="AA17" s="128" t="s">
        <v>17</v>
      </c>
      <c r="AB17" s="125" t="s">
        <v>18</v>
      </c>
      <c r="AC17" s="5"/>
      <c r="AD17" s="5"/>
      <c r="AE17" s="126" t="s">
        <v>4</v>
      </c>
      <c r="AF17" s="127" t="s">
        <v>16</v>
      </c>
      <c r="AG17" s="128" t="s">
        <v>17</v>
      </c>
      <c r="AH17" s="125" t="s">
        <v>18</v>
      </c>
      <c r="AI17" s="5"/>
      <c r="AJ17" s="11"/>
      <c r="AL17" s="133" t="s">
        <v>3</v>
      </c>
      <c r="AM17" s="136" t="s">
        <v>0</v>
      </c>
      <c r="AN17" s="133" t="s">
        <v>1</v>
      </c>
      <c r="AO17" s="127" t="s">
        <v>16</v>
      </c>
      <c r="AP17" s="128" t="s">
        <v>17</v>
      </c>
      <c r="AQ17" s="125" t="s">
        <v>18</v>
      </c>
      <c r="AR17" s="126" t="s">
        <v>4</v>
      </c>
      <c r="AS17" s="127" t="s">
        <v>16</v>
      </c>
      <c r="AT17" s="128" t="s">
        <v>17</v>
      </c>
      <c r="AU17" s="125" t="s">
        <v>18</v>
      </c>
      <c r="AV17" s="113"/>
      <c r="AW17" s="113"/>
      <c r="AX17" s="126" t="s">
        <v>4</v>
      </c>
      <c r="AY17" s="127" t="s">
        <v>16</v>
      </c>
      <c r="AZ17" s="128" t="s">
        <v>17</v>
      </c>
      <c r="BA17" s="125" t="s">
        <v>18</v>
      </c>
      <c r="BB17" s="113"/>
      <c r="BC17" s="113"/>
      <c r="BD17" s="126" t="s">
        <v>4</v>
      </c>
      <c r="BE17" s="127" t="s">
        <v>16</v>
      </c>
      <c r="BF17" s="128" t="s">
        <v>17</v>
      </c>
      <c r="BG17" s="125" t="s">
        <v>18</v>
      </c>
      <c r="BH17" s="113"/>
      <c r="BI17" s="113"/>
      <c r="BJ17" s="126" t="s">
        <v>4</v>
      </c>
      <c r="BK17" s="127" t="s">
        <v>16</v>
      </c>
      <c r="BL17" s="128" t="s">
        <v>17</v>
      </c>
      <c r="BM17" s="125" t="s">
        <v>18</v>
      </c>
      <c r="BN17" s="113"/>
      <c r="BO17" s="113"/>
      <c r="BP17" s="126" t="s">
        <v>4</v>
      </c>
      <c r="BQ17" s="127" t="s">
        <v>16</v>
      </c>
      <c r="BR17" s="128" t="s">
        <v>17</v>
      </c>
      <c r="BS17" s="125" t="s">
        <v>18</v>
      </c>
      <c r="BT17" s="113"/>
      <c r="BU17" s="11"/>
    </row>
    <row r="18" spans="1:73" x14ac:dyDescent="0.3">
      <c r="A18" s="134"/>
      <c r="B18" s="137"/>
      <c r="C18" s="134"/>
      <c r="D18" s="127"/>
      <c r="E18" s="128"/>
      <c r="F18" s="125"/>
      <c r="G18" s="126"/>
      <c r="H18" s="127"/>
      <c r="I18" s="128"/>
      <c r="J18" s="125"/>
      <c r="K18" s="2" t="s">
        <v>19</v>
      </c>
      <c r="L18" s="27" t="s">
        <v>20</v>
      </c>
      <c r="M18" s="126"/>
      <c r="N18" s="127"/>
      <c r="O18" s="128"/>
      <c r="P18" s="125"/>
      <c r="Q18" s="2" t="s">
        <v>19</v>
      </c>
      <c r="R18" s="27" t="s">
        <v>20</v>
      </c>
      <c r="S18" s="126"/>
      <c r="T18" s="127"/>
      <c r="U18" s="128"/>
      <c r="V18" s="125"/>
      <c r="W18" s="2" t="s">
        <v>19</v>
      </c>
      <c r="X18" s="27" t="s">
        <v>20</v>
      </c>
      <c r="Y18" s="126"/>
      <c r="Z18" s="127"/>
      <c r="AA18" s="128"/>
      <c r="AB18" s="125"/>
      <c r="AC18" s="2" t="s">
        <v>19</v>
      </c>
      <c r="AD18" s="27" t="s">
        <v>20</v>
      </c>
      <c r="AE18" s="126"/>
      <c r="AF18" s="127"/>
      <c r="AG18" s="128"/>
      <c r="AH18" s="125"/>
      <c r="AI18" s="2" t="s">
        <v>19</v>
      </c>
      <c r="AJ18" s="27" t="s">
        <v>20</v>
      </c>
      <c r="AL18" s="134"/>
      <c r="AM18" s="137"/>
      <c r="AN18" s="134"/>
      <c r="AO18" s="127"/>
      <c r="AP18" s="128"/>
      <c r="AQ18" s="125"/>
      <c r="AR18" s="126"/>
      <c r="AS18" s="127"/>
      <c r="AT18" s="128"/>
      <c r="AU18" s="125"/>
      <c r="AV18" s="2" t="s">
        <v>19</v>
      </c>
      <c r="AW18" s="27" t="s">
        <v>20</v>
      </c>
      <c r="AX18" s="126"/>
      <c r="AY18" s="127"/>
      <c r="AZ18" s="128"/>
      <c r="BA18" s="125"/>
      <c r="BB18" s="2" t="s">
        <v>19</v>
      </c>
      <c r="BC18" s="27" t="s">
        <v>20</v>
      </c>
      <c r="BD18" s="126"/>
      <c r="BE18" s="127"/>
      <c r="BF18" s="128"/>
      <c r="BG18" s="125"/>
      <c r="BH18" s="2" t="s">
        <v>19</v>
      </c>
      <c r="BI18" s="27" t="s">
        <v>20</v>
      </c>
      <c r="BJ18" s="126"/>
      <c r="BK18" s="127"/>
      <c r="BL18" s="128"/>
      <c r="BM18" s="125"/>
      <c r="BN18" s="2" t="s">
        <v>19</v>
      </c>
      <c r="BO18" s="27" t="s">
        <v>20</v>
      </c>
      <c r="BP18" s="126"/>
      <c r="BQ18" s="127"/>
      <c r="BR18" s="128"/>
      <c r="BS18" s="125"/>
      <c r="BT18" s="2" t="s">
        <v>19</v>
      </c>
      <c r="BU18" s="27" t="s">
        <v>20</v>
      </c>
    </row>
    <row r="19" spans="1:73" ht="15" thickBot="1" x14ac:dyDescent="0.35">
      <c r="A19" s="135"/>
      <c r="B19" s="138"/>
      <c r="C19" s="135"/>
      <c r="D19" s="145"/>
      <c r="E19" s="146"/>
      <c r="F19" s="147"/>
      <c r="G19" s="148"/>
      <c r="H19" s="145"/>
      <c r="I19" s="146"/>
      <c r="J19" s="147"/>
      <c r="K19" s="5"/>
      <c r="L19" s="5"/>
      <c r="M19" s="148"/>
      <c r="N19" s="145"/>
      <c r="O19" s="146"/>
      <c r="P19" s="147"/>
      <c r="Q19" s="5"/>
      <c r="R19" s="5"/>
      <c r="S19" s="148"/>
      <c r="T19" s="145"/>
      <c r="U19" s="146"/>
      <c r="V19" s="147"/>
      <c r="W19" s="5"/>
      <c r="X19" s="5"/>
      <c r="Y19" s="148"/>
      <c r="Z19" s="145"/>
      <c r="AA19" s="146"/>
      <c r="AB19" s="147"/>
      <c r="AC19" s="5"/>
      <c r="AD19" s="5"/>
      <c r="AE19" s="148"/>
      <c r="AF19" s="145"/>
      <c r="AG19" s="146"/>
      <c r="AH19" s="147"/>
      <c r="AI19" s="5"/>
      <c r="AJ19" s="11"/>
      <c r="AL19" s="135"/>
      <c r="AM19" s="138"/>
      <c r="AN19" s="135"/>
      <c r="AO19" s="145"/>
      <c r="AP19" s="146"/>
      <c r="AQ19" s="147"/>
      <c r="AR19" s="148"/>
      <c r="AS19" s="145"/>
      <c r="AT19" s="146"/>
      <c r="AU19" s="147"/>
      <c r="AV19" s="113"/>
      <c r="AW19" s="113"/>
      <c r="AX19" s="148"/>
      <c r="AY19" s="145"/>
      <c r="AZ19" s="146"/>
      <c r="BA19" s="147"/>
      <c r="BB19" s="113"/>
      <c r="BC19" s="113"/>
      <c r="BD19" s="148"/>
      <c r="BE19" s="145"/>
      <c r="BF19" s="146"/>
      <c r="BG19" s="147"/>
      <c r="BH19" s="113"/>
      <c r="BI19" s="113"/>
      <c r="BJ19" s="148"/>
      <c r="BK19" s="145"/>
      <c r="BL19" s="146"/>
      <c r="BM19" s="147"/>
      <c r="BN19" s="113"/>
      <c r="BO19" s="113"/>
      <c r="BP19" s="148"/>
      <c r="BQ19" s="145"/>
      <c r="BR19" s="146"/>
      <c r="BS19" s="147"/>
      <c r="BT19" s="113"/>
      <c r="BU19" s="11"/>
    </row>
    <row r="20" spans="1:73" ht="15.6" thickTop="1" thickBot="1" x14ac:dyDescent="0.35">
      <c r="A20" s="4">
        <v>25</v>
      </c>
      <c r="B20" s="101">
        <v>68</v>
      </c>
      <c r="C20" s="3">
        <v>1.1499999999999999</v>
      </c>
      <c r="D20" s="32">
        <v>4</v>
      </c>
      <c r="E20" s="30">
        <f>D20*2</f>
        <v>8</v>
      </c>
      <c r="F20" s="28">
        <f>E20*A20*(1+B20*3/500-0.3)*C20</f>
        <v>254.83999999999995</v>
      </c>
      <c r="G20" s="23">
        <f>H20/D20</f>
        <v>1.25</v>
      </c>
      <c r="H20" s="53">
        <v>5</v>
      </c>
      <c r="I20" s="31">
        <f>H20*2</f>
        <v>10</v>
      </c>
      <c r="J20" s="54">
        <f>I20*A20*(1+B20*3/500-0.3)*C20</f>
        <v>318.5499999999999</v>
      </c>
      <c r="K20" s="10">
        <f>H20-D20</f>
        <v>1</v>
      </c>
      <c r="L20" s="25">
        <f>H20-D20</f>
        <v>1</v>
      </c>
      <c r="M20" s="24">
        <f>N20/H20</f>
        <v>1.4</v>
      </c>
      <c r="N20" s="32">
        <v>7</v>
      </c>
      <c r="O20" s="30">
        <f>N20*2</f>
        <v>14</v>
      </c>
      <c r="P20" s="29">
        <f>O20*A20*(1+B20*3/500-0.3)*C20</f>
        <v>445.96999999999991</v>
      </c>
      <c r="Q20" s="10">
        <f>N20-D20</f>
        <v>3</v>
      </c>
      <c r="R20" s="25">
        <f>N20-H20</f>
        <v>2</v>
      </c>
      <c r="S20" s="24">
        <f>T20/N20</f>
        <v>1.1428571428571428</v>
      </c>
      <c r="T20" s="32">
        <v>8</v>
      </c>
      <c r="U20" s="30">
        <f>T20*2</f>
        <v>16</v>
      </c>
      <c r="V20" s="29">
        <f>U20*A20*(1+B20*3/500-0.3)*C20</f>
        <v>509.67999999999989</v>
      </c>
      <c r="W20" s="10">
        <f>T20-D20</f>
        <v>4</v>
      </c>
      <c r="X20" s="25">
        <f>T20-N20</f>
        <v>1</v>
      </c>
      <c r="Y20" s="24">
        <f>Z20/T20</f>
        <v>1.125</v>
      </c>
      <c r="Z20" s="32">
        <v>9</v>
      </c>
      <c r="AA20" s="30">
        <f>Z20*2</f>
        <v>18</v>
      </c>
      <c r="AB20" s="29">
        <f>AA20*A20*(1+B20*3/500-0.3)*C20</f>
        <v>573.38999999999987</v>
      </c>
      <c r="AC20" s="10">
        <f>Z20-D20</f>
        <v>5</v>
      </c>
      <c r="AD20" s="25">
        <f>Z20-T20</f>
        <v>1</v>
      </c>
      <c r="AE20" s="24">
        <f>AF20/Z20</f>
        <v>1.1111111111111112</v>
      </c>
      <c r="AF20" s="32">
        <v>10</v>
      </c>
      <c r="AG20" s="30">
        <f>AF20*2</f>
        <v>20</v>
      </c>
      <c r="AH20" s="29">
        <f>AG20*A20*(1+B20*3/500-0.3)*C20</f>
        <v>637.0999999999998</v>
      </c>
      <c r="AI20" s="10">
        <f>AF20-D20</f>
        <v>6</v>
      </c>
      <c r="AJ20" s="26">
        <f>AF20-Z20</f>
        <v>1</v>
      </c>
      <c r="AL20" s="4">
        <v>25</v>
      </c>
      <c r="AM20" s="112">
        <v>68</v>
      </c>
      <c r="AN20" s="3">
        <v>1.1499999999999999</v>
      </c>
      <c r="AO20" s="32">
        <v>4</v>
      </c>
      <c r="AP20" s="30">
        <f>AO20*2</f>
        <v>8</v>
      </c>
      <c r="AQ20" s="28">
        <f>AP20*AL20*(1+AM20*3/500-0.3)*AN20</f>
        <v>254.83999999999995</v>
      </c>
      <c r="AR20" s="23">
        <f>AS20/AO20</f>
        <v>1.25</v>
      </c>
      <c r="AS20" s="53">
        <v>5</v>
      </c>
      <c r="AT20" s="31">
        <f>AS20*2</f>
        <v>10</v>
      </c>
      <c r="AU20" s="54">
        <f>AT20*AL20*(1+AM20*3/500-0.3)*AN20</f>
        <v>318.5499999999999</v>
      </c>
      <c r="AV20" s="10">
        <f>AS20-AO20</f>
        <v>1</v>
      </c>
      <c r="AW20" s="25">
        <f>AS20-AO20</f>
        <v>1</v>
      </c>
      <c r="AX20" s="24">
        <f>AY20/AS20</f>
        <v>1.4</v>
      </c>
      <c r="AY20" s="32">
        <v>7</v>
      </c>
      <c r="AZ20" s="30">
        <f>AY20*2</f>
        <v>14</v>
      </c>
      <c r="BA20" s="29">
        <f>AZ20*AL20*(1+AM20*3/500-0.3)*AN20</f>
        <v>445.96999999999991</v>
      </c>
      <c r="BB20" s="10">
        <f>AY20-AO20</f>
        <v>3</v>
      </c>
      <c r="BC20" s="25">
        <f>AY20-AS20</f>
        <v>2</v>
      </c>
      <c r="BD20" s="24">
        <f>BE20/AY20</f>
        <v>1.1428571428571428</v>
      </c>
      <c r="BE20" s="32">
        <v>8</v>
      </c>
      <c r="BF20" s="30">
        <f>BE20*2</f>
        <v>16</v>
      </c>
      <c r="BG20" s="29">
        <f>BF20*AL20*(1+AM20*3/500-0.3)*AN20</f>
        <v>509.67999999999989</v>
      </c>
      <c r="BH20" s="10">
        <f>BE20-AO20</f>
        <v>4</v>
      </c>
      <c r="BI20" s="25">
        <f>BE20-AY20</f>
        <v>1</v>
      </c>
      <c r="BJ20" s="24">
        <f>BK20/BE20</f>
        <v>1.125</v>
      </c>
      <c r="BK20" s="32">
        <v>9</v>
      </c>
      <c r="BL20" s="30">
        <f>BK20*2</f>
        <v>18</v>
      </c>
      <c r="BM20" s="29">
        <f>BL20*AL20*(1+AM20*3/500-0.3)*AN20</f>
        <v>573.38999999999987</v>
      </c>
      <c r="BN20" s="10">
        <f>BK20-AO20</f>
        <v>5</v>
      </c>
      <c r="BO20" s="25">
        <f>BK20-BE20</f>
        <v>1</v>
      </c>
      <c r="BP20" s="24">
        <f>BQ20/BK20</f>
        <v>1.1111111111111112</v>
      </c>
      <c r="BQ20" s="32">
        <v>10</v>
      </c>
      <c r="BR20" s="30">
        <f>BQ20*2</f>
        <v>20</v>
      </c>
      <c r="BS20" s="29">
        <f>BR20*AL20*(1+AM20*3/500-0.3)*AN20</f>
        <v>637.0999999999998</v>
      </c>
      <c r="BT20" s="10">
        <f>BQ20-AO20</f>
        <v>6</v>
      </c>
      <c r="BU20" s="26">
        <f>BQ20-BK20</f>
        <v>1</v>
      </c>
    </row>
    <row r="21" spans="1:73" ht="15" thickBot="1" x14ac:dyDescent="0.35">
      <c r="A21" s="129" t="s">
        <v>6</v>
      </c>
      <c r="B21" s="130"/>
      <c r="C21" s="131"/>
      <c r="D21" s="5"/>
      <c r="E21" s="5"/>
      <c r="F21" s="5"/>
      <c r="G21" s="5"/>
      <c r="H21" s="5"/>
      <c r="I21" s="5"/>
      <c r="J21" s="5"/>
      <c r="K21" s="5"/>
      <c r="L21" s="5"/>
      <c r="M21" s="5"/>
      <c r="N21" s="21">
        <f>N22/N20</f>
        <v>1.7142857142857142</v>
      </c>
      <c r="O21" s="21">
        <f>O22/O20</f>
        <v>1.7142857142857142</v>
      </c>
      <c r="P21" s="21">
        <f>P22/P20</f>
        <v>2.2434244455905108</v>
      </c>
      <c r="Q21" s="5"/>
      <c r="R21" s="5"/>
      <c r="S21" s="22"/>
      <c r="T21" s="21">
        <f>T22/T20</f>
        <v>2</v>
      </c>
      <c r="U21" s="21">
        <f t="shared" ref="U21" si="12">U22/U20</f>
        <v>2</v>
      </c>
      <c r="V21" s="21">
        <f t="shared" ref="V21" si="13">V22/V20</f>
        <v>2.6173285198555956</v>
      </c>
      <c r="W21" s="5"/>
      <c r="X21" s="5"/>
      <c r="Y21" s="22"/>
      <c r="Z21" s="21">
        <f>Z22/Z20</f>
        <v>2.2222222222222223</v>
      </c>
      <c r="AA21" s="21">
        <f t="shared" ref="AA21" si="14">AA22/AA20</f>
        <v>2.2222222222222223</v>
      </c>
      <c r="AB21" s="21">
        <f t="shared" ref="AB21" si="15">AB22/AB20</f>
        <v>2.9081427998395513</v>
      </c>
      <c r="AC21" s="5"/>
      <c r="AD21" s="5"/>
      <c r="AE21" s="22"/>
      <c r="AF21" s="21">
        <f>AF22/AF20</f>
        <v>2.4</v>
      </c>
      <c r="AG21" s="21">
        <f t="shared" ref="AG21" si="16">AG22/AG20</f>
        <v>2.4</v>
      </c>
      <c r="AH21" s="21">
        <f t="shared" ref="AH21" si="17">AH22/AH20</f>
        <v>3.1407942238267159</v>
      </c>
      <c r="AI21" s="5"/>
      <c r="AJ21" s="11"/>
      <c r="AL21" s="129" t="s">
        <v>6</v>
      </c>
      <c r="AM21" s="130"/>
      <c r="AN21" s="131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21">
        <f>AY22/AY20</f>
        <v>1.7142857142857142</v>
      </c>
      <c r="AZ21" s="21">
        <f>AZ22/AZ20</f>
        <v>2.5714285714285716</v>
      </c>
      <c r="BA21" s="21">
        <f>BA22/BA20</f>
        <v>3.3651366683857664</v>
      </c>
      <c r="BB21" s="113"/>
      <c r="BC21" s="113"/>
      <c r="BD21" s="22"/>
      <c r="BE21" s="21">
        <f>BE22/BE20</f>
        <v>2</v>
      </c>
      <c r="BF21" s="21">
        <f t="shared" ref="BF21:BG21" si="18">BF22/BF20</f>
        <v>3</v>
      </c>
      <c r="BG21" s="21">
        <f t="shared" si="18"/>
        <v>3.9259927797833942</v>
      </c>
      <c r="BH21" s="113"/>
      <c r="BI21" s="113"/>
      <c r="BJ21" s="22"/>
      <c r="BK21" s="21">
        <f>BK22/BK20</f>
        <v>2.2222222222222223</v>
      </c>
      <c r="BL21" s="21">
        <f t="shared" ref="BL21:BM21" si="19">BL22/BL20</f>
        <v>3.3333333333333335</v>
      </c>
      <c r="BM21" s="21">
        <f t="shared" si="19"/>
        <v>4.3622141997593262</v>
      </c>
      <c r="BN21" s="113"/>
      <c r="BO21" s="113"/>
      <c r="BP21" s="22"/>
      <c r="BQ21" s="21">
        <f>BQ22/BQ20</f>
        <v>2.4</v>
      </c>
      <c r="BR21" s="21">
        <f t="shared" ref="BR21:BS21" si="20">BR22/BR20</f>
        <v>3.6</v>
      </c>
      <c r="BS21" s="21">
        <f t="shared" si="20"/>
        <v>4.7111913357400734</v>
      </c>
      <c r="BT21" s="113"/>
      <c r="BU21" s="11"/>
    </row>
    <row r="22" spans="1:73" ht="15.6" thickTop="1" thickBot="1" x14ac:dyDescent="0.35">
      <c r="A22" s="3">
        <v>25</v>
      </c>
      <c r="B22" s="3">
        <v>75</v>
      </c>
      <c r="C22" s="102">
        <v>1.45</v>
      </c>
      <c r="D22" s="13"/>
      <c r="E22" s="14"/>
      <c r="F22" s="14"/>
      <c r="G22" s="14"/>
      <c r="H22" s="14"/>
      <c r="I22" s="14"/>
      <c r="J22" s="14"/>
      <c r="K22" s="14"/>
      <c r="L22" s="14"/>
      <c r="M22" s="15"/>
      <c r="N22" s="33">
        <v>12</v>
      </c>
      <c r="O22" s="30">
        <f>N22*2</f>
        <v>24</v>
      </c>
      <c r="P22" s="29">
        <f>O22*A22*(1+B22*3/500-0.3)*C22</f>
        <v>1000.5</v>
      </c>
      <c r="Q22" s="14"/>
      <c r="R22" s="14"/>
      <c r="S22" s="24">
        <f>T22/N22</f>
        <v>1.3333333333333333</v>
      </c>
      <c r="T22" s="32">
        <v>16</v>
      </c>
      <c r="U22" s="30">
        <f>T22*2</f>
        <v>32</v>
      </c>
      <c r="V22" s="29">
        <f>U22*A22*(1+B22*3/500-0.3)*C22</f>
        <v>1333.9999999999998</v>
      </c>
      <c r="W22" s="10">
        <f>T22-N22</f>
        <v>4</v>
      </c>
      <c r="X22" s="25">
        <f>T22-N22</f>
        <v>4</v>
      </c>
      <c r="Y22" s="24">
        <f>Z22/T22</f>
        <v>1.25</v>
      </c>
      <c r="Z22" s="32">
        <v>20</v>
      </c>
      <c r="AA22" s="30">
        <f>Z22*2</f>
        <v>40</v>
      </c>
      <c r="AB22" s="29">
        <f>AA22*A22*(1+B22*3/500-0.3)*C22</f>
        <v>1667.5</v>
      </c>
      <c r="AC22" s="10">
        <f>Z22-N22</f>
        <v>8</v>
      </c>
      <c r="AD22" s="25">
        <f>Z22-T22</f>
        <v>4</v>
      </c>
      <c r="AE22" s="24">
        <f>AF22/Z22</f>
        <v>1.2</v>
      </c>
      <c r="AF22" s="32">
        <v>24</v>
      </c>
      <c r="AG22" s="30">
        <f>AF22*2</f>
        <v>48</v>
      </c>
      <c r="AH22" s="29">
        <f>AG22*A22*(1+B22*3/500-0.3)*C22</f>
        <v>2001</v>
      </c>
      <c r="AI22" s="10">
        <f>AF22-N22</f>
        <v>12</v>
      </c>
      <c r="AJ22" s="26">
        <f>AF22-Z22</f>
        <v>4</v>
      </c>
      <c r="AL22" s="3">
        <v>25</v>
      </c>
      <c r="AM22" s="3">
        <v>75</v>
      </c>
      <c r="AN22" s="114">
        <v>1.45</v>
      </c>
      <c r="AO22" s="13"/>
      <c r="AP22" s="14"/>
      <c r="AQ22" s="14"/>
      <c r="AR22" s="14"/>
      <c r="AS22" s="14"/>
      <c r="AT22" s="14"/>
      <c r="AU22" s="14"/>
      <c r="AV22" s="14"/>
      <c r="AW22" s="14"/>
      <c r="AX22" s="15"/>
      <c r="AY22" s="33">
        <v>12</v>
      </c>
      <c r="AZ22" s="30">
        <f>AY22*3</f>
        <v>36</v>
      </c>
      <c r="BA22" s="29">
        <f>AZ22*AL22*(1+AM22*3/500-0.3)*AN22</f>
        <v>1500.75</v>
      </c>
      <c r="BB22" s="14"/>
      <c r="BC22" s="14"/>
      <c r="BD22" s="24">
        <f>BE22/AY22</f>
        <v>1.3333333333333333</v>
      </c>
      <c r="BE22" s="32">
        <v>16</v>
      </c>
      <c r="BF22" s="30">
        <f>BE22*3</f>
        <v>48</v>
      </c>
      <c r="BG22" s="29">
        <f>BF22*AL22*(1+AM22*3/500-0.3)*AN22</f>
        <v>2001</v>
      </c>
      <c r="BH22" s="10">
        <f>BE22-AY22</f>
        <v>4</v>
      </c>
      <c r="BI22" s="25">
        <f>BE22-AY22</f>
        <v>4</v>
      </c>
      <c r="BJ22" s="24">
        <f>BK22/BE22</f>
        <v>1.25</v>
      </c>
      <c r="BK22" s="32">
        <v>20</v>
      </c>
      <c r="BL22" s="30">
        <f>BK22*3</f>
        <v>60</v>
      </c>
      <c r="BM22" s="29">
        <f>BL22*AL22*(1+AM22*3/500-0.3)*AN22</f>
        <v>2501.2499999999995</v>
      </c>
      <c r="BN22" s="10">
        <f>BK22-AY22</f>
        <v>8</v>
      </c>
      <c r="BO22" s="25">
        <f>BK22-BE22</f>
        <v>4</v>
      </c>
      <c r="BP22" s="24">
        <f>BQ22/BK22</f>
        <v>1.2</v>
      </c>
      <c r="BQ22" s="32">
        <v>24</v>
      </c>
      <c r="BR22" s="30">
        <f>BQ22*3</f>
        <v>72</v>
      </c>
      <c r="BS22" s="29">
        <f>BR22*AL22*(1+AM22*3/500-0.3)*AN22</f>
        <v>3001.5</v>
      </c>
      <c r="BT22" s="10">
        <f>BQ22-AY22</f>
        <v>12</v>
      </c>
      <c r="BU22" s="26">
        <f>BQ22-BK22</f>
        <v>4</v>
      </c>
    </row>
    <row r="23" spans="1:73" ht="15" thickBot="1" x14ac:dyDescent="0.35">
      <c r="A23" s="115" t="s">
        <v>5</v>
      </c>
      <c r="B23" s="116"/>
      <c r="C23" s="117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20">
        <f>T25/T20</f>
        <v>7.5</v>
      </c>
      <c r="U23" s="20">
        <f t="shared" ref="U23:V23" si="21">U25/U20</f>
        <v>11.25</v>
      </c>
      <c r="V23" s="20">
        <f t="shared" si="21"/>
        <v>6.0314550306074413</v>
      </c>
      <c r="W23" s="5"/>
      <c r="X23" s="5"/>
      <c r="Y23" s="22"/>
      <c r="Z23" s="20">
        <f>Z25/Z20</f>
        <v>8.8888888888888893</v>
      </c>
      <c r="AA23" s="20">
        <f t="shared" ref="AA23:AB23" si="22">AA25/AA20</f>
        <v>13.333333333333334</v>
      </c>
      <c r="AB23" s="20">
        <f t="shared" si="22"/>
        <v>7.1483911473865964</v>
      </c>
      <c r="AC23" s="5"/>
      <c r="AD23" s="5"/>
      <c r="AE23" s="22"/>
      <c r="AF23" s="20">
        <f>AF25/AF20</f>
        <v>10</v>
      </c>
      <c r="AG23" s="20">
        <f t="shared" ref="AG23:AH23" si="23">AG25/AG20</f>
        <v>15</v>
      </c>
      <c r="AH23" s="20">
        <f t="shared" si="23"/>
        <v>8.0419400408099229</v>
      </c>
      <c r="AI23" s="5"/>
      <c r="AJ23" s="11"/>
      <c r="AL23" s="115" t="s">
        <v>5</v>
      </c>
      <c r="AM23" s="116"/>
      <c r="AN23" s="117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20">
        <f>BE25/BE20</f>
        <v>5</v>
      </c>
      <c r="BF23" s="20">
        <f t="shared" ref="BF23:BG23" si="24">BF25/BF20</f>
        <v>10</v>
      </c>
      <c r="BG23" s="20">
        <f t="shared" si="24"/>
        <v>5.3612933605399471</v>
      </c>
      <c r="BH23" s="113"/>
      <c r="BI23" s="113"/>
      <c r="BJ23" s="22"/>
      <c r="BK23" s="20">
        <f>BK25/BK20</f>
        <v>6.666666666666667</v>
      </c>
      <c r="BL23" s="20">
        <f t="shared" ref="BL23:BM23" si="25">BL25/BL20</f>
        <v>13.333333333333334</v>
      </c>
      <c r="BM23" s="20">
        <f t="shared" si="25"/>
        <v>7.1483911473865964</v>
      </c>
      <c r="BN23" s="113"/>
      <c r="BO23" s="113"/>
      <c r="BP23" s="22"/>
      <c r="BQ23" s="20">
        <f>BQ25/BQ20</f>
        <v>8</v>
      </c>
      <c r="BR23" s="20">
        <f t="shared" ref="BR23:BS23" si="26">BR25/BR20</f>
        <v>16</v>
      </c>
      <c r="BS23" s="20">
        <f t="shared" si="26"/>
        <v>8.5780693768639171</v>
      </c>
      <c r="BT23" s="113"/>
      <c r="BU23" s="11"/>
    </row>
    <row r="24" spans="1:73" ht="15" thickBot="1" x14ac:dyDescent="0.35">
      <c r="A24" s="118" t="s">
        <v>7</v>
      </c>
      <c r="B24" s="119"/>
      <c r="C24" s="120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21">
        <f>T25/T22</f>
        <v>3.75</v>
      </c>
      <c r="U24" s="21">
        <f t="shared" ref="U24" si="27">U25/U22</f>
        <v>5.625</v>
      </c>
      <c r="V24" s="21">
        <f t="shared" ref="V24" si="28">V25/V22</f>
        <v>2.3044317841079467</v>
      </c>
      <c r="W24" s="5"/>
      <c r="X24" s="5"/>
      <c r="Y24" s="22"/>
      <c r="Z24" s="21">
        <f>Z25/Z22</f>
        <v>4</v>
      </c>
      <c r="AA24" s="21">
        <f t="shared" ref="AA24" si="29">AA25/AA22</f>
        <v>6</v>
      </c>
      <c r="AB24" s="21">
        <f t="shared" ref="AB24" si="30">AB25/AB22</f>
        <v>2.4580605697151423</v>
      </c>
      <c r="AC24" s="5"/>
      <c r="AD24" s="5"/>
      <c r="AE24" s="22"/>
      <c r="AF24" s="21">
        <f>AF25/AF22</f>
        <v>4.166666666666667</v>
      </c>
      <c r="AG24" s="21">
        <f t="shared" ref="AG24" si="31">AG25/AG22</f>
        <v>6.25</v>
      </c>
      <c r="AH24" s="21">
        <f t="shared" ref="AH24" si="32">AH25/AH22</f>
        <v>2.5604797601199403</v>
      </c>
      <c r="AI24" s="5"/>
      <c r="AJ24" s="11"/>
      <c r="AL24" s="118" t="s">
        <v>7</v>
      </c>
      <c r="AM24" s="119"/>
      <c r="AN24" s="120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21">
        <f>BE25/BE22</f>
        <v>2.5</v>
      </c>
      <c r="BF24" s="21">
        <f t="shared" ref="BF24:BG24" si="33">BF25/BF22</f>
        <v>3.3333333333333335</v>
      </c>
      <c r="BG24" s="21">
        <f t="shared" si="33"/>
        <v>1.3655892053973013</v>
      </c>
      <c r="BH24" s="113"/>
      <c r="BI24" s="113"/>
      <c r="BJ24" s="22"/>
      <c r="BK24" s="21">
        <f>BK25/BK22</f>
        <v>3</v>
      </c>
      <c r="BL24" s="21">
        <f t="shared" ref="BL24:BM24" si="34">BL25/BL22</f>
        <v>4</v>
      </c>
      <c r="BM24" s="21">
        <f t="shared" si="34"/>
        <v>1.6387070464767619</v>
      </c>
      <c r="BN24" s="113"/>
      <c r="BO24" s="113"/>
      <c r="BP24" s="22"/>
      <c r="BQ24" s="21">
        <f>BQ25/BQ22</f>
        <v>3.3333333333333335</v>
      </c>
      <c r="BR24" s="21">
        <f t="shared" ref="BR24:BS24" si="35">BR25/BR22</f>
        <v>4.4444444444444446</v>
      </c>
      <c r="BS24" s="21">
        <f t="shared" si="35"/>
        <v>1.8207856071964017</v>
      </c>
      <c r="BT24" s="113"/>
      <c r="BU24" s="11"/>
    </row>
    <row r="25" spans="1:73" ht="15.6" thickTop="1" thickBot="1" x14ac:dyDescent="0.35">
      <c r="A25" s="3">
        <v>9</v>
      </c>
      <c r="B25" s="3">
        <v>81</v>
      </c>
      <c r="C25" s="3">
        <v>1.6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5"/>
      <c r="T25" s="33">
        <v>60</v>
      </c>
      <c r="U25" s="30">
        <f>T25*3</f>
        <v>180</v>
      </c>
      <c r="V25" s="29">
        <f>U25*A25*(1+B25*3/500-0.3)*C25</f>
        <v>3074.1120000000001</v>
      </c>
      <c r="W25" s="14"/>
      <c r="X25" s="14"/>
      <c r="Y25" s="24">
        <f>Z25/T25</f>
        <v>1.3333333333333333</v>
      </c>
      <c r="Z25" s="32">
        <v>80</v>
      </c>
      <c r="AA25" s="30">
        <f>Z25*3</f>
        <v>240</v>
      </c>
      <c r="AB25" s="29">
        <f>AA25*A25*(1+B25*3/500-0.3)*C25</f>
        <v>4098.8159999999998</v>
      </c>
      <c r="AC25" s="10">
        <f>Z25-T25</f>
        <v>20</v>
      </c>
      <c r="AD25" s="25">
        <f>Z25-T25</f>
        <v>20</v>
      </c>
      <c r="AE25" s="24">
        <f>AF25/Z25</f>
        <v>1.25</v>
      </c>
      <c r="AF25" s="32">
        <v>100</v>
      </c>
      <c r="AG25" s="30">
        <f>AF25*3</f>
        <v>300</v>
      </c>
      <c r="AH25" s="29">
        <f>AG25*A25*(1+B25*3/500-0.3)*C25</f>
        <v>5123.5200000000004</v>
      </c>
      <c r="AI25" s="10">
        <f>AF25-T25</f>
        <v>40</v>
      </c>
      <c r="AJ25" s="26">
        <f>AF25-Z25</f>
        <v>20</v>
      </c>
      <c r="AL25" s="3">
        <v>9</v>
      </c>
      <c r="AM25" s="3">
        <v>81</v>
      </c>
      <c r="AN25" s="3">
        <v>1.6</v>
      </c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5"/>
      <c r="BE25" s="33">
        <v>40</v>
      </c>
      <c r="BF25" s="30">
        <f>BE25*4</f>
        <v>160</v>
      </c>
      <c r="BG25" s="29">
        <f>BF25*AL25*(1+AM25*3/500-0.3)*AN25</f>
        <v>2732.5439999999999</v>
      </c>
      <c r="BH25" s="14"/>
      <c r="BI25" s="14"/>
      <c r="BJ25" s="24">
        <f>BK25/BE25</f>
        <v>1.5</v>
      </c>
      <c r="BK25" s="32">
        <v>60</v>
      </c>
      <c r="BL25" s="30">
        <f>BK25*4</f>
        <v>240</v>
      </c>
      <c r="BM25" s="29">
        <f>BL25*AL25*(1+AM25*3/500-0.3)*AN25</f>
        <v>4098.8159999999998</v>
      </c>
      <c r="BN25" s="10">
        <f>BK25-BE25</f>
        <v>20</v>
      </c>
      <c r="BO25" s="25">
        <f>BK25-BE25</f>
        <v>20</v>
      </c>
      <c r="BP25" s="24">
        <f>BQ25/BK25</f>
        <v>1.3333333333333333</v>
      </c>
      <c r="BQ25" s="32">
        <v>80</v>
      </c>
      <c r="BR25" s="30">
        <f>BQ25*4</f>
        <v>320</v>
      </c>
      <c r="BS25" s="29">
        <f>BR25*AL25*(1+AM25*3/500-0.3)*AN25</f>
        <v>5465.0879999999997</v>
      </c>
      <c r="BT25" s="10">
        <f>BQ25-BE25</f>
        <v>40</v>
      </c>
      <c r="BU25" s="26">
        <f>BQ25-BK25</f>
        <v>20</v>
      </c>
    </row>
    <row r="26" spans="1:73" ht="15.6" thickTop="1" thickBot="1" x14ac:dyDescent="0.35">
      <c r="A26" s="115" t="s">
        <v>8</v>
      </c>
      <c r="B26" s="116"/>
      <c r="C26" s="117"/>
      <c r="D26" s="5"/>
      <c r="E26" s="106">
        <v>800</v>
      </c>
      <c r="F26" s="104">
        <f>E26/(E20*(1+B20*3/500-0.3)*C20*3*0.25)</f>
        <v>104.64082038403183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20">
        <f>AF29/AF20</f>
        <v>50</v>
      </c>
      <c r="AG26" s="20">
        <f t="shared" ref="AG26:AH26" si="36">AG29/AG20</f>
        <v>150</v>
      </c>
      <c r="AH26" s="20">
        <f t="shared" si="36"/>
        <v>135.6050855438707</v>
      </c>
      <c r="AI26" s="5"/>
      <c r="AJ26" s="11"/>
      <c r="AL26" s="115" t="s">
        <v>8</v>
      </c>
      <c r="AM26" s="116"/>
      <c r="AN26" s="117"/>
      <c r="AO26" s="113"/>
      <c r="AP26" s="106">
        <v>550</v>
      </c>
      <c r="AQ26" s="104">
        <f>AP26/(AP20*(1+AM20*3/500-0.3)*AN20*1)</f>
        <v>53.955423010516412</v>
      </c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20">
        <f>BQ29/BQ20</f>
        <v>50</v>
      </c>
      <c r="BR26" s="20">
        <f t="shared" ref="BR26:BS26" si="37">BR29/BR20</f>
        <v>150</v>
      </c>
      <c r="BS26" s="20">
        <f t="shared" si="37"/>
        <v>135.6050855438707</v>
      </c>
      <c r="BT26" s="113"/>
      <c r="BU26" s="11"/>
    </row>
    <row r="27" spans="1:73" ht="15.6" thickTop="1" thickBot="1" x14ac:dyDescent="0.35">
      <c r="A27" s="121" t="s">
        <v>9</v>
      </c>
      <c r="B27" s="122"/>
      <c r="C27" s="123"/>
      <c r="D27" s="5"/>
      <c r="E27" s="106">
        <v>2500</v>
      </c>
      <c r="F27" s="104">
        <f>E27/(O22*(1+B22*3/500-0.3)*C22*3*0.25)</f>
        <v>83.291687489588554</v>
      </c>
      <c r="G27" s="5"/>
      <c r="H27" s="5"/>
      <c r="I27" s="106">
        <v>20000</v>
      </c>
      <c r="J27" s="104">
        <f>(E27+I27/A22)/(O22*(1+B22*3/500-0.3)*C22*3*0.25)</f>
        <v>109.94502748625688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20">
        <f>AF29/AF22</f>
        <v>20.833333333333332</v>
      </c>
      <c r="AG27" s="20">
        <f t="shared" ref="AG27:AH27" si="38">AG29/AG22</f>
        <v>62.5</v>
      </c>
      <c r="AH27" s="20">
        <f t="shared" si="38"/>
        <v>43.175412293853071</v>
      </c>
      <c r="AI27" s="5"/>
      <c r="AJ27" s="11"/>
      <c r="AL27" s="121" t="s">
        <v>9</v>
      </c>
      <c r="AM27" s="122"/>
      <c r="AN27" s="123"/>
      <c r="AO27" s="113"/>
      <c r="AP27" s="106">
        <v>2500</v>
      </c>
      <c r="AQ27" s="104">
        <f>AP27/(AZ22*(1+AM22*3/500-0.3)*AN22*1)</f>
        <v>41.645843744794277</v>
      </c>
      <c r="AR27" s="113"/>
      <c r="AS27" s="113"/>
      <c r="AT27" s="106">
        <v>20000</v>
      </c>
      <c r="AU27" s="104">
        <f>(AP27+AT27/AL22)/(AZ22*(1+AM22*3/500-0.3)*AN22*1)</f>
        <v>54.972513743128438</v>
      </c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20">
        <f>BQ29/BQ22</f>
        <v>20.833333333333332</v>
      </c>
      <c r="BR27" s="20">
        <f t="shared" ref="BR27:BS27" si="39">BR29/BR22</f>
        <v>41.666666666666664</v>
      </c>
      <c r="BS27" s="20">
        <f t="shared" si="39"/>
        <v>28.783608195902048</v>
      </c>
      <c r="BT27" s="113"/>
      <c r="BU27" s="11"/>
    </row>
    <row r="28" spans="1:73" ht="15.6" thickTop="1" thickBot="1" x14ac:dyDescent="0.35">
      <c r="A28" s="124" t="s">
        <v>10</v>
      </c>
      <c r="B28" s="119"/>
      <c r="C28" s="120"/>
      <c r="D28" s="5"/>
      <c r="E28" s="106">
        <v>8683</v>
      </c>
      <c r="F28" s="104">
        <f>E28/(U25*(1+B25*3/500-0.3)*C25*3*0.25)</f>
        <v>33.894666167010179</v>
      </c>
      <c r="G28" s="5"/>
      <c r="H28" s="5"/>
      <c r="I28" s="106">
        <v>742500</v>
      </c>
      <c r="J28" s="104">
        <f>(E28+I28/4/10)/(U25*(1+B25*3/500-0.3)*C25*3*0.25)</f>
        <v>106.35461557679096</v>
      </c>
      <c r="K28" s="5"/>
      <c r="L28" s="5"/>
      <c r="M28" s="5"/>
      <c r="N28" s="5"/>
      <c r="O28" s="106">
        <v>1325500</v>
      </c>
      <c r="P28" s="104">
        <f>(E28+O28/8/10)/(U25*(1+B25*3/500-0.3)*C25*3*0.25)</f>
        <v>98.571880269814514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21">
        <f>AF29/AF25</f>
        <v>5</v>
      </c>
      <c r="AG28" s="21">
        <f t="shared" ref="AG28" si="40">AG29/AG25</f>
        <v>10</v>
      </c>
      <c r="AH28" s="21">
        <f t="shared" ref="AH28" si="41">AH29/AH25</f>
        <v>16.862235338204982</v>
      </c>
      <c r="AI28" s="5"/>
      <c r="AJ28" s="11"/>
      <c r="AL28" s="124" t="s">
        <v>10</v>
      </c>
      <c r="AM28" s="119"/>
      <c r="AN28" s="120"/>
      <c r="AO28" s="113"/>
      <c r="AP28" s="106">
        <v>8683</v>
      </c>
      <c r="AQ28" s="104">
        <f>AP28/(BF25*(1+AM25*3/500-0.3)*AN25*1)</f>
        <v>28.598624578414842</v>
      </c>
      <c r="AR28" s="113"/>
      <c r="AS28" s="113"/>
      <c r="AT28" s="106">
        <v>371250</v>
      </c>
      <c r="AU28" s="104">
        <f>(AP28+AT28/4/10)/(BF25*(1+AM25*3/500-0.3)*AN25*1)</f>
        <v>59.167665735666105</v>
      </c>
      <c r="AV28" s="113"/>
      <c r="AW28" s="113"/>
      <c r="AX28" s="113"/>
      <c r="AY28" s="113"/>
      <c r="AZ28" s="106">
        <v>662750</v>
      </c>
      <c r="BA28" s="104">
        <f>(AP28+AZ28/8/10)/(BF25*(1+AM25*3/500-0.3)*AN25*1)</f>
        <v>55.884324278035415</v>
      </c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21">
        <f>BQ29/BQ25</f>
        <v>6.25</v>
      </c>
      <c r="BR28" s="21">
        <f t="shared" ref="BR28:BS28" si="42">BR29/BR25</f>
        <v>9.375</v>
      </c>
      <c r="BS28" s="21">
        <f t="shared" si="42"/>
        <v>15.808345629567173</v>
      </c>
      <c r="BT28" s="113"/>
      <c r="BU28" s="11"/>
    </row>
    <row r="29" spans="1:73" ht="15.6" thickTop="1" thickBot="1" x14ac:dyDescent="0.35">
      <c r="A29" s="3">
        <v>14</v>
      </c>
      <c r="B29" s="3">
        <v>85</v>
      </c>
      <c r="C29" s="3">
        <v>1.7</v>
      </c>
      <c r="D29" s="14"/>
      <c r="E29" s="13">
        <v>150000</v>
      </c>
      <c r="F29" s="105">
        <f>E29/(AG29*(1+B29*3/500-0.3)*C29*3*0.25)</f>
        <v>32.409658078107277</v>
      </c>
      <c r="G29" s="14"/>
      <c r="H29" s="14"/>
      <c r="I29" s="13">
        <v>25000000</v>
      </c>
      <c r="J29" s="105">
        <f>(E29+I29/8/15)/(AG29*(1+B29*3/500-0.3)*C29*3*0.25)</f>
        <v>77.423072075478501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5"/>
      <c r="AF29" s="33">
        <v>500</v>
      </c>
      <c r="AG29" s="30">
        <f>AF29*6</f>
        <v>3000</v>
      </c>
      <c r="AH29" s="29">
        <f>AG29*A29*(1+B29*3/500-0.3)*C29</f>
        <v>86394</v>
      </c>
      <c r="AI29" s="16"/>
      <c r="AJ29" s="17"/>
      <c r="AL29" s="3">
        <v>14</v>
      </c>
      <c r="AM29" s="3">
        <v>85</v>
      </c>
      <c r="AN29" s="3">
        <v>1.7</v>
      </c>
      <c r="AO29" s="14"/>
      <c r="AP29" s="13">
        <v>150000</v>
      </c>
      <c r="AQ29" s="105">
        <f>AP29/(BR29*(1+AM29*3/500-0.3)*AN29*1)</f>
        <v>24.307243558580456</v>
      </c>
      <c r="AR29" s="14"/>
      <c r="AS29" s="14"/>
      <c r="AT29" s="13">
        <v>25000000</v>
      </c>
      <c r="AU29" s="105">
        <f>(AP29+AT29/8/15)/(BR29*(1+AM29*3/500-0.3)*AN29*1)</f>
        <v>58.067304056608876</v>
      </c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5"/>
      <c r="BQ29" s="33">
        <v>500</v>
      </c>
      <c r="BR29" s="30">
        <f>BQ29*6</f>
        <v>3000</v>
      </c>
      <c r="BS29" s="29">
        <f>BR29*AL29*(1+AM29*3/500-0.3)*AN29</f>
        <v>86394</v>
      </c>
      <c r="BT29" s="16"/>
      <c r="BU29" s="17"/>
    </row>
    <row r="30" spans="1:73" ht="15" thickBot="1" x14ac:dyDescent="0.35"/>
    <row r="31" spans="1:73" ht="15" thickBot="1" x14ac:dyDescent="0.35">
      <c r="A31" s="139" t="s">
        <v>23</v>
      </c>
      <c r="B31" s="140"/>
      <c r="C31" s="141"/>
      <c r="D31" s="129" t="s">
        <v>11</v>
      </c>
      <c r="E31" s="130"/>
      <c r="F31" s="132"/>
      <c r="G31" s="129" t="s">
        <v>12</v>
      </c>
      <c r="H31" s="130"/>
      <c r="I31" s="130"/>
      <c r="J31" s="130"/>
      <c r="K31" s="130"/>
      <c r="L31" s="132"/>
      <c r="M31" s="129" t="s">
        <v>13</v>
      </c>
      <c r="N31" s="130"/>
      <c r="O31" s="130"/>
      <c r="P31" s="130"/>
      <c r="Q31" s="130"/>
      <c r="R31" s="132"/>
      <c r="S31" s="129" t="s">
        <v>14</v>
      </c>
      <c r="T31" s="130"/>
      <c r="U31" s="130"/>
      <c r="V31" s="130"/>
      <c r="W31" s="130"/>
      <c r="X31" s="132"/>
      <c r="Y31" s="129" t="s">
        <v>15</v>
      </c>
      <c r="Z31" s="130"/>
      <c r="AA31" s="130"/>
      <c r="AB31" s="130"/>
      <c r="AC31" s="130"/>
      <c r="AD31" s="132"/>
      <c r="AE31" s="129" t="s">
        <v>28</v>
      </c>
      <c r="AF31" s="130"/>
      <c r="AG31" s="130"/>
      <c r="AH31" s="130"/>
      <c r="AI31" s="130"/>
      <c r="AJ31" s="132"/>
    </row>
    <row r="32" spans="1:73" x14ac:dyDescent="0.3">
      <c r="A32" s="133" t="s">
        <v>3</v>
      </c>
      <c r="B32" s="136" t="s">
        <v>0</v>
      </c>
      <c r="C32" s="133" t="s">
        <v>1</v>
      </c>
      <c r="D32" s="127" t="s">
        <v>16</v>
      </c>
      <c r="E32" s="128" t="s">
        <v>17</v>
      </c>
      <c r="F32" s="125" t="s">
        <v>18</v>
      </c>
      <c r="G32" s="126" t="s">
        <v>4</v>
      </c>
      <c r="H32" s="127" t="s">
        <v>16</v>
      </c>
      <c r="I32" s="128" t="s">
        <v>17</v>
      </c>
      <c r="J32" s="125" t="s">
        <v>18</v>
      </c>
      <c r="K32" s="5"/>
      <c r="L32" s="5"/>
      <c r="M32" s="126" t="s">
        <v>4</v>
      </c>
      <c r="N32" s="127" t="s">
        <v>16</v>
      </c>
      <c r="O32" s="128" t="s">
        <v>17</v>
      </c>
      <c r="P32" s="125" t="s">
        <v>18</v>
      </c>
      <c r="Q32" s="5"/>
      <c r="R32" s="5"/>
      <c r="S32" s="126" t="s">
        <v>4</v>
      </c>
      <c r="T32" s="127" t="s">
        <v>16</v>
      </c>
      <c r="U32" s="128" t="s">
        <v>17</v>
      </c>
      <c r="V32" s="125" t="s">
        <v>18</v>
      </c>
      <c r="W32" s="5"/>
      <c r="X32" s="5"/>
      <c r="Y32" s="126" t="s">
        <v>4</v>
      </c>
      <c r="Z32" s="127" t="s">
        <v>16</v>
      </c>
      <c r="AA32" s="128" t="s">
        <v>17</v>
      </c>
      <c r="AB32" s="125" t="s">
        <v>18</v>
      </c>
      <c r="AC32" s="5"/>
      <c r="AD32" s="5"/>
      <c r="AE32" s="126" t="s">
        <v>4</v>
      </c>
      <c r="AF32" s="127" t="s">
        <v>16</v>
      </c>
      <c r="AG32" s="128" t="s">
        <v>17</v>
      </c>
      <c r="AH32" s="125" t="s">
        <v>18</v>
      </c>
      <c r="AI32" s="5"/>
      <c r="AJ32" s="11"/>
    </row>
    <row r="33" spans="1:36" x14ac:dyDescent="0.3">
      <c r="A33" s="134"/>
      <c r="B33" s="137"/>
      <c r="C33" s="134"/>
      <c r="D33" s="127"/>
      <c r="E33" s="128"/>
      <c r="F33" s="125"/>
      <c r="G33" s="126"/>
      <c r="H33" s="127"/>
      <c r="I33" s="128"/>
      <c r="J33" s="125"/>
      <c r="K33" s="2" t="s">
        <v>19</v>
      </c>
      <c r="L33" s="27" t="s">
        <v>20</v>
      </c>
      <c r="M33" s="126"/>
      <c r="N33" s="127"/>
      <c r="O33" s="128"/>
      <c r="P33" s="125"/>
      <c r="Q33" s="2" t="s">
        <v>19</v>
      </c>
      <c r="R33" s="27" t="s">
        <v>20</v>
      </c>
      <c r="S33" s="126"/>
      <c r="T33" s="127"/>
      <c r="U33" s="128"/>
      <c r="V33" s="125"/>
      <c r="W33" s="2" t="s">
        <v>19</v>
      </c>
      <c r="X33" s="27" t="s">
        <v>20</v>
      </c>
      <c r="Y33" s="126"/>
      <c r="Z33" s="127"/>
      <c r="AA33" s="128"/>
      <c r="AB33" s="125"/>
      <c r="AC33" s="2" t="s">
        <v>19</v>
      </c>
      <c r="AD33" s="27" t="s">
        <v>20</v>
      </c>
      <c r="AE33" s="126"/>
      <c r="AF33" s="127"/>
      <c r="AG33" s="128"/>
      <c r="AH33" s="125"/>
      <c r="AI33" s="2" t="s">
        <v>19</v>
      </c>
      <c r="AJ33" s="27" t="s">
        <v>20</v>
      </c>
    </row>
    <row r="34" spans="1:36" ht="15" thickBot="1" x14ac:dyDescent="0.35">
      <c r="A34" s="135"/>
      <c r="B34" s="138"/>
      <c r="C34" s="135"/>
      <c r="D34" s="145"/>
      <c r="E34" s="146"/>
      <c r="F34" s="147"/>
      <c r="G34" s="148"/>
      <c r="H34" s="127"/>
      <c r="I34" s="128"/>
      <c r="J34" s="125"/>
      <c r="K34" s="5"/>
      <c r="L34" s="5"/>
      <c r="M34" s="148"/>
      <c r="N34" s="145"/>
      <c r="O34" s="146"/>
      <c r="P34" s="147"/>
      <c r="Q34" s="5"/>
      <c r="R34" s="5"/>
      <c r="S34" s="148"/>
      <c r="T34" s="145"/>
      <c r="U34" s="146"/>
      <c r="V34" s="147"/>
      <c r="W34" s="5"/>
      <c r="X34" s="5"/>
      <c r="Y34" s="148"/>
      <c r="Z34" s="145"/>
      <c r="AA34" s="146"/>
      <c r="AB34" s="147"/>
      <c r="AC34" s="5"/>
      <c r="AD34" s="5"/>
      <c r="AE34" s="148"/>
      <c r="AF34" s="145"/>
      <c r="AG34" s="146"/>
      <c r="AH34" s="147"/>
      <c r="AI34" s="5"/>
      <c r="AJ34" s="11"/>
    </row>
    <row r="35" spans="1:36" ht="15.6" thickTop="1" thickBot="1" x14ac:dyDescent="0.35">
      <c r="A35" s="4">
        <v>25</v>
      </c>
      <c r="B35" s="112">
        <v>68</v>
      </c>
      <c r="C35" s="3">
        <v>1.1499999999999999</v>
      </c>
      <c r="D35" s="36">
        <v>6</v>
      </c>
      <c r="E35" s="35">
        <f>D35*2</f>
        <v>12</v>
      </c>
      <c r="F35" s="34">
        <f>E35*A35*(1+B35*3/500-0.3)*C35</f>
        <v>382.25999999999993</v>
      </c>
      <c r="G35" s="23">
        <f>H35/D35</f>
        <v>1.3333333333333333</v>
      </c>
      <c r="H35" s="52">
        <v>8</v>
      </c>
      <c r="I35" s="35">
        <f>H35*2</f>
        <v>16</v>
      </c>
      <c r="J35" s="34">
        <f>I35*A35*(1+B35*3/500-0.3)*C35</f>
        <v>509.67999999999989</v>
      </c>
      <c r="K35" s="10">
        <f>H35-D35</f>
        <v>2</v>
      </c>
      <c r="L35" s="25">
        <f>H35-D35</f>
        <v>2</v>
      </c>
      <c r="M35" s="24">
        <f>N35/H35</f>
        <v>1.25</v>
      </c>
      <c r="N35" s="36">
        <v>10</v>
      </c>
      <c r="O35" s="35">
        <f>N35*2</f>
        <v>20</v>
      </c>
      <c r="P35" s="34">
        <f>O35*A35*(1+B35*3/500-0.3)*C35</f>
        <v>637.0999999999998</v>
      </c>
      <c r="Q35" s="10">
        <f>N35-D35</f>
        <v>4</v>
      </c>
      <c r="R35" s="25">
        <f>N35-H35</f>
        <v>2</v>
      </c>
      <c r="S35" s="24">
        <f>T35/N35</f>
        <v>1.2</v>
      </c>
      <c r="T35" s="36">
        <v>12</v>
      </c>
      <c r="U35" s="35">
        <f>T35*2</f>
        <v>24</v>
      </c>
      <c r="V35" s="34">
        <f>U35*A35*(1+B35*3/500-0.3)*C35</f>
        <v>764.51999999999987</v>
      </c>
      <c r="W35" s="10">
        <f>T35-D35</f>
        <v>6</v>
      </c>
      <c r="X35" s="25">
        <f>T35-N35</f>
        <v>2</v>
      </c>
      <c r="Y35" s="24">
        <f>Z35/T35</f>
        <v>1.1666666666666667</v>
      </c>
      <c r="Z35" s="36">
        <v>14</v>
      </c>
      <c r="AA35" s="35">
        <f>Z35*2</f>
        <v>28</v>
      </c>
      <c r="AB35" s="34">
        <f>AA35*A35*(1+B35*3/500-0.3)*C35</f>
        <v>891.93999999999983</v>
      </c>
      <c r="AC35" s="10">
        <f>Z35-D35</f>
        <v>8</v>
      </c>
      <c r="AD35" s="25">
        <f>Z35-T35</f>
        <v>2</v>
      </c>
      <c r="AE35" s="24">
        <f>AF35/Z35</f>
        <v>1.1428571428571428</v>
      </c>
      <c r="AF35" s="36">
        <v>16</v>
      </c>
      <c r="AG35" s="35">
        <f>AF35*2</f>
        <v>32</v>
      </c>
      <c r="AH35" s="34">
        <f>AG35*A35*(1+B35*3/500-0.3)*C35</f>
        <v>1019.3599999999998</v>
      </c>
      <c r="AI35" s="10">
        <f>AF35-D35</f>
        <v>10</v>
      </c>
      <c r="AJ35" s="26">
        <f>AF35-Z35</f>
        <v>2</v>
      </c>
    </row>
    <row r="36" spans="1:36" ht="15" thickBot="1" x14ac:dyDescent="0.35">
      <c r="A36" s="129" t="s">
        <v>6</v>
      </c>
      <c r="B36" s="130"/>
      <c r="C36" s="131"/>
      <c r="D36" s="5"/>
      <c r="E36" s="5"/>
      <c r="F36" s="5"/>
      <c r="G36" s="5"/>
      <c r="H36" s="5"/>
      <c r="I36" s="5"/>
      <c r="J36" s="5"/>
      <c r="K36" s="5"/>
      <c r="L36" s="5"/>
      <c r="M36" s="5"/>
      <c r="N36" s="21">
        <f>N37/N35</f>
        <v>1.8</v>
      </c>
      <c r="O36" s="21">
        <f>O37/O35</f>
        <v>1.8</v>
      </c>
      <c r="P36" s="21">
        <f>P37/P35</f>
        <v>2.3555956678700367</v>
      </c>
      <c r="Q36" s="5"/>
      <c r="R36" s="5"/>
      <c r="S36" s="22"/>
      <c r="T36" s="21">
        <f>T37/T35</f>
        <v>2</v>
      </c>
      <c r="U36" s="21">
        <f t="shared" ref="U36" si="43">U37/U35</f>
        <v>2</v>
      </c>
      <c r="V36" s="21">
        <f t="shared" ref="V36" si="44">V37/V35</f>
        <v>2.617328519855596</v>
      </c>
      <c r="W36" s="5"/>
      <c r="X36" s="5"/>
      <c r="Y36" s="22"/>
      <c r="Z36" s="21">
        <f>Z37/Z35</f>
        <v>2.1428571428571428</v>
      </c>
      <c r="AA36" s="21">
        <f t="shared" ref="AA36" si="45">AA37/AA35</f>
        <v>2.1428571428571428</v>
      </c>
      <c r="AB36" s="21">
        <f t="shared" ref="AB36" si="46">AB37/AB35</f>
        <v>2.8042805569881382</v>
      </c>
      <c r="AC36" s="5"/>
      <c r="AD36" s="5"/>
      <c r="AE36" s="22"/>
      <c r="AF36" s="21">
        <f>AF37/AF35</f>
        <v>2.25</v>
      </c>
      <c r="AG36" s="21">
        <f t="shared" ref="AG36" si="47">AG37/AG35</f>
        <v>2.25</v>
      </c>
      <c r="AH36" s="21">
        <f t="shared" ref="AH36" si="48">AH37/AH35</f>
        <v>2.9444945848375457</v>
      </c>
      <c r="AI36" s="5"/>
      <c r="AJ36" s="11"/>
    </row>
    <row r="37" spans="1:36" ht="15.6" thickTop="1" thickBot="1" x14ac:dyDescent="0.35">
      <c r="A37" s="3">
        <v>25</v>
      </c>
      <c r="B37" s="3">
        <v>75</v>
      </c>
      <c r="C37" s="114">
        <v>1.45</v>
      </c>
      <c r="D37" s="13"/>
      <c r="E37" s="14"/>
      <c r="F37" s="14"/>
      <c r="G37" s="14"/>
      <c r="H37" s="14"/>
      <c r="I37" s="14"/>
      <c r="J37" s="14"/>
      <c r="K37" s="14"/>
      <c r="L37" s="14"/>
      <c r="M37" s="15"/>
      <c r="N37" s="37">
        <v>18</v>
      </c>
      <c r="O37" s="35">
        <f>N37*2</f>
        <v>36</v>
      </c>
      <c r="P37" s="34">
        <f>O37*A37*(1+B37*3/500-0.3)*C37</f>
        <v>1500.75</v>
      </c>
      <c r="Q37" s="14"/>
      <c r="R37" s="14"/>
      <c r="S37" s="24">
        <f>T37/N37</f>
        <v>1.3333333333333333</v>
      </c>
      <c r="T37" s="36">
        <v>24</v>
      </c>
      <c r="U37" s="35">
        <f>T37*2</f>
        <v>48</v>
      </c>
      <c r="V37" s="34">
        <f>U37*A37*(1+B37*3/500-0.3)*C37</f>
        <v>2001</v>
      </c>
      <c r="W37" s="10">
        <f>T37-N37</f>
        <v>6</v>
      </c>
      <c r="X37" s="25">
        <f>T37-N37</f>
        <v>6</v>
      </c>
      <c r="Y37" s="24">
        <f>Z37/T37</f>
        <v>1.25</v>
      </c>
      <c r="Z37" s="36">
        <v>30</v>
      </c>
      <c r="AA37" s="35">
        <f>Z37*2</f>
        <v>60</v>
      </c>
      <c r="AB37" s="34">
        <f>AA37*A37*(1+B37*3/500-0.3)*C37</f>
        <v>2501.2499999999995</v>
      </c>
      <c r="AC37" s="10">
        <f>Z37-N37</f>
        <v>12</v>
      </c>
      <c r="AD37" s="25">
        <f>Z37-T37</f>
        <v>6</v>
      </c>
      <c r="AE37" s="24">
        <f>AF37/Z37</f>
        <v>1.2</v>
      </c>
      <c r="AF37" s="36">
        <v>36</v>
      </c>
      <c r="AG37" s="35">
        <f>AF37*2</f>
        <v>72</v>
      </c>
      <c r="AH37" s="34">
        <f>AG37*A37*(1+B37*3/500-0.3)*C37</f>
        <v>3001.5</v>
      </c>
      <c r="AI37" s="10">
        <f>AF37-N37</f>
        <v>18</v>
      </c>
      <c r="AJ37" s="26">
        <f>AF37-Z37</f>
        <v>6</v>
      </c>
    </row>
    <row r="38" spans="1:36" ht="15" thickBot="1" x14ac:dyDescent="0.35">
      <c r="A38" s="115" t="s">
        <v>5</v>
      </c>
      <c r="B38" s="116"/>
      <c r="C38" s="117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20">
        <f>T40/T35</f>
        <v>7.5</v>
      </c>
      <c r="U38" s="20">
        <f t="shared" ref="U38:V38" si="49">U40/U35</f>
        <v>11.25</v>
      </c>
      <c r="V38" s="20">
        <f t="shared" si="49"/>
        <v>6.0314550306074421</v>
      </c>
      <c r="W38" s="5"/>
      <c r="X38" s="5"/>
      <c r="Y38" s="22"/>
      <c r="Z38" s="20">
        <f>Z40/Z35</f>
        <v>8.5714285714285712</v>
      </c>
      <c r="AA38" s="20">
        <f t="shared" ref="AA38:AB38" si="50">AA40/AA35</f>
        <v>12.857142857142858</v>
      </c>
      <c r="AB38" s="20">
        <f t="shared" si="50"/>
        <v>6.8930914635513618</v>
      </c>
      <c r="AC38" s="5"/>
      <c r="AD38" s="5"/>
      <c r="AE38" s="22"/>
      <c r="AF38" s="20">
        <f>AF40/AF35</f>
        <v>9.375</v>
      </c>
      <c r="AG38" s="20">
        <f t="shared" ref="AG38:AH38" si="51">AG40/AG35</f>
        <v>14.0625</v>
      </c>
      <c r="AH38" s="20">
        <f t="shared" si="51"/>
        <v>7.539318788259302</v>
      </c>
      <c r="AI38" s="5"/>
      <c r="AJ38" s="11"/>
    </row>
    <row r="39" spans="1:36" ht="15" thickBot="1" x14ac:dyDescent="0.35">
      <c r="A39" s="118" t="s">
        <v>7</v>
      </c>
      <c r="B39" s="119"/>
      <c r="C39" s="120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21">
        <f>T40/T37</f>
        <v>3.75</v>
      </c>
      <c r="U39" s="21">
        <f t="shared" ref="U39" si="52">U40/U37</f>
        <v>5.625</v>
      </c>
      <c r="V39" s="21">
        <f t="shared" ref="V39" si="53">V40/V37</f>
        <v>2.3044317841079462</v>
      </c>
      <c r="W39" s="5"/>
      <c r="X39" s="5"/>
      <c r="Y39" s="22"/>
      <c r="Z39" s="21">
        <f>Z40/Z37</f>
        <v>4</v>
      </c>
      <c r="AA39" s="21">
        <f t="shared" ref="AA39" si="54">AA40/AA37</f>
        <v>6</v>
      </c>
      <c r="AB39" s="21">
        <f t="shared" ref="AB39" si="55">AB40/AB37</f>
        <v>2.4580605697151428</v>
      </c>
      <c r="AC39" s="5"/>
      <c r="AD39" s="5"/>
      <c r="AE39" s="22"/>
      <c r="AF39" s="21">
        <f>AF40/AF37</f>
        <v>4.166666666666667</v>
      </c>
      <c r="AG39" s="21">
        <f t="shared" ref="AG39" si="56">AG40/AG37</f>
        <v>6.25</v>
      </c>
      <c r="AH39" s="21">
        <f t="shared" ref="AH39" si="57">AH40/AH37</f>
        <v>2.5604797601199403</v>
      </c>
      <c r="AI39" s="5"/>
      <c r="AJ39" s="11"/>
    </row>
    <row r="40" spans="1:36" ht="15.6" thickTop="1" thickBot="1" x14ac:dyDescent="0.35">
      <c r="A40" s="3">
        <v>9</v>
      </c>
      <c r="B40" s="3">
        <v>81</v>
      </c>
      <c r="C40" s="3">
        <v>1.6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5"/>
      <c r="T40" s="37">
        <v>90</v>
      </c>
      <c r="U40" s="35">
        <f>T40*3</f>
        <v>270</v>
      </c>
      <c r="V40" s="34">
        <f>U40*A40*(1+B40*3/500-0.3)*C40</f>
        <v>4611.1680000000006</v>
      </c>
      <c r="W40" s="14"/>
      <c r="X40" s="14"/>
      <c r="Y40" s="24">
        <f>Z40/T40</f>
        <v>1.3333333333333333</v>
      </c>
      <c r="Z40" s="36">
        <v>120</v>
      </c>
      <c r="AA40" s="35">
        <f>Z40*3</f>
        <v>360</v>
      </c>
      <c r="AB40" s="34">
        <f>AA40*A40*(1+B40*3/500-0.3)*C40</f>
        <v>6148.2240000000002</v>
      </c>
      <c r="AC40" s="10">
        <f>Z40-T40</f>
        <v>30</v>
      </c>
      <c r="AD40" s="25">
        <f>Z40-T40</f>
        <v>30</v>
      </c>
      <c r="AE40" s="24">
        <f>AF40/Z40</f>
        <v>1.25</v>
      </c>
      <c r="AF40" s="36">
        <v>150</v>
      </c>
      <c r="AG40" s="35">
        <f>AF40*3</f>
        <v>450</v>
      </c>
      <c r="AH40" s="34">
        <f>AG40*A40*(1+B40*3/500-0.3)*C40</f>
        <v>7685.2800000000007</v>
      </c>
      <c r="AI40" s="10">
        <f>AF40-T40</f>
        <v>60</v>
      </c>
      <c r="AJ40" s="26">
        <f>AF40-Z40</f>
        <v>30</v>
      </c>
    </row>
    <row r="41" spans="1:36" ht="15.6" thickTop="1" thickBot="1" x14ac:dyDescent="0.35">
      <c r="A41" s="115" t="s">
        <v>8</v>
      </c>
      <c r="B41" s="116"/>
      <c r="C41" s="117"/>
      <c r="D41" s="5"/>
      <c r="E41" s="106">
        <v>800</v>
      </c>
      <c r="F41" s="104">
        <f>E41/(E35*(1+B35*3/500-0.3)*C35*1)</f>
        <v>52.320410192015913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20">
        <f>AF44/AF35</f>
        <v>46.875</v>
      </c>
      <c r="AG41" s="20">
        <f t="shared" ref="AG41:AH41" si="58">AG44/AG35</f>
        <v>140.625</v>
      </c>
      <c r="AH41" s="20">
        <f t="shared" si="58"/>
        <v>127.12976769737877</v>
      </c>
      <c r="AI41" s="5"/>
      <c r="AJ41" s="11"/>
    </row>
    <row r="42" spans="1:36" ht="15.6" thickTop="1" thickBot="1" x14ac:dyDescent="0.35">
      <c r="A42" s="121" t="s">
        <v>9</v>
      </c>
      <c r="B42" s="122"/>
      <c r="C42" s="123"/>
      <c r="D42" s="5"/>
      <c r="E42" s="106">
        <v>2500</v>
      </c>
      <c r="F42" s="104">
        <f>E42/(O37*(1+B37*3/500-0.3)*C37*1)</f>
        <v>41.645843744794277</v>
      </c>
      <c r="G42" s="5"/>
      <c r="H42" s="5"/>
      <c r="I42" s="106">
        <v>20000</v>
      </c>
      <c r="J42" s="104">
        <f>(E42+I42/A37)/(O37*(1+B37*3/500-0.3)*C37*1)</f>
        <v>54.972513743128438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20">
        <f>AF44/AF37</f>
        <v>20.833333333333332</v>
      </c>
      <c r="AG42" s="20">
        <f t="shared" ref="AG42:AH42" si="59">AG44/AG37</f>
        <v>62.5</v>
      </c>
      <c r="AH42" s="20">
        <f t="shared" si="59"/>
        <v>43.175412293853071</v>
      </c>
      <c r="AI42" s="5"/>
      <c r="AJ42" s="11"/>
    </row>
    <row r="43" spans="1:36" ht="15.6" thickTop="1" thickBot="1" x14ac:dyDescent="0.35">
      <c r="A43" s="124" t="s">
        <v>10</v>
      </c>
      <c r="B43" s="119"/>
      <c r="C43" s="120"/>
      <c r="D43" s="5"/>
      <c r="E43" s="106">
        <v>8683</v>
      </c>
      <c r="F43" s="104">
        <f>E43/(U40*(1+B40*3/500-0.3)*C40*1)</f>
        <v>16.947333083505089</v>
      </c>
      <c r="G43" s="5"/>
      <c r="H43" s="5"/>
      <c r="I43" s="106">
        <v>742500</v>
      </c>
      <c r="J43" s="104">
        <f>(E43+I43/4/10)/(U40*(1+B40*3/500-0.3)*C40*1)</f>
        <v>53.177307788395481</v>
      </c>
      <c r="K43" s="5"/>
      <c r="L43" s="5"/>
      <c r="M43" s="5"/>
      <c r="N43" s="5"/>
      <c r="O43" s="106">
        <v>1325500</v>
      </c>
      <c r="P43" s="104">
        <f>(E43+O43/8/10)/(U40*(1+B40*3/500-0.3)*C40*1)</f>
        <v>49.285940134907257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21">
        <f>AF44/AF40</f>
        <v>5</v>
      </c>
      <c r="AG43" s="21">
        <f t="shared" ref="AG43" si="60">AG44/AG40</f>
        <v>10</v>
      </c>
      <c r="AH43" s="21">
        <f t="shared" ref="AH43" si="61">AH44/AH40</f>
        <v>16.862235338204982</v>
      </c>
      <c r="AI43" s="5"/>
      <c r="AJ43" s="11"/>
    </row>
    <row r="44" spans="1:36" ht="15.6" thickTop="1" thickBot="1" x14ac:dyDescent="0.35">
      <c r="A44" s="3">
        <v>14</v>
      </c>
      <c r="B44" s="3">
        <v>85</v>
      </c>
      <c r="C44" s="3">
        <v>1.7</v>
      </c>
      <c r="D44" s="14"/>
      <c r="E44" s="13">
        <v>85000</v>
      </c>
      <c r="F44" s="105">
        <f>E44/(AG44*(1+B44*3/500-0.3)*C44*1)</f>
        <v>9.1827364554637274</v>
      </c>
      <c r="G44" s="14"/>
      <c r="H44" s="14"/>
      <c r="I44" s="13">
        <v>50000000</v>
      </c>
      <c r="J44" s="105">
        <f>(E44+I44/8/A44)/(AG44*(1+B44*3/500-0.3)*C44*1)</f>
        <v>57.411394309790026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5"/>
      <c r="AF44" s="37">
        <v>750</v>
      </c>
      <c r="AG44" s="35">
        <f>AF44*6</f>
        <v>4500</v>
      </c>
      <c r="AH44" s="34">
        <f>AG44*A44*(1+B44*3/500-0.3)*C44</f>
        <v>129591</v>
      </c>
      <c r="AI44" s="16"/>
      <c r="AJ44" s="17"/>
    </row>
    <row r="45" spans="1:36" ht="15" thickBot="1" x14ac:dyDescent="0.35"/>
    <row r="46" spans="1:36" ht="15" thickBot="1" x14ac:dyDescent="0.35">
      <c r="A46" s="139" t="s">
        <v>21</v>
      </c>
      <c r="B46" s="140"/>
      <c r="C46" s="141"/>
      <c r="D46" s="129" t="s">
        <v>11</v>
      </c>
      <c r="E46" s="130"/>
      <c r="F46" s="132"/>
      <c r="G46" s="129" t="s">
        <v>12</v>
      </c>
      <c r="H46" s="130"/>
      <c r="I46" s="130"/>
      <c r="J46" s="130"/>
      <c r="K46" s="130"/>
      <c r="L46" s="132"/>
      <c r="M46" s="129" t="s">
        <v>13</v>
      </c>
      <c r="N46" s="130"/>
      <c r="O46" s="130"/>
      <c r="P46" s="130"/>
      <c r="Q46" s="130"/>
      <c r="R46" s="132"/>
      <c r="S46" s="129" t="s">
        <v>14</v>
      </c>
      <c r="T46" s="130"/>
      <c r="U46" s="130"/>
      <c r="V46" s="130"/>
      <c r="W46" s="130"/>
      <c r="X46" s="132"/>
      <c r="Y46" s="129" t="s">
        <v>15</v>
      </c>
      <c r="Z46" s="130"/>
      <c r="AA46" s="130"/>
      <c r="AB46" s="130"/>
      <c r="AC46" s="130"/>
      <c r="AD46" s="132"/>
      <c r="AE46" s="129" t="s">
        <v>28</v>
      </c>
      <c r="AF46" s="130"/>
      <c r="AG46" s="130"/>
      <c r="AH46" s="130"/>
      <c r="AI46" s="130"/>
      <c r="AJ46" s="132"/>
    </row>
    <row r="47" spans="1:36" x14ac:dyDescent="0.3">
      <c r="A47" s="133" t="s">
        <v>3</v>
      </c>
      <c r="B47" s="136" t="s">
        <v>0</v>
      </c>
      <c r="C47" s="133" t="s">
        <v>1</v>
      </c>
      <c r="D47" s="127" t="s">
        <v>16</v>
      </c>
      <c r="E47" s="128" t="s">
        <v>17</v>
      </c>
      <c r="F47" s="125" t="s">
        <v>18</v>
      </c>
      <c r="G47" s="126" t="s">
        <v>4</v>
      </c>
      <c r="H47" s="127" t="s">
        <v>16</v>
      </c>
      <c r="I47" s="128" t="s">
        <v>17</v>
      </c>
      <c r="J47" s="125" t="s">
        <v>18</v>
      </c>
      <c r="K47" s="5"/>
      <c r="L47" s="5"/>
      <c r="M47" s="126" t="s">
        <v>4</v>
      </c>
      <c r="N47" s="127" t="s">
        <v>16</v>
      </c>
      <c r="O47" s="128" t="s">
        <v>17</v>
      </c>
      <c r="P47" s="125" t="s">
        <v>18</v>
      </c>
      <c r="Q47" s="5"/>
      <c r="R47" s="5"/>
      <c r="S47" s="126" t="s">
        <v>4</v>
      </c>
      <c r="T47" s="127" t="s">
        <v>16</v>
      </c>
      <c r="U47" s="128" t="s">
        <v>17</v>
      </c>
      <c r="V47" s="125" t="s">
        <v>18</v>
      </c>
      <c r="W47" s="5"/>
      <c r="X47" s="5"/>
      <c r="Y47" s="126" t="s">
        <v>4</v>
      </c>
      <c r="Z47" s="127" t="s">
        <v>16</v>
      </c>
      <c r="AA47" s="128" t="s">
        <v>17</v>
      </c>
      <c r="AB47" s="125" t="s">
        <v>18</v>
      </c>
      <c r="AC47" s="5"/>
      <c r="AD47" s="5"/>
      <c r="AE47" s="126" t="s">
        <v>4</v>
      </c>
      <c r="AF47" s="127" t="s">
        <v>16</v>
      </c>
      <c r="AG47" s="128" t="s">
        <v>17</v>
      </c>
      <c r="AH47" s="125" t="s">
        <v>18</v>
      </c>
      <c r="AI47" s="5"/>
      <c r="AJ47" s="11"/>
    </row>
    <row r="48" spans="1:36" x14ac:dyDescent="0.3">
      <c r="A48" s="134"/>
      <c r="B48" s="137"/>
      <c r="C48" s="134"/>
      <c r="D48" s="127"/>
      <c r="E48" s="128"/>
      <c r="F48" s="125"/>
      <c r="G48" s="126"/>
      <c r="H48" s="127"/>
      <c r="I48" s="128"/>
      <c r="J48" s="125"/>
      <c r="K48" s="2" t="s">
        <v>19</v>
      </c>
      <c r="L48" s="27" t="s">
        <v>20</v>
      </c>
      <c r="M48" s="126"/>
      <c r="N48" s="127"/>
      <c r="O48" s="128"/>
      <c r="P48" s="125"/>
      <c r="Q48" s="2" t="s">
        <v>19</v>
      </c>
      <c r="R48" s="27" t="s">
        <v>20</v>
      </c>
      <c r="S48" s="126"/>
      <c r="T48" s="127"/>
      <c r="U48" s="128"/>
      <c r="V48" s="125"/>
      <c r="W48" s="2" t="s">
        <v>19</v>
      </c>
      <c r="X48" s="27" t="s">
        <v>20</v>
      </c>
      <c r="Y48" s="126"/>
      <c r="Z48" s="127"/>
      <c r="AA48" s="128"/>
      <c r="AB48" s="125"/>
      <c r="AC48" s="2" t="s">
        <v>19</v>
      </c>
      <c r="AD48" s="27" t="s">
        <v>20</v>
      </c>
      <c r="AE48" s="126"/>
      <c r="AF48" s="127"/>
      <c r="AG48" s="128"/>
      <c r="AH48" s="125"/>
      <c r="AI48" s="2" t="s">
        <v>19</v>
      </c>
      <c r="AJ48" s="27" t="s">
        <v>20</v>
      </c>
    </row>
    <row r="49" spans="1:36" ht="15" thickBot="1" x14ac:dyDescent="0.35">
      <c r="A49" s="135"/>
      <c r="B49" s="138"/>
      <c r="C49" s="135"/>
      <c r="D49" s="127"/>
      <c r="E49" s="128"/>
      <c r="F49" s="125"/>
      <c r="G49" s="126"/>
      <c r="H49" s="127"/>
      <c r="I49" s="146"/>
      <c r="J49" s="147"/>
      <c r="K49" s="5"/>
      <c r="L49" s="5"/>
      <c r="M49" s="148"/>
      <c r="N49" s="145"/>
      <c r="O49" s="146"/>
      <c r="P49" s="147"/>
      <c r="Q49" s="5"/>
      <c r="R49" s="5"/>
      <c r="S49" s="148"/>
      <c r="T49" s="145"/>
      <c r="U49" s="146"/>
      <c r="V49" s="147"/>
      <c r="W49" s="5"/>
      <c r="X49" s="5"/>
      <c r="Y49" s="148"/>
      <c r="Z49" s="145"/>
      <c r="AA49" s="146"/>
      <c r="AB49" s="147"/>
      <c r="AC49" s="5"/>
      <c r="AD49" s="5"/>
      <c r="AE49" s="148"/>
      <c r="AF49" s="145"/>
      <c r="AG49" s="146"/>
      <c r="AH49" s="147"/>
      <c r="AI49" s="5"/>
      <c r="AJ49" s="11"/>
    </row>
    <row r="50" spans="1:36" ht="15.6" thickTop="1" thickBot="1" x14ac:dyDescent="0.35">
      <c r="A50" s="4">
        <v>25</v>
      </c>
      <c r="B50" s="112">
        <v>68</v>
      </c>
      <c r="C50" s="3">
        <v>1.1499999999999999</v>
      </c>
      <c r="D50" s="13"/>
      <c r="E50" s="14"/>
      <c r="F50" s="14"/>
      <c r="G50" s="40"/>
      <c r="H50" s="56">
        <v>1</v>
      </c>
      <c r="I50" s="43">
        <f>H50</f>
        <v>1</v>
      </c>
      <c r="J50" s="41">
        <f>I50*A50*(1+B50*3/500-0.3)*C50</f>
        <v>31.854999999999993</v>
      </c>
      <c r="K50" s="13"/>
      <c r="L50" s="15"/>
      <c r="M50" s="24">
        <f>N50/H50</f>
        <v>1.25</v>
      </c>
      <c r="N50" s="45">
        <v>1.25</v>
      </c>
      <c r="O50" s="44">
        <f>N50</f>
        <v>1.25</v>
      </c>
      <c r="P50" s="42">
        <f>O50*A50*(1+B50*3/500-0.3)*C50</f>
        <v>39.818749999999987</v>
      </c>
      <c r="Q50" s="10">
        <f>N50-H50</f>
        <v>0.25</v>
      </c>
      <c r="R50" s="25">
        <f>N50-H50</f>
        <v>0.25</v>
      </c>
      <c r="S50" s="24">
        <f>T50/N50</f>
        <v>1.2</v>
      </c>
      <c r="T50" s="45">
        <v>1.5</v>
      </c>
      <c r="U50" s="44">
        <f>T50</f>
        <v>1.5</v>
      </c>
      <c r="V50" s="42">
        <f>U50*A50*(1+B50*3/500-0.3)*C50</f>
        <v>47.782499999999992</v>
      </c>
      <c r="W50" s="10">
        <f>T50-H50</f>
        <v>0.5</v>
      </c>
      <c r="X50" s="25">
        <f>T50-N50</f>
        <v>0.25</v>
      </c>
      <c r="Y50" s="24">
        <f>Z50/T50</f>
        <v>1.1666666666666667</v>
      </c>
      <c r="Z50" s="45">
        <v>1.75</v>
      </c>
      <c r="AA50" s="44">
        <f>Z50</f>
        <v>1.75</v>
      </c>
      <c r="AB50" s="42">
        <f>AA50*A50*(1+B50*3/500-0.3)*C50</f>
        <v>55.746249999999989</v>
      </c>
      <c r="AC50" s="10">
        <f>Z50-H50</f>
        <v>0.75</v>
      </c>
      <c r="AD50" s="25">
        <f>Z50-T50</f>
        <v>0.25</v>
      </c>
      <c r="AE50" s="24">
        <f>AF50/Z50</f>
        <v>1.1428571428571428</v>
      </c>
      <c r="AF50" s="45">
        <v>2</v>
      </c>
      <c r="AG50" s="44">
        <f>AF50</f>
        <v>2</v>
      </c>
      <c r="AH50" s="42">
        <f>AG50*A50*(1+B50*3/500-0.3)*C50</f>
        <v>63.709999999999987</v>
      </c>
      <c r="AI50" s="10">
        <f>AF50-H50</f>
        <v>1</v>
      </c>
      <c r="AJ50" s="26">
        <f>AF50-Z50</f>
        <v>0.25</v>
      </c>
    </row>
    <row r="51" spans="1:36" ht="15" thickBot="1" x14ac:dyDescent="0.35">
      <c r="A51" s="129" t="s">
        <v>6</v>
      </c>
      <c r="B51" s="130"/>
      <c r="C51" s="131"/>
      <c r="D51" s="5"/>
      <c r="E51" s="5"/>
      <c r="F51" s="5"/>
      <c r="G51" s="5"/>
      <c r="H51" s="5"/>
      <c r="I51" s="5"/>
      <c r="J51" s="5"/>
      <c r="K51" s="5"/>
      <c r="L51" s="5"/>
      <c r="M51" s="5"/>
      <c r="N51" s="21">
        <f>N52/N50</f>
        <v>2</v>
      </c>
      <c r="O51" s="21">
        <f>O52/O50</f>
        <v>2</v>
      </c>
      <c r="P51" s="21">
        <f>P52/P50</f>
        <v>2.6173285198555964</v>
      </c>
      <c r="Q51" s="5"/>
      <c r="R51" s="5"/>
      <c r="S51" s="22"/>
      <c r="T51" s="21">
        <f>T52/T50</f>
        <v>2.3333333333333335</v>
      </c>
      <c r="U51" s="21">
        <f t="shared" ref="U51" si="62">U52/U50</f>
        <v>2.3333333333333335</v>
      </c>
      <c r="V51" s="21">
        <f t="shared" ref="V51" si="63">V52/V50</f>
        <v>3.053549939831528</v>
      </c>
      <c r="W51" s="5"/>
      <c r="X51" s="5"/>
      <c r="Y51" s="22"/>
      <c r="Z51" s="21">
        <f>Z52/Z50</f>
        <v>2.2857142857142856</v>
      </c>
      <c r="AA51" s="21">
        <f t="shared" ref="AA51" si="64">AA52/AA50</f>
        <v>2.2857142857142856</v>
      </c>
      <c r="AB51" s="21">
        <f t="shared" ref="AB51" si="65">AB52/AB50</f>
        <v>2.9912325941206808</v>
      </c>
      <c r="AC51" s="5"/>
      <c r="AD51" s="5"/>
      <c r="AE51" s="22"/>
      <c r="AF51" s="21">
        <f>AF52/AF50</f>
        <v>2.25</v>
      </c>
      <c r="AG51" s="21">
        <f t="shared" ref="AG51" si="66">AG52/AG50</f>
        <v>2.25</v>
      </c>
      <c r="AH51" s="21">
        <f t="shared" ref="AH51" si="67">AH52/AH50</f>
        <v>2.9444945848375457</v>
      </c>
      <c r="AI51" s="5"/>
      <c r="AJ51" s="11"/>
    </row>
    <row r="52" spans="1:36" ht="15.6" thickTop="1" thickBot="1" x14ac:dyDescent="0.35">
      <c r="A52" s="3">
        <v>25</v>
      </c>
      <c r="B52" s="3">
        <v>75</v>
      </c>
      <c r="C52" s="114">
        <v>1.45</v>
      </c>
      <c r="D52" s="13"/>
      <c r="E52" s="14"/>
      <c r="F52" s="14"/>
      <c r="G52" s="14"/>
      <c r="H52" s="14"/>
      <c r="I52" s="14"/>
      <c r="J52" s="14"/>
      <c r="K52" s="14"/>
      <c r="L52" s="14"/>
      <c r="M52" s="15"/>
      <c r="N52" s="46">
        <v>2.5</v>
      </c>
      <c r="O52" s="44">
        <f>N52</f>
        <v>2.5</v>
      </c>
      <c r="P52" s="42">
        <f>O52*A52*(1+B52*3/500-0.3)*C52</f>
        <v>104.21875</v>
      </c>
      <c r="Q52" s="14"/>
      <c r="R52" s="14"/>
      <c r="S52" s="24">
        <f>T52/N52</f>
        <v>1.4</v>
      </c>
      <c r="T52" s="45">
        <v>3.5</v>
      </c>
      <c r="U52" s="44">
        <f>T52</f>
        <v>3.5</v>
      </c>
      <c r="V52" s="42">
        <f>U52*A52*(1+B52*3/500-0.3)*C52</f>
        <v>145.90624999999997</v>
      </c>
      <c r="W52" s="10">
        <f>T52-N52</f>
        <v>1</v>
      </c>
      <c r="X52" s="25">
        <f>T52-N52</f>
        <v>1</v>
      </c>
      <c r="Y52" s="24">
        <f>Z52/T52</f>
        <v>1.1428571428571428</v>
      </c>
      <c r="Z52" s="45">
        <v>4</v>
      </c>
      <c r="AA52" s="44">
        <f>Z52</f>
        <v>4</v>
      </c>
      <c r="AB52" s="42">
        <f>AA52*A52*(1+B52*3/500-0.3)*C52</f>
        <v>166.74999999999997</v>
      </c>
      <c r="AC52" s="10">
        <f>Z52-N52</f>
        <v>1.5</v>
      </c>
      <c r="AD52" s="25">
        <f>Z52-T52</f>
        <v>0.5</v>
      </c>
      <c r="AE52" s="24">
        <f>AF52/Z52</f>
        <v>1.125</v>
      </c>
      <c r="AF52" s="45">
        <v>4.5</v>
      </c>
      <c r="AG52" s="44">
        <f>AF52</f>
        <v>4.5</v>
      </c>
      <c r="AH52" s="42">
        <f>AG52*A52*(1+B52*3/500-0.3)*C52</f>
        <v>187.59375</v>
      </c>
      <c r="AI52" s="10">
        <f>AF52-N52</f>
        <v>2</v>
      </c>
      <c r="AJ52" s="26">
        <f>AF52-Z52</f>
        <v>0.5</v>
      </c>
    </row>
    <row r="53" spans="1:36" ht="15" thickBot="1" x14ac:dyDescent="0.35">
      <c r="A53" s="115" t="s">
        <v>5</v>
      </c>
      <c r="B53" s="116"/>
      <c r="C53" s="117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20">
        <f>T55/T50</f>
        <v>13.333333333333334</v>
      </c>
      <c r="U53" s="20">
        <f t="shared" ref="U53:V53" si="68">U55/U50</f>
        <v>13.333333333333334</v>
      </c>
      <c r="V53" s="20">
        <f t="shared" si="68"/>
        <v>7.1483911473865964</v>
      </c>
      <c r="W53" s="5"/>
      <c r="X53" s="5"/>
      <c r="Y53" s="22"/>
      <c r="Z53" s="20">
        <f>Z55/Z50</f>
        <v>14.285714285714286</v>
      </c>
      <c r="AA53" s="20">
        <f t="shared" ref="AA53:AB53" si="69">AA55/AA50</f>
        <v>14.285714285714286</v>
      </c>
      <c r="AB53" s="20">
        <f t="shared" si="69"/>
        <v>7.6589905150570674</v>
      </c>
      <c r="AC53" s="5"/>
      <c r="AD53" s="5"/>
      <c r="AE53" s="22"/>
      <c r="AF53" s="20">
        <f>AF55/AF50</f>
        <v>15</v>
      </c>
      <c r="AG53" s="20">
        <f t="shared" ref="AG53:AH53" si="70">AG55/AG50</f>
        <v>15</v>
      </c>
      <c r="AH53" s="20">
        <f t="shared" si="70"/>
        <v>8.0419400408099211</v>
      </c>
      <c r="AI53" s="5"/>
      <c r="AJ53" s="11"/>
    </row>
    <row r="54" spans="1:36" ht="15" thickBot="1" x14ac:dyDescent="0.35">
      <c r="A54" s="118" t="s">
        <v>7</v>
      </c>
      <c r="B54" s="119"/>
      <c r="C54" s="120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21">
        <f>T55/T52</f>
        <v>5.7142857142857144</v>
      </c>
      <c r="U54" s="21">
        <f t="shared" ref="U54" si="71">U55/U52</f>
        <v>5.7142857142857144</v>
      </c>
      <c r="V54" s="21">
        <f t="shared" ref="V54" si="72">V55/V52</f>
        <v>2.3410100663953739</v>
      </c>
      <c r="W54" s="5"/>
      <c r="X54" s="5"/>
      <c r="Y54" s="22"/>
      <c r="Z54" s="21">
        <f>Z55/Z52</f>
        <v>6.25</v>
      </c>
      <c r="AA54" s="21">
        <f t="shared" ref="AA54" si="73">AA55/AA52</f>
        <v>6.25</v>
      </c>
      <c r="AB54" s="21">
        <f t="shared" ref="AB54" si="74">AB55/AB52</f>
        <v>2.5604797601199403</v>
      </c>
      <c r="AC54" s="5"/>
      <c r="AD54" s="5"/>
      <c r="AE54" s="22"/>
      <c r="AF54" s="21">
        <f>AF55/AF52</f>
        <v>6.666666666666667</v>
      </c>
      <c r="AG54" s="21">
        <f t="shared" ref="AG54" si="75">AG55/AG52</f>
        <v>6.666666666666667</v>
      </c>
      <c r="AH54" s="21">
        <f t="shared" ref="AH54" si="76">AH55/AH52</f>
        <v>2.7311784107946027</v>
      </c>
      <c r="AI54" s="5"/>
      <c r="AJ54" s="11"/>
    </row>
    <row r="55" spans="1:36" ht="15.6" thickTop="1" thickBot="1" x14ac:dyDescent="0.35">
      <c r="A55" s="3">
        <v>9</v>
      </c>
      <c r="B55" s="3">
        <v>81</v>
      </c>
      <c r="C55" s="3">
        <v>1.6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5"/>
      <c r="T55" s="46">
        <v>20</v>
      </c>
      <c r="U55" s="44">
        <f>T55</f>
        <v>20</v>
      </c>
      <c r="V55" s="42">
        <f>U55*A55*(1+B55*3/500-0.3)*C55</f>
        <v>341.56799999999998</v>
      </c>
      <c r="W55" s="14"/>
      <c r="X55" s="14"/>
      <c r="Y55" s="24">
        <f>Z55/T55</f>
        <v>1.25</v>
      </c>
      <c r="Z55" s="45">
        <v>25</v>
      </c>
      <c r="AA55" s="44">
        <f>Z55</f>
        <v>25</v>
      </c>
      <c r="AB55" s="42">
        <f>AA55*A55*(1+B55*3/500-0.3)*C55</f>
        <v>426.96</v>
      </c>
      <c r="AC55" s="10">
        <f>Z55-T55</f>
        <v>5</v>
      </c>
      <c r="AD55" s="25">
        <f>Z55-T55</f>
        <v>5</v>
      </c>
      <c r="AE55" s="24">
        <f>AF55/Z55</f>
        <v>1.2</v>
      </c>
      <c r="AF55" s="45">
        <v>30</v>
      </c>
      <c r="AG55" s="44">
        <f>AF55</f>
        <v>30</v>
      </c>
      <c r="AH55" s="42">
        <f>AG55*A55*(1+B55*3/500-0.3)*C55</f>
        <v>512.35199999999998</v>
      </c>
      <c r="AI55" s="10">
        <f>AF55-T55</f>
        <v>10</v>
      </c>
      <c r="AJ55" s="26">
        <f>AF55-Z55</f>
        <v>5</v>
      </c>
    </row>
    <row r="56" spans="1:36" ht="15.6" thickTop="1" thickBot="1" x14ac:dyDescent="0.35">
      <c r="A56" s="115" t="s">
        <v>8</v>
      </c>
      <c r="B56" s="116"/>
      <c r="C56" s="117"/>
      <c r="D56" s="5"/>
      <c r="E56" s="106">
        <v>1400</v>
      </c>
      <c r="F56" s="104">
        <f>E56/(I50*(1+B50*3/500-0.3)*C50*20)</f>
        <v>54.936430701616715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20">
        <f>AF59/AF50</f>
        <v>50</v>
      </c>
      <c r="AG56" s="20">
        <f t="shared" ref="AG56:AH56" si="77">AG59/AG50</f>
        <v>150</v>
      </c>
      <c r="AH56" s="20">
        <f t="shared" si="77"/>
        <v>135.6050855438707</v>
      </c>
      <c r="AI56" s="5"/>
      <c r="AJ56" s="11"/>
    </row>
    <row r="57" spans="1:36" ht="15.6" thickTop="1" thickBot="1" x14ac:dyDescent="0.35">
      <c r="A57" s="121" t="s">
        <v>9</v>
      </c>
      <c r="B57" s="122"/>
      <c r="C57" s="123"/>
      <c r="D57" s="5"/>
      <c r="E57" s="106">
        <v>4000</v>
      </c>
      <c r="F57" s="104">
        <f>E57/(O52*(1+B52*3/500-0.3)*C52*20)</f>
        <v>47.976011994002995</v>
      </c>
      <c r="G57" s="5"/>
      <c r="H57" s="5"/>
      <c r="I57" s="106">
        <v>20000</v>
      </c>
      <c r="J57" s="104">
        <f>(E57+I57/A52)/(O52*(1+B52*3/500-0.3)*C52*20)</f>
        <v>57.571214392803597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20">
        <f>AF59/AF52</f>
        <v>22.222222222222221</v>
      </c>
      <c r="AG57" s="20">
        <f t="shared" ref="AG57:AH57" si="78">AG59/AG52</f>
        <v>66.666666666666671</v>
      </c>
      <c r="AH57" s="20">
        <f t="shared" si="78"/>
        <v>46.053773113443278</v>
      </c>
      <c r="AI57" s="5"/>
      <c r="AJ57" s="11"/>
    </row>
    <row r="58" spans="1:36" ht="15.6" thickTop="1" thickBot="1" x14ac:dyDescent="0.35">
      <c r="A58" s="124" t="s">
        <v>10</v>
      </c>
      <c r="B58" s="119"/>
      <c r="C58" s="120"/>
      <c r="D58" s="5"/>
      <c r="E58" s="106">
        <v>21833</v>
      </c>
      <c r="F58" s="104">
        <f>E58/(U55*(1+B55*3/500-0.3)*C55*20)</f>
        <v>28.763965008431704</v>
      </c>
      <c r="G58" s="5"/>
      <c r="H58" s="5"/>
      <c r="I58" s="106">
        <v>742500</v>
      </c>
      <c r="J58" s="104">
        <f>(E58+I58/4/10)/(U55*(1+B55*3/500-0.3)*C55*20)</f>
        <v>53.219197934232717</v>
      </c>
      <c r="K58" s="5"/>
      <c r="L58" s="5"/>
      <c r="M58" s="5"/>
      <c r="N58" s="5"/>
      <c r="O58" s="106">
        <v>1325500</v>
      </c>
      <c r="P58" s="104">
        <f>(E58+O58/8/10)/(U55*(1+B55*3/500-0.3)*C55*20)</f>
        <v>50.592524768128165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21">
        <f>AF59/AF55</f>
        <v>3.3333333333333335</v>
      </c>
      <c r="AG58" s="21">
        <f t="shared" ref="AG58" si="79">AG59/AG55</f>
        <v>10</v>
      </c>
      <c r="AH58" s="21">
        <f t="shared" ref="AH58" si="80">AH59/AH55</f>
        <v>16.862235338204986</v>
      </c>
      <c r="AI58" s="5"/>
      <c r="AJ58" s="11"/>
    </row>
    <row r="59" spans="1:36" ht="15.6" thickTop="1" thickBot="1" x14ac:dyDescent="0.35">
      <c r="A59" s="3">
        <v>14</v>
      </c>
      <c r="B59" s="3">
        <v>85</v>
      </c>
      <c r="C59" s="3">
        <v>1.7</v>
      </c>
      <c r="D59" s="14"/>
      <c r="E59" s="13">
        <v>270000</v>
      </c>
      <c r="F59" s="105">
        <f>E59/(AG59*(1+B59*3/500-0.3)*C59*20)</f>
        <v>21.87651920272241</v>
      </c>
      <c r="G59" s="14"/>
      <c r="H59" s="14"/>
      <c r="I59" s="13">
        <v>25000000</v>
      </c>
      <c r="J59" s="105">
        <f>(E59+I59/8/15)/(AG59*(1+B59*3/500-0.3)*C59*20)</f>
        <v>38.756549451736618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5"/>
      <c r="AF59" s="46">
        <v>100</v>
      </c>
      <c r="AG59" s="44">
        <f>AF59*3</f>
        <v>300</v>
      </c>
      <c r="AH59" s="42">
        <f>AG59*A59*(1+B59*3/500-0.3)*C59</f>
        <v>8639.4</v>
      </c>
      <c r="AI59" s="16"/>
      <c r="AJ59" s="17"/>
    </row>
    <row r="60" spans="1:36" ht="15" thickBot="1" x14ac:dyDescent="0.35"/>
    <row r="61" spans="1:36" ht="15" thickBot="1" x14ac:dyDescent="0.35">
      <c r="A61" s="139" t="s">
        <v>22</v>
      </c>
      <c r="B61" s="140"/>
      <c r="C61" s="141"/>
      <c r="D61" s="129" t="s">
        <v>11</v>
      </c>
      <c r="E61" s="130"/>
      <c r="F61" s="132"/>
      <c r="G61" s="129" t="s">
        <v>12</v>
      </c>
      <c r="H61" s="130"/>
      <c r="I61" s="130"/>
      <c r="J61" s="130"/>
      <c r="K61" s="130"/>
      <c r="L61" s="132"/>
      <c r="M61" s="129" t="s">
        <v>13</v>
      </c>
      <c r="N61" s="130"/>
      <c r="O61" s="130"/>
      <c r="P61" s="130"/>
      <c r="Q61" s="130"/>
      <c r="R61" s="132"/>
      <c r="S61" s="129" t="s">
        <v>14</v>
      </c>
      <c r="T61" s="130"/>
      <c r="U61" s="130"/>
      <c r="V61" s="130"/>
      <c r="W61" s="130"/>
      <c r="X61" s="132"/>
      <c r="Y61" s="129" t="s">
        <v>15</v>
      </c>
      <c r="Z61" s="130"/>
      <c r="AA61" s="130"/>
      <c r="AB61" s="130"/>
      <c r="AC61" s="130"/>
      <c r="AD61" s="132"/>
      <c r="AE61" s="129" t="s">
        <v>28</v>
      </c>
      <c r="AF61" s="130"/>
      <c r="AG61" s="130"/>
      <c r="AH61" s="130"/>
      <c r="AI61" s="130"/>
      <c r="AJ61" s="132"/>
    </row>
    <row r="62" spans="1:36" x14ac:dyDescent="0.3">
      <c r="A62" s="133" t="s">
        <v>3</v>
      </c>
      <c r="B62" s="136" t="s">
        <v>0</v>
      </c>
      <c r="C62" s="133" t="s">
        <v>1</v>
      </c>
      <c r="D62" s="127" t="s">
        <v>16</v>
      </c>
      <c r="E62" s="128" t="s">
        <v>17</v>
      </c>
      <c r="F62" s="125" t="s">
        <v>18</v>
      </c>
      <c r="G62" s="126" t="s">
        <v>4</v>
      </c>
      <c r="H62" s="127" t="s">
        <v>16</v>
      </c>
      <c r="I62" s="128" t="s">
        <v>17</v>
      </c>
      <c r="J62" s="125" t="s">
        <v>18</v>
      </c>
      <c r="K62" s="5"/>
      <c r="L62" s="5"/>
      <c r="M62" s="126" t="s">
        <v>4</v>
      </c>
      <c r="N62" s="127" t="s">
        <v>16</v>
      </c>
      <c r="O62" s="128" t="s">
        <v>17</v>
      </c>
      <c r="P62" s="125" t="s">
        <v>18</v>
      </c>
      <c r="Q62" s="5"/>
      <c r="R62" s="5"/>
      <c r="S62" s="126" t="s">
        <v>4</v>
      </c>
      <c r="T62" s="127" t="s">
        <v>16</v>
      </c>
      <c r="U62" s="128" t="s">
        <v>17</v>
      </c>
      <c r="V62" s="125" t="s">
        <v>18</v>
      </c>
      <c r="W62" s="5"/>
      <c r="X62" s="5"/>
      <c r="Y62" s="126" t="s">
        <v>4</v>
      </c>
      <c r="Z62" s="127" t="s">
        <v>16</v>
      </c>
      <c r="AA62" s="128" t="s">
        <v>17</v>
      </c>
      <c r="AB62" s="125" t="s">
        <v>18</v>
      </c>
      <c r="AC62" s="5"/>
      <c r="AD62" s="5"/>
      <c r="AE62" s="126" t="s">
        <v>4</v>
      </c>
      <c r="AF62" s="127" t="s">
        <v>16</v>
      </c>
      <c r="AG62" s="128" t="s">
        <v>17</v>
      </c>
      <c r="AH62" s="125" t="s">
        <v>18</v>
      </c>
      <c r="AI62" s="5"/>
      <c r="AJ62" s="11"/>
    </row>
    <row r="63" spans="1:36" x14ac:dyDescent="0.3">
      <c r="A63" s="134"/>
      <c r="B63" s="137"/>
      <c r="C63" s="134"/>
      <c r="D63" s="127"/>
      <c r="E63" s="128"/>
      <c r="F63" s="125"/>
      <c r="G63" s="126"/>
      <c r="H63" s="127"/>
      <c r="I63" s="128"/>
      <c r="J63" s="125"/>
      <c r="K63" s="2" t="s">
        <v>19</v>
      </c>
      <c r="L63" s="27" t="s">
        <v>20</v>
      </c>
      <c r="M63" s="126"/>
      <c r="N63" s="127"/>
      <c r="O63" s="128"/>
      <c r="P63" s="125"/>
      <c r="Q63" s="2" t="s">
        <v>19</v>
      </c>
      <c r="R63" s="27" t="s">
        <v>20</v>
      </c>
      <c r="S63" s="126"/>
      <c r="T63" s="127"/>
      <c r="U63" s="128"/>
      <c r="V63" s="125"/>
      <c r="W63" s="2" t="s">
        <v>19</v>
      </c>
      <c r="X63" s="27" t="s">
        <v>20</v>
      </c>
      <c r="Y63" s="126"/>
      <c r="Z63" s="127"/>
      <c r="AA63" s="128"/>
      <c r="AB63" s="125"/>
      <c r="AC63" s="2" t="s">
        <v>19</v>
      </c>
      <c r="AD63" s="27" t="s">
        <v>20</v>
      </c>
      <c r="AE63" s="126"/>
      <c r="AF63" s="127"/>
      <c r="AG63" s="128"/>
      <c r="AH63" s="125"/>
      <c r="AI63" s="2" t="s">
        <v>19</v>
      </c>
      <c r="AJ63" s="27" t="s">
        <v>20</v>
      </c>
    </row>
    <row r="64" spans="1:36" ht="15" thickBot="1" x14ac:dyDescent="0.35">
      <c r="A64" s="135"/>
      <c r="B64" s="138"/>
      <c r="C64" s="135"/>
      <c r="D64" s="127"/>
      <c r="E64" s="128"/>
      <c r="F64" s="125"/>
      <c r="G64" s="126"/>
      <c r="H64" s="127"/>
      <c r="I64" s="128"/>
      <c r="J64" s="125"/>
      <c r="K64" s="5"/>
      <c r="L64" s="5"/>
      <c r="M64" s="126"/>
      <c r="N64" s="145"/>
      <c r="O64" s="146"/>
      <c r="P64" s="147"/>
      <c r="Q64" s="5"/>
      <c r="R64" s="5"/>
      <c r="S64" s="148"/>
      <c r="T64" s="145"/>
      <c r="U64" s="146"/>
      <c r="V64" s="147"/>
      <c r="W64" s="5"/>
      <c r="X64" s="5"/>
      <c r="Y64" s="148"/>
      <c r="Z64" s="145"/>
      <c r="AA64" s="146"/>
      <c r="AB64" s="147"/>
      <c r="AC64" s="5"/>
      <c r="AD64" s="5"/>
      <c r="AE64" s="148"/>
      <c r="AF64" s="145"/>
      <c r="AG64" s="146"/>
      <c r="AH64" s="147"/>
      <c r="AI64" s="5"/>
      <c r="AJ64" s="11"/>
    </row>
    <row r="65" spans="1:36" ht="15.6" thickTop="1" thickBot="1" x14ac:dyDescent="0.35">
      <c r="A65" s="4">
        <v>25</v>
      </c>
      <c r="B65" s="101">
        <v>68</v>
      </c>
      <c r="C65" s="3">
        <v>1.1499999999999999</v>
      </c>
      <c r="D65" s="13"/>
      <c r="E65" s="14"/>
      <c r="F65" s="51"/>
      <c r="G65" s="40"/>
      <c r="H65" s="14"/>
      <c r="I65" s="14"/>
      <c r="J65" s="14"/>
      <c r="K65" s="14"/>
      <c r="L65" s="14"/>
      <c r="M65" s="38"/>
      <c r="N65" s="50">
        <v>2</v>
      </c>
      <c r="O65" s="48">
        <f>N65*2</f>
        <v>4</v>
      </c>
      <c r="P65" s="57">
        <f>O65*A65*(1+B65*3/500-0.3)*C65</f>
        <v>127.41999999999997</v>
      </c>
      <c r="Q65" s="13"/>
      <c r="R65" s="15"/>
      <c r="S65" s="39">
        <f>T65/N65</f>
        <v>1.5</v>
      </c>
      <c r="T65" s="49">
        <v>3</v>
      </c>
      <c r="U65" s="48">
        <f>T65*2</f>
        <v>6</v>
      </c>
      <c r="V65" s="47">
        <f>U65*A65*(1+B65*3/500-0.3)*C65</f>
        <v>191.12999999999997</v>
      </c>
      <c r="W65" s="10">
        <f>T65-N65</f>
        <v>1</v>
      </c>
      <c r="X65" s="25">
        <f>T65-N65</f>
        <v>1</v>
      </c>
      <c r="Y65" s="24">
        <f>Z65/T65</f>
        <v>1.1666666666666667</v>
      </c>
      <c r="Z65" s="49">
        <v>3.5</v>
      </c>
      <c r="AA65" s="48">
        <f>Z65*2</f>
        <v>7</v>
      </c>
      <c r="AB65" s="47">
        <f>AA65*A65*(1+B65*3/500-0.3)*C65</f>
        <v>222.98499999999996</v>
      </c>
      <c r="AC65" s="10">
        <f>Z65-N65</f>
        <v>1.5</v>
      </c>
      <c r="AD65" s="25">
        <f>Z65-T65</f>
        <v>0.5</v>
      </c>
      <c r="AE65" s="24">
        <f>AF65/Z65</f>
        <v>1.1428571428571428</v>
      </c>
      <c r="AF65" s="49">
        <v>4</v>
      </c>
      <c r="AG65" s="48">
        <f>AF65*2</f>
        <v>8</v>
      </c>
      <c r="AH65" s="47">
        <f>AG65*A65*(1+B65*3/500-0.3)*C65</f>
        <v>254.83999999999995</v>
      </c>
      <c r="AI65" s="10">
        <f>AF65-N65</f>
        <v>2</v>
      </c>
      <c r="AJ65" s="26">
        <f>AF65-Z65</f>
        <v>0.5</v>
      </c>
    </row>
    <row r="66" spans="1:36" ht="15" thickBot="1" x14ac:dyDescent="0.35">
      <c r="A66" s="142" t="s">
        <v>6</v>
      </c>
      <c r="B66" s="143"/>
      <c r="C66" s="143"/>
      <c r="D66" s="5"/>
      <c r="E66" s="5"/>
      <c r="F66" s="5"/>
      <c r="G66" s="5"/>
      <c r="H66" s="5"/>
      <c r="I66" s="5"/>
      <c r="J66" s="5"/>
      <c r="K66" s="5"/>
      <c r="L66" s="5"/>
      <c r="M66" s="5"/>
      <c r="N66" s="21">
        <f>N67/N65</f>
        <v>2</v>
      </c>
      <c r="O66" s="21">
        <f>O67/O65</f>
        <v>2</v>
      </c>
      <c r="P66" s="21">
        <f>P67/P65</f>
        <v>2.6173285198555956</v>
      </c>
      <c r="Q66" s="5"/>
      <c r="R66" s="5"/>
      <c r="S66" s="22"/>
      <c r="T66" s="21">
        <f>T67/T65</f>
        <v>2</v>
      </c>
      <c r="U66" s="21">
        <f t="shared" ref="U66" si="81">U67/U65</f>
        <v>2</v>
      </c>
      <c r="V66" s="21">
        <f t="shared" ref="V66" si="82">V67/V65</f>
        <v>2.617328519855596</v>
      </c>
      <c r="W66" s="5"/>
      <c r="X66" s="5"/>
      <c r="Y66" s="22"/>
      <c r="Z66" s="21">
        <f>Z67/Z65</f>
        <v>2</v>
      </c>
      <c r="AA66" s="21">
        <f t="shared" ref="AA66" si="83">AA67/AA65</f>
        <v>2</v>
      </c>
      <c r="AB66" s="21">
        <f t="shared" ref="AB66" si="84">AB67/AB65</f>
        <v>2.6173285198555956</v>
      </c>
      <c r="AC66" s="5"/>
      <c r="AD66" s="5"/>
      <c r="AE66" s="22"/>
      <c r="AF66" s="21">
        <f>AF67/AF65</f>
        <v>2</v>
      </c>
      <c r="AG66" s="21">
        <f t="shared" ref="AG66" si="85">AG67/AG65</f>
        <v>2</v>
      </c>
      <c r="AH66" s="21">
        <f t="shared" ref="AH66" si="86">AH67/AH65</f>
        <v>2.6173285198555956</v>
      </c>
      <c r="AI66" s="5"/>
      <c r="AJ66" s="11"/>
    </row>
    <row r="67" spans="1:36" ht="15.6" thickTop="1" thickBot="1" x14ac:dyDescent="0.35">
      <c r="A67" s="3">
        <v>25</v>
      </c>
      <c r="B67" s="3">
        <v>75</v>
      </c>
      <c r="C67" s="102">
        <v>1.45</v>
      </c>
      <c r="D67" s="13"/>
      <c r="E67" s="14"/>
      <c r="F67" s="14"/>
      <c r="G67" s="14"/>
      <c r="H67" s="14"/>
      <c r="I67" s="14"/>
      <c r="J67" s="14"/>
      <c r="K67" s="14"/>
      <c r="L67" s="14"/>
      <c r="M67" s="15"/>
      <c r="N67" s="50">
        <v>4</v>
      </c>
      <c r="O67" s="48">
        <f>N67*2</f>
        <v>8</v>
      </c>
      <c r="P67" s="47">
        <f>O67*A67*(1+B67*3/500-0.3)*C67</f>
        <v>333.49999999999994</v>
      </c>
      <c r="Q67" s="14"/>
      <c r="R67" s="14"/>
      <c r="S67" s="24">
        <f>T67/N67</f>
        <v>1.5</v>
      </c>
      <c r="T67" s="49">
        <v>6</v>
      </c>
      <c r="U67" s="48">
        <f>T67*2</f>
        <v>12</v>
      </c>
      <c r="V67" s="47">
        <f>U67*A67*(1+B67*3/500-0.3)*C67</f>
        <v>500.25</v>
      </c>
      <c r="W67" s="10">
        <f>T67-N67</f>
        <v>2</v>
      </c>
      <c r="X67" s="25">
        <f>T67-N67</f>
        <v>2</v>
      </c>
      <c r="Y67" s="24">
        <f>Z67/T67</f>
        <v>1.1666666666666667</v>
      </c>
      <c r="Z67" s="49">
        <v>7</v>
      </c>
      <c r="AA67" s="48">
        <f>Z67*2</f>
        <v>14</v>
      </c>
      <c r="AB67" s="47">
        <f>AA67*A67*(1+B67*3/500-0.3)*C67</f>
        <v>583.62499999999989</v>
      </c>
      <c r="AC67" s="10">
        <f>Z67-N67</f>
        <v>3</v>
      </c>
      <c r="AD67" s="25">
        <f>Z67-T67</f>
        <v>1</v>
      </c>
      <c r="AE67" s="24">
        <f>AF67/Z67</f>
        <v>1.1428571428571428</v>
      </c>
      <c r="AF67" s="49">
        <v>8</v>
      </c>
      <c r="AG67" s="48">
        <f>AF67*2</f>
        <v>16</v>
      </c>
      <c r="AH67" s="47">
        <f>AG67*A67*(1+B67*3/500-0.3)*C67</f>
        <v>666.99999999999989</v>
      </c>
      <c r="AI67" s="10">
        <f>AF67-N67</f>
        <v>4</v>
      </c>
      <c r="AJ67" s="26">
        <f>AF67-Z67</f>
        <v>1</v>
      </c>
    </row>
    <row r="68" spans="1:36" ht="15" thickBot="1" x14ac:dyDescent="0.35">
      <c r="A68" s="142" t="s">
        <v>5</v>
      </c>
      <c r="B68" s="143"/>
      <c r="C68" s="14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20">
        <f>T70/T65</f>
        <v>11.666666666666666</v>
      </c>
      <c r="U68" s="20">
        <f t="shared" ref="U68:V68" si="87">U70/U65</f>
        <v>11.666666666666666</v>
      </c>
      <c r="V68" s="20">
        <f t="shared" si="87"/>
        <v>6.2548422539632726</v>
      </c>
      <c r="W68" s="5"/>
      <c r="X68" s="5"/>
      <c r="Y68" s="22"/>
      <c r="Z68" s="20">
        <f>Z70/Z65</f>
        <v>12.857142857142858</v>
      </c>
      <c r="AA68" s="20">
        <f t="shared" ref="AA68:AB68" si="88">AA70/AA65</f>
        <v>12.857142857142858</v>
      </c>
      <c r="AB68" s="20">
        <f t="shared" si="88"/>
        <v>6.8930914635513618</v>
      </c>
      <c r="AC68" s="5"/>
      <c r="AD68" s="5"/>
      <c r="AE68" s="22"/>
      <c r="AF68" s="20">
        <f>AF70/AF65</f>
        <v>13.75</v>
      </c>
      <c r="AG68" s="20">
        <f t="shared" ref="AG68:AH68" si="89">AG70/AG65</f>
        <v>13.75</v>
      </c>
      <c r="AH68" s="20">
        <f t="shared" si="89"/>
        <v>7.3717783707424278</v>
      </c>
      <c r="AI68" s="5"/>
      <c r="AJ68" s="11"/>
    </row>
    <row r="69" spans="1:36" ht="15" thickBot="1" x14ac:dyDescent="0.35">
      <c r="A69" s="118" t="s">
        <v>7</v>
      </c>
      <c r="B69" s="119"/>
      <c r="C69" s="120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21">
        <f>T70/T67</f>
        <v>5.833333333333333</v>
      </c>
      <c r="U69" s="21">
        <f t="shared" ref="U69" si="90">U70/U67</f>
        <v>5.833333333333333</v>
      </c>
      <c r="V69" s="21">
        <f t="shared" ref="V69" si="91">V70/V67</f>
        <v>2.3897811094452774</v>
      </c>
      <c r="W69" s="5"/>
      <c r="X69" s="5"/>
      <c r="Y69" s="22"/>
      <c r="Z69" s="21">
        <f>Z70/Z67</f>
        <v>6.4285714285714288</v>
      </c>
      <c r="AA69" s="21">
        <f t="shared" ref="AA69" si="92">AA70/AA67</f>
        <v>6.4285714285714288</v>
      </c>
      <c r="AB69" s="21">
        <f t="shared" ref="AB69" si="93">AB70/AB67</f>
        <v>2.633636324694796</v>
      </c>
      <c r="AC69" s="5"/>
      <c r="AD69" s="5"/>
      <c r="AE69" s="22"/>
      <c r="AF69" s="21">
        <f>AF70/AF67</f>
        <v>6.875</v>
      </c>
      <c r="AG69" s="21">
        <f t="shared" ref="AG69" si="94">AG70/AG67</f>
        <v>6.875</v>
      </c>
      <c r="AH69" s="21">
        <f t="shared" ref="AH69" si="95">AH70/AH67</f>
        <v>2.8165277361319343</v>
      </c>
      <c r="AI69" s="5"/>
      <c r="AJ69" s="11"/>
    </row>
    <row r="70" spans="1:36" ht="15.6" thickTop="1" thickBot="1" x14ac:dyDescent="0.35">
      <c r="A70" s="3">
        <v>9</v>
      </c>
      <c r="B70" s="3">
        <v>81</v>
      </c>
      <c r="C70" s="3">
        <v>1.6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5"/>
      <c r="T70" s="50">
        <v>35</v>
      </c>
      <c r="U70" s="48">
        <f>T70*2</f>
        <v>70</v>
      </c>
      <c r="V70" s="47">
        <f>U70*A70*(1+B70*3/500-0.3)*C70</f>
        <v>1195.4880000000001</v>
      </c>
      <c r="W70" s="14"/>
      <c r="X70" s="14"/>
      <c r="Y70" s="24">
        <f>Z70/T70</f>
        <v>1.2857142857142858</v>
      </c>
      <c r="Z70" s="49">
        <v>45</v>
      </c>
      <c r="AA70" s="48">
        <f>Z70*2</f>
        <v>90</v>
      </c>
      <c r="AB70" s="47">
        <f>AA70*A70*(1+B70*3/500-0.3)*C70</f>
        <v>1537.056</v>
      </c>
      <c r="AC70" s="10">
        <f>Z70-T70</f>
        <v>10</v>
      </c>
      <c r="AD70" s="25">
        <f>Z70-T70</f>
        <v>10</v>
      </c>
      <c r="AE70" s="24">
        <f>AF70/Z70</f>
        <v>1.2222222222222223</v>
      </c>
      <c r="AF70" s="49">
        <v>55</v>
      </c>
      <c r="AG70" s="48">
        <f>AF70*2</f>
        <v>110</v>
      </c>
      <c r="AH70" s="47">
        <f>AG70*A70*(1+B70*3/500-0.3)*C70</f>
        <v>1878.6239999999998</v>
      </c>
      <c r="AI70" s="10">
        <f>AF70-T70</f>
        <v>20</v>
      </c>
      <c r="AJ70" s="26">
        <f>AF70-Z70</f>
        <v>10</v>
      </c>
    </row>
    <row r="71" spans="1:36" ht="15.6" thickTop="1" thickBot="1" x14ac:dyDescent="0.35">
      <c r="A71" s="142" t="s">
        <v>8</v>
      </c>
      <c r="B71" s="143"/>
      <c r="C71" s="143"/>
      <c r="D71" s="5"/>
      <c r="E71" s="106">
        <v>1350</v>
      </c>
      <c r="F71" s="104">
        <f>E71/(O65*(1+B65*3/500-0.3)*C65*5)</f>
        <v>52.974415319416117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20">
        <f>AF74/AF65</f>
        <v>43.75</v>
      </c>
      <c r="AG71" s="20">
        <f t="shared" ref="AG71:AH71" si="96">AG74/AG65</f>
        <v>131.25</v>
      </c>
      <c r="AH71" s="20">
        <f t="shared" si="96"/>
        <v>118.65444985088685</v>
      </c>
      <c r="AI71" s="5"/>
      <c r="AJ71" s="11"/>
    </row>
    <row r="72" spans="1:36" ht="15.6" thickTop="1" thickBot="1" x14ac:dyDescent="0.35">
      <c r="A72" s="121" t="s">
        <v>9</v>
      </c>
      <c r="B72" s="122"/>
      <c r="C72" s="123"/>
      <c r="D72" s="5"/>
      <c r="E72" s="106">
        <v>2850</v>
      </c>
      <c r="F72" s="104">
        <f>E72/(O67*(1+B67*3/500-0.3)*C67*5)</f>
        <v>42.728635682158931</v>
      </c>
      <c r="G72" s="5"/>
      <c r="H72" s="5"/>
      <c r="I72" s="106">
        <v>20000</v>
      </c>
      <c r="J72" s="104">
        <f>(E72+I72/A67)/(O67*(1+B67*3/500-0.3)*C67*5)</f>
        <v>54.722638680659678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20">
        <f>AF74/AF67</f>
        <v>21.875</v>
      </c>
      <c r="AG72" s="20">
        <f t="shared" ref="AG72:AH72" si="97">AG74/AG67</f>
        <v>65.625</v>
      </c>
      <c r="AH72" s="20">
        <f t="shared" si="97"/>
        <v>45.334182908545735</v>
      </c>
      <c r="AI72" s="5"/>
      <c r="AJ72" s="11"/>
    </row>
    <row r="73" spans="1:36" ht="15.6" thickTop="1" thickBot="1" x14ac:dyDescent="0.35">
      <c r="A73" s="144" t="s">
        <v>10</v>
      </c>
      <c r="B73" s="144"/>
      <c r="C73" s="144"/>
      <c r="D73" s="5"/>
      <c r="E73" s="106">
        <v>15833</v>
      </c>
      <c r="F73" s="104">
        <f>E73/(U70*(1+B70*3/500-0.3)*C70*5)</f>
        <v>23.839135148157073</v>
      </c>
      <c r="G73" s="5"/>
      <c r="H73" s="5"/>
      <c r="I73" s="106">
        <v>742500</v>
      </c>
      <c r="J73" s="104">
        <f>(E73+I73/4/10)/(U70*(1+B70*3/500-0.3)*C70*5)</f>
        <v>51.787972777643944</v>
      </c>
      <c r="K73" s="5"/>
      <c r="L73" s="5"/>
      <c r="M73" s="5"/>
      <c r="N73" s="5"/>
      <c r="O73" s="106">
        <v>1325500</v>
      </c>
      <c r="P73" s="104">
        <f>(E73+O73/8/10)/(U70*(1+B70*3/500-0.3)*C70*5)</f>
        <v>48.786060587810169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21">
        <f>AF74/AF70</f>
        <v>3.1818181818181817</v>
      </c>
      <c r="AG73" s="21">
        <f t="shared" ref="AG73" si="98">AG74/AG70</f>
        <v>9.545454545454545</v>
      </c>
      <c r="AH73" s="21">
        <f t="shared" ref="AH73" si="99">AH74/AH70</f>
        <v>16.095770095559303</v>
      </c>
      <c r="AI73" s="5"/>
      <c r="AJ73" s="11"/>
    </row>
    <row r="74" spans="1:36" ht="15.6" thickTop="1" thickBot="1" x14ac:dyDescent="0.35">
      <c r="A74" s="3">
        <v>14</v>
      </c>
      <c r="B74" s="3">
        <v>85</v>
      </c>
      <c r="C74" s="3">
        <v>1.7</v>
      </c>
      <c r="D74" s="14"/>
      <c r="E74" s="13">
        <v>185000</v>
      </c>
      <c r="F74" s="105">
        <f>E74/(AG74*(1+B74*3/500-0.3)*C74*5)</f>
        <v>17.130819269856705</v>
      </c>
      <c r="G74" s="14"/>
      <c r="H74" s="14"/>
      <c r="I74" s="13">
        <v>25000000</v>
      </c>
      <c r="J74" s="105">
        <f>(E74+I74/8/15)/(AG74*(1+B74*3/500-0.3)*C74*5)</f>
        <v>36.422282411587226</v>
      </c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5"/>
      <c r="AF74" s="50">
        <v>175</v>
      </c>
      <c r="AG74" s="48">
        <f>AF74*6</f>
        <v>1050</v>
      </c>
      <c r="AH74" s="47">
        <f>AG74*A74*(1+B74*3/500-0.3)*C74</f>
        <v>30237.899999999998</v>
      </c>
      <c r="AI74" s="16"/>
      <c r="AJ74" s="17"/>
    </row>
    <row r="75" spans="1:36" ht="15" thickBot="1" x14ac:dyDescent="0.35"/>
    <row r="76" spans="1:36" ht="15" thickBot="1" x14ac:dyDescent="0.35">
      <c r="A76" s="139" t="s">
        <v>24</v>
      </c>
      <c r="B76" s="140"/>
      <c r="C76" s="141"/>
      <c r="D76" s="129" t="s">
        <v>11</v>
      </c>
      <c r="E76" s="130"/>
      <c r="F76" s="132"/>
      <c r="G76" s="129" t="s">
        <v>12</v>
      </c>
      <c r="H76" s="130"/>
      <c r="I76" s="130"/>
      <c r="J76" s="130"/>
      <c r="K76" s="130"/>
      <c r="L76" s="132"/>
      <c r="M76" s="129" t="s">
        <v>13</v>
      </c>
      <c r="N76" s="130"/>
      <c r="O76" s="130"/>
      <c r="P76" s="130"/>
      <c r="Q76" s="130"/>
      <c r="R76" s="132"/>
      <c r="S76" s="129" t="s">
        <v>14</v>
      </c>
      <c r="T76" s="130"/>
      <c r="U76" s="130"/>
      <c r="V76" s="130"/>
      <c r="W76" s="130"/>
      <c r="X76" s="132"/>
      <c r="Y76" s="129" t="s">
        <v>15</v>
      </c>
      <c r="Z76" s="130"/>
      <c r="AA76" s="130"/>
      <c r="AB76" s="130"/>
      <c r="AC76" s="130"/>
      <c r="AD76" s="132"/>
      <c r="AE76" s="129" t="s">
        <v>28</v>
      </c>
      <c r="AF76" s="130"/>
      <c r="AG76" s="130"/>
      <c r="AH76" s="130"/>
      <c r="AI76" s="130"/>
      <c r="AJ76" s="132"/>
    </row>
    <row r="77" spans="1:36" x14ac:dyDescent="0.3">
      <c r="A77" s="133" t="s">
        <v>3</v>
      </c>
      <c r="B77" s="136" t="s">
        <v>0</v>
      </c>
      <c r="C77" s="133" t="s">
        <v>1</v>
      </c>
      <c r="D77" s="127" t="s">
        <v>16</v>
      </c>
      <c r="E77" s="128" t="s">
        <v>17</v>
      </c>
      <c r="F77" s="125" t="s">
        <v>18</v>
      </c>
      <c r="G77" s="126" t="s">
        <v>4</v>
      </c>
      <c r="H77" s="127" t="s">
        <v>16</v>
      </c>
      <c r="I77" s="128" t="s">
        <v>17</v>
      </c>
      <c r="J77" s="125" t="s">
        <v>18</v>
      </c>
      <c r="K77" s="5"/>
      <c r="L77" s="5"/>
      <c r="M77" s="126" t="s">
        <v>4</v>
      </c>
      <c r="N77" s="127" t="s">
        <v>16</v>
      </c>
      <c r="O77" s="128" t="s">
        <v>17</v>
      </c>
      <c r="P77" s="125" t="s">
        <v>18</v>
      </c>
      <c r="Q77" s="5"/>
      <c r="R77" s="5"/>
      <c r="S77" s="126" t="s">
        <v>4</v>
      </c>
      <c r="T77" s="127" t="s">
        <v>16</v>
      </c>
      <c r="U77" s="128" t="s">
        <v>17</v>
      </c>
      <c r="V77" s="125" t="s">
        <v>18</v>
      </c>
      <c r="W77" s="5"/>
      <c r="X77" s="5"/>
      <c r="Y77" s="126" t="s">
        <v>4</v>
      </c>
      <c r="Z77" s="127" t="s">
        <v>16</v>
      </c>
      <c r="AA77" s="128" t="s">
        <v>17</v>
      </c>
      <c r="AB77" s="125" t="s">
        <v>18</v>
      </c>
      <c r="AC77" s="5"/>
      <c r="AD77" s="5"/>
      <c r="AE77" s="126" t="s">
        <v>4</v>
      </c>
      <c r="AF77" s="127" t="s">
        <v>16</v>
      </c>
      <c r="AG77" s="128" t="s">
        <v>17</v>
      </c>
      <c r="AH77" s="125" t="s">
        <v>18</v>
      </c>
      <c r="AI77" s="5"/>
      <c r="AJ77" s="11"/>
    </row>
    <row r="78" spans="1:36" x14ac:dyDescent="0.3">
      <c r="A78" s="134"/>
      <c r="B78" s="137"/>
      <c r="C78" s="134"/>
      <c r="D78" s="127"/>
      <c r="E78" s="128"/>
      <c r="F78" s="125"/>
      <c r="G78" s="126"/>
      <c r="H78" s="127"/>
      <c r="I78" s="128"/>
      <c r="J78" s="125"/>
      <c r="K78" s="2" t="s">
        <v>19</v>
      </c>
      <c r="L78" s="27" t="s">
        <v>20</v>
      </c>
      <c r="M78" s="126"/>
      <c r="N78" s="127"/>
      <c r="O78" s="128"/>
      <c r="P78" s="125"/>
      <c r="Q78" s="2" t="s">
        <v>19</v>
      </c>
      <c r="R78" s="27" t="s">
        <v>20</v>
      </c>
      <c r="S78" s="126"/>
      <c r="T78" s="127"/>
      <c r="U78" s="128"/>
      <c r="V78" s="125"/>
      <c r="W78" s="2" t="s">
        <v>19</v>
      </c>
      <c r="X78" s="27" t="s">
        <v>20</v>
      </c>
      <c r="Y78" s="126"/>
      <c r="Z78" s="127"/>
      <c r="AA78" s="128"/>
      <c r="AB78" s="125"/>
      <c r="AC78" s="2" t="s">
        <v>19</v>
      </c>
      <c r="AD78" s="27" t="s">
        <v>20</v>
      </c>
      <c r="AE78" s="126"/>
      <c r="AF78" s="127"/>
      <c r="AG78" s="128"/>
      <c r="AH78" s="125"/>
      <c r="AI78" s="2" t="s">
        <v>19</v>
      </c>
      <c r="AJ78" s="27" t="s">
        <v>20</v>
      </c>
    </row>
    <row r="79" spans="1:36" ht="15" thickBot="1" x14ac:dyDescent="0.35">
      <c r="A79" s="135"/>
      <c r="B79" s="138"/>
      <c r="C79" s="135"/>
      <c r="D79" s="127"/>
      <c r="E79" s="128"/>
      <c r="F79" s="125"/>
      <c r="G79" s="126"/>
      <c r="H79" s="127"/>
      <c r="I79" s="128"/>
      <c r="J79" s="125"/>
      <c r="K79" s="5"/>
      <c r="L79" s="5"/>
      <c r="M79" s="126"/>
      <c r="N79" s="127"/>
      <c r="O79" s="128"/>
      <c r="P79" s="125"/>
      <c r="Q79" s="5"/>
      <c r="R79" s="5"/>
      <c r="S79" s="126"/>
      <c r="T79" s="145"/>
      <c r="U79" s="146"/>
      <c r="V79" s="147"/>
      <c r="W79" s="5"/>
      <c r="X79" s="5"/>
      <c r="Y79" s="148"/>
      <c r="Z79" s="145"/>
      <c r="AA79" s="146"/>
      <c r="AB79" s="147"/>
      <c r="AC79" s="5"/>
      <c r="AD79" s="5"/>
      <c r="AE79" s="148"/>
      <c r="AF79" s="145"/>
      <c r="AG79" s="146"/>
      <c r="AH79" s="147"/>
      <c r="AI79" s="5"/>
      <c r="AJ79" s="11"/>
    </row>
    <row r="80" spans="1:36" ht="15.6" thickTop="1" thickBot="1" x14ac:dyDescent="0.35">
      <c r="A80" s="4">
        <v>25</v>
      </c>
      <c r="B80" s="112">
        <v>68</v>
      </c>
      <c r="C80" s="3">
        <v>1.1499999999999999</v>
      </c>
      <c r="D80" s="13"/>
      <c r="E80" s="14"/>
      <c r="F80" s="51"/>
      <c r="G80" s="40"/>
      <c r="H80" s="14"/>
      <c r="I80" s="14"/>
      <c r="J80" s="14"/>
      <c r="K80" s="14"/>
      <c r="L80" s="14"/>
      <c r="M80" s="40"/>
      <c r="N80" s="14"/>
      <c r="O80" s="14"/>
      <c r="P80" s="14"/>
      <c r="Q80" s="14"/>
      <c r="R80" s="14"/>
      <c r="S80" s="38"/>
      <c r="T80" s="62">
        <v>5</v>
      </c>
      <c r="U80" s="61">
        <f>T80</f>
        <v>5</v>
      </c>
      <c r="V80" s="59">
        <f>U80*A80*(1+B80*3/500-0.3)*C80</f>
        <v>159.27499999999995</v>
      </c>
      <c r="W80" s="13"/>
      <c r="X80" s="15"/>
      <c r="Y80" s="24">
        <f>Z80/T80</f>
        <v>1.5</v>
      </c>
      <c r="Z80" s="63">
        <v>7.5</v>
      </c>
      <c r="AA80" s="61">
        <f>Z80</f>
        <v>7.5</v>
      </c>
      <c r="AB80" s="60">
        <f>AA80*A80*(1+B80*3/500-0.3)*C80</f>
        <v>238.91249999999994</v>
      </c>
      <c r="AC80" s="10">
        <f>Z80-T80</f>
        <v>2.5</v>
      </c>
      <c r="AD80" s="25">
        <f>Z80-T80</f>
        <v>2.5</v>
      </c>
      <c r="AE80" s="24">
        <f>AF80/Z80</f>
        <v>1.3333333333333333</v>
      </c>
      <c r="AF80" s="63">
        <v>10</v>
      </c>
      <c r="AG80" s="61">
        <f>AF80</f>
        <v>10</v>
      </c>
      <c r="AH80" s="60">
        <f>AG80*A80*(1+B80*3/500-0.3)*C80</f>
        <v>318.5499999999999</v>
      </c>
      <c r="AI80" s="10">
        <f>AF80-T80</f>
        <v>5</v>
      </c>
      <c r="AJ80" s="26">
        <f>AF80-Z80</f>
        <v>2.5</v>
      </c>
    </row>
    <row r="81" spans="1:36" ht="15" thickBot="1" x14ac:dyDescent="0.35">
      <c r="A81" s="142" t="s">
        <v>6</v>
      </c>
      <c r="B81" s="143"/>
      <c r="C81" s="143"/>
      <c r="D81" s="5"/>
      <c r="E81" s="5"/>
      <c r="F81" s="5"/>
      <c r="G81" s="5"/>
      <c r="H81" s="5"/>
      <c r="I81" s="5"/>
      <c r="J81" s="5"/>
      <c r="K81" s="5"/>
      <c r="L81" s="5"/>
      <c r="M81" s="5"/>
      <c r="N81" s="20"/>
      <c r="O81" s="20"/>
      <c r="P81" s="20"/>
      <c r="Q81" s="5"/>
      <c r="R81" s="5"/>
      <c r="S81" s="22"/>
      <c r="T81" s="21">
        <f>T82/T80</f>
        <v>2</v>
      </c>
      <c r="U81" s="21">
        <f t="shared" ref="U81" si="100">U82/U80</f>
        <v>2</v>
      </c>
      <c r="V81" s="21">
        <f t="shared" ref="V81" si="101">V82/V80</f>
        <v>2.6173285198555964</v>
      </c>
      <c r="W81" s="5"/>
      <c r="X81" s="5"/>
      <c r="Y81" s="22"/>
      <c r="Z81" s="21">
        <f>Z82/Z80</f>
        <v>2</v>
      </c>
      <c r="AA81" s="21">
        <f t="shared" ref="AA81" si="102">AA82/AA80</f>
        <v>2</v>
      </c>
      <c r="AB81" s="21">
        <f t="shared" ref="AB81" si="103">AB82/AB80</f>
        <v>2.617328519855596</v>
      </c>
      <c r="AC81" s="5"/>
      <c r="AD81" s="5"/>
      <c r="AE81" s="22"/>
      <c r="AF81" s="21">
        <f>AF82/AF80</f>
        <v>2</v>
      </c>
      <c r="AG81" s="21">
        <f t="shared" ref="AG81" si="104">AG82/AG80</f>
        <v>2</v>
      </c>
      <c r="AH81" s="21">
        <f t="shared" ref="AH81" si="105">AH82/AH80</f>
        <v>2.6173285198555964</v>
      </c>
      <c r="AI81" s="5"/>
      <c r="AJ81" s="11"/>
    </row>
    <row r="82" spans="1:36" ht="15.6" thickTop="1" thickBot="1" x14ac:dyDescent="0.35">
      <c r="A82" s="3">
        <v>25</v>
      </c>
      <c r="B82" s="3">
        <v>75</v>
      </c>
      <c r="C82" s="114">
        <v>1.45</v>
      </c>
      <c r="D82" s="13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38"/>
      <c r="T82" s="62">
        <v>10</v>
      </c>
      <c r="U82" s="61">
        <f>T82</f>
        <v>10</v>
      </c>
      <c r="V82" s="59">
        <f>U82*A82*(1+B82*3/500-0.3)*C82</f>
        <v>416.875</v>
      </c>
      <c r="W82" s="13"/>
      <c r="X82" s="15"/>
      <c r="Y82" s="24">
        <f>Z82/T82</f>
        <v>1.5</v>
      </c>
      <c r="Z82" s="63">
        <v>15</v>
      </c>
      <c r="AA82" s="61">
        <f>Z82</f>
        <v>15</v>
      </c>
      <c r="AB82" s="60">
        <f>AA82*A82*(1+B82*3/500-0.3)*C82</f>
        <v>625.31249999999989</v>
      </c>
      <c r="AC82" s="10">
        <f>Z82-T82</f>
        <v>5</v>
      </c>
      <c r="AD82" s="25">
        <f>Z82-T82</f>
        <v>5</v>
      </c>
      <c r="AE82" s="24">
        <f>AF82/Z82</f>
        <v>1.3333333333333333</v>
      </c>
      <c r="AF82" s="63">
        <v>20</v>
      </c>
      <c r="AG82" s="61">
        <f>AF82</f>
        <v>20</v>
      </c>
      <c r="AH82" s="60">
        <f>AG82*A82*(1+B82*3/500-0.3)*C82</f>
        <v>833.75</v>
      </c>
      <c r="AI82" s="10">
        <f>AF82-T82</f>
        <v>10</v>
      </c>
      <c r="AJ82" s="26">
        <f>AF82-Z82</f>
        <v>5</v>
      </c>
    </row>
    <row r="83" spans="1:36" ht="15" thickBot="1" x14ac:dyDescent="0.35">
      <c r="A83" s="142" t="s">
        <v>5</v>
      </c>
      <c r="B83" s="143"/>
      <c r="C83" s="14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20">
        <f>T85/T80</f>
        <v>6</v>
      </c>
      <c r="U83" s="20">
        <f t="shared" ref="U83:V83" si="106">U85/U80</f>
        <v>12</v>
      </c>
      <c r="V83" s="20">
        <f t="shared" si="106"/>
        <v>6.4335520326479374</v>
      </c>
      <c r="W83" s="5"/>
      <c r="X83" s="5"/>
      <c r="Y83" s="22"/>
      <c r="Z83" s="20">
        <f>Z85/Z80</f>
        <v>6</v>
      </c>
      <c r="AA83" s="20">
        <f t="shared" ref="AA83:AB83" si="107">AA85/AA80</f>
        <v>12</v>
      </c>
      <c r="AB83" s="20">
        <f t="shared" si="107"/>
        <v>6.4335520326479374</v>
      </c>
      <c r="AC83" s="5"/>
      <c r="AD83" s="5"/>
      <c r="AE83" s="22"/>
      <c r="AF83" s="20">
        <f>AF85/AF80</f>
        <v>6</v>
      </c>
      <c r="AG83" s="20">
        <f t="shared" ref="AG83:AH83" si="108">AG85/AG80</f>
        <v>12</v>
      </c>
      <c r="AH83" s="20">
        <f t="shared" si="108"/>
        <v>6.4335520326479374</v>
      </c>
      <c r="AI83" s="5"/>
      <c r="AJ83" s="11"/>
    </row>
    <row r="84" spans="1:36" ht="15" thickBot="1" x14ac:dyDescent="0.35">
      <c r="A84" s="118" t="s">
        <v>7</v>
      </c>
      <c r="B84" s="119"/>
      <c r="C84" s="120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21">
        <f>T85/T82</f>
        <v>3</v>
      </c>
      <c r="U84" s="21">
        <f t="shared" ref="U84" si="109">U85/U82</f>
        <v>6</v>
      </c>
      <c r="V84" s="21">
        <f t="shared" ref="V84" si="110">V85/V82</f>
        <v>2.4580605697151423</v>
      </c>
      <c r="W84" s="5"/>
      <c r="X84" s="5"/>
      <c r="Y84" s="22"/>
      <c r="Z84" s="21">
        <f>Z85/Z82</f>
        <v>3</v>
      </c>
      <c r="AA84" s="21">
        <f t="shared" ref="AA84" si="111">AA85/AA82</f>
        <v>6</v>
      </c>
      <c r="AB84" s="21">
        <f t="shared" ref="AB84" si="112">AB85/AB82</f>
        <v>2.4580605697151428</v>
      </c>
      <c r="AC84" s="5"/>
      <c r="AD84" s="5"/>
      <c r="AE84" s="22"/>
      <c r="AF84" s="21">
        <f>AF85/AF82</f>
        <v>3</v>
      </c>
      <c r="AG84" s="21">
        <f t="shared" ref="AG84" si="113">AG85/AG82</f>
        <v>6</v>
      </c>
      <c r="AH84" s="21">
        <f t="shared" ref="AH84" si="114">AH85/AH82</f>
        <v>2.4580605697151423</v>
      </c>
      <c r="AI84" s="5"/>
      <c r="AJ84" s="11"/>
    </row>
    <row r="85" spans="1:36" ht="15.6" thickTop="1" thickBot="1" x14ac:dyDescent="0.35">
      <c r="A85" s="3">
        <v>9</v>
      </c>
      <c r="B85" s="3">
        <v>81</v>
      </c>
      <c r="C85" s="3">
        <v>1.6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5"/>
      <c r="T85" s="62">
        <v>30</v>
      </c>
      <c r="U85" s="61">
        <f>T85*2</f>
        <v>60</v>
      </c>
      <c r="V85" s="60">
        <f>U85*A85*(1+B85*3/500-0.3)*C85</f>
        <v>1024.704</v>
      </c>
      <c r="W85" s="14"/>
      <c r="X85" s="14"/>
      <c r="Y85" s="24">
        <f>Z85/T85</f>
        <v>1.5</v>
      </c>
      <c r="Z85" s="63">
        <v>45</v>
      </c>
      <c r="AA85" s="61">
        <f>Z85*2</f>
        <v>90</v>
      </c>
      <c r="AB85" s="60">
        <f>AA85*A85*(1+B85*3/500-0.3)*C85</f>
        <v>1537.056</v>
      </c>
      <c r="AC85" s="10">
        <f>Z85-T85</f>
        <v>15</v>
      </c>
      <c r="AD85" s="25">
        <f>Z85-T85</f>
        <v>15</v>
      </c>
      <c r="AE85" s="24">
        <f>AF85/Z85</f>
        <v>1.3333333333333333</v>
      </c>
      <c r="AF85" s="63">
        <v>60</v>
      </c>
      <c r="AG85" s="61">
        <f>AF85*2</f>
        <v>120</v>
      </c>
      <c r="AH85" s="60">
        <f>AG85*A85*(1+B85*3/500-0.3)*C85</f>
        <v>2049.4079999999999</v>
      </c>
      <c r="AI85" s="10">
        <f>AF85-T85</f>
        <v>30</v>
      </c>
      <c r="AJ85" s="26">
        <f>AF85-Z85</f>
        <v>15</v>
      </c>
    </row>
    <row r="86" spans="1:36" ht="15.6" thickTop="1" thickBot="1" x14ac:dyDescent="0.35">
      <c r="A86" s="142" t="s">
        <v>8</v>
      </c>
      <c r="B86" s="143"/>
      <c r="C86" s="143"/>
      <c r="D86" s="5"/>
      <c r="E86" s="106">
        <v>3000</v>
      </c>
      <c r="F86" s="104">
        <f>E86/(U80*(1+B80*3/500-0.3)*C80*9)</f>
        <v>52.32041019201592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20">
        <f>AF89/AF80</f>
        <v>30</v>
      </c>
      <c r="AG86" s="20">
        <f t="shared" ref="AG86:AH86" si="115">AG89/AG80</f>
        <v>120</v>
      </c>
      <c r="AH86" s="20">
        <f t="shared" si="115"/>
        <v>108.48406843509656</v>
      </c>
      <c r="AI86" s="5"/>
      <c r="AJ86" s="11"/>
    </row>
    <row r="87" spans="1:36" ht="15.6" thickTop="1" thickBot="1" x14ac:dyDescent="0.35">
      <c r="A87" s="121" t="s">
        <v>9</v>
      </c>
      <c r="B87" s="122"/>
      <c r="C87" s="123"/>
      <c r="D87" s="5"/>
      <c r="E87" s="106">
        <v>7316</v>
      </c>
      <c r="F87" s="104">
        <f>E87/(U82*(1+B82*3/500-0.3)*C82*9)</f>
        <v>48.748958853906373</v>
      </c>
      <c r="G87" s="5"/>
      <c r="H87" s="5"/>
      <c r="I87" s="106">
        <v>20000</v>
      </c>
      <c r="J87" s="104">
        <f>(E87+I87/A82)/(U82*(1+B82*3/500-0.3)*C82*9)</f>
        <v>54.079626853240043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20">
        <f>AF89/AF82</f>
        <v>15</v>
      </c>
      <c r="AG87" s="20">
        <f t="shared" ref="AG87:AH87" si="116">AG89/AG82</f>
        <v>60</v>
      </c>
      <c r="AH87" s="20">
        <f t="shared" si="116"/>
        <v>41.44839580209895</v>
      </c>
      <c r="AI87" s="5"/>
      <c r="AJ87" s="11"/>
    </row>
    <row r="88" spans="1:36" ht="15.6" thickTop="1" thickBot="1" x14ac:dyDescent="0.35">
      <c r="A88" s="144" t="s">
        <v>10</v>
      </c>
      <c r="B88" s="144"/>
      <c r="C88" s="144"/>
      <c r="D88" s="5"/>
      <c r="E88" s="106">
        <v>33814</v>
      </c>
      <c r="F88" s="104">
        <f>E88/(U85*(1+B85*3/500-0.3)*C85*9)</f>
        <v>32.998797701580166</v>
      </c>
      <c r="G88" s="5"/>
      <c r="H88" s="5"/>
      <c r="I88" s="106">
        <v>742500</v>
      </c>
      <c r="J88" s="104">
        <f>(E88+I88/4/10)/(U85*(1+B85*3/500-0.3)*C85*9)</f>
        <v>51.113785054025357</v>
      </c>
      <c r="K88" s="5"/>
      <c r="L88" s="5"/>
      <c r="M88" s="5"/>
      <c r="N88" s="5"/>
      <c r="O88" s="106">
        <v>1325500</v>
      </c>
      <c r="P88" s="104">
        <f>(E88+O88/8/10)/(U85*(1+B85*3/500-0.3)*C85*9)</f>
        <v>49.168101227281248</v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21">
        <f>AF89/AF85</f>
        <v>5</v>
      </c>
      <c r="AG88" s="21">
        <f t="shared" ref="AG88" si="117">AG89/AG85</f>
        <v>10</v>
      </c>
      <c r="AH88" s="21">
        <f t="shared" ref="AH88" si="118">AH89/AH85</f>
        <v>16.862235338204986</v>
      </c>
      <c r="AI88" s="5"/>
      <c r="AJ88" s="11"/>
    </row>
    <row r="89" spans="1:36" ht="15.6" thickTop="1" thickBot="1" x14ac:dyDescent="0.35">
      <c r="A89" s="3">
        <v>14</v>
      </c>
      <c r="B89" s="3">
        <v>85</v>
      </c>
      <c r="C89" s="3">
        <v>1.7</v>
      </c>
      <c r="D89" s="14"/>
      <c r="E89" s="13">
        <v>370000</v>
      </c>
      <c r="F89" s="105">
        <f>E89/(AG89*(1+B89*3/500-0.3)*C89*9)</f>
        <v>16.654963179027348</v>
      </c>
      <c r="G89" s="14"/>
      <c r="H89" s="14"/>
      <c r="I89" s="13">
        <v>25000000</v>
      </c>
      <c r="J89" s="105">
        <f>(E89+I89/8/15)/(AG89*(1+B89*3/500-0.3)*C89*9)</f>
        <v>26.03275776181302</v>
      </c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5"/>
      <c r="AF89" s="62">
        <v>300</v>
      </c>
      <c r="AG89" s="61">
        <f>AF89*4</f>
        <v>1200</v>
      </c>
      <c r="AH89" s="60">
        <f>AG89*A89*(1+B89*3/500-0.3)*C89</f>
        <v>34557.599999999999</v>
      </c>
      <c r="AI89" s="16"/>
      <c r="AJ89" s="17"/>
    </row>
    <row r="90" spans="1:36" ht="15" thickBot="1" x14ac:dyDescent="0.35"/>
    <row r="91" spans="1:36" ht="15" thickBot="1" x14ac:dyDescent="0.35">
      <c r="A91" s="139" t="s">
        <v>25</v>
      </c>
      <c r="B91" s="140"/>
      <c r="C91" s="141"/>
      <c r="D91" s="129" t="s">
        <v>11</v>
      </c>
      <c r="E91" s="130"/>
      <c r="F91" s="132"/>
      <c r="G91" s="129" t="s">
        <v>12</v>
      </c>
      <c r="H91" s="130"/>
      <c r="I91" s="130"/>
      <c r="J91" s="130"/>
      <c r="K91" s="130"/>
      <c r="L91" s="132"/>
      <c r="M91" s="129" t="s">
        <v>13</v>
      </c>
      <c r="N91" s="130"/>
      <c r="O91" s="130"/>
      <c r="P91" s="130"/>
      <c r="Q91" s="130"/>
      <c r="R91" s="132"/>
      <c r="S91" s="129" t="s">
        <v>14</v>
      </c>
      <c r="T91" s="130"/>
      <c r="U91" s="130"/>
      <c r="V91" s="130"/>
      <c r="W91" s="130"/>
      <c r="X91" s="132"/>
      <c r="Y91" s="129" t="s">
        <v>15</v>
      </c>
      <c r="Z91" s="130"/>
      <c r="AA91" s="130"/>
      <c r="AB91" s="130"/>
      <c r="AC91" s="130"/>
      <c r="AD91" s="132"/>
      <c r="AE91" s="129" t="s">
        <v>28</v>
      </c>
      <c r="AF91" s="130"/>
      <c r="AG91" s="130"/>
      <c r="AH91" s="130"/>
      <c r="AI91" s="130"/>
      <c r="AJ91" s="132"/>
    </row>
    <row r="92" spans="1:36" x14ac:dyDescent="0.3">
      <c r="A92" s="133" t="s">
        <v>3</v>
      </c>
      <c r="B92" s="136" t="s">
        <v>0</v>
      </c>
      <c r="C92" s="133" t="s">
        <v>1</v>
      </c>
      <c r="D92" s="127" t="s">
        <v>16</v>
      </c>
      <c r="E92" s="128" t="s">
        <v>17</v>
      </c>
      <c r="F92" s="125" t="s">
        <v>18</v>
      </c>
      <c r="G92" s="126" t="s">
        <v>4</v>
      </c>
      <c r="H92" s="127" t="s">
        <v>16</v>
      </c>
      <c r="I92" s="128" t="s">
        <v>17</v>
      </c>
      <c r="J92" s="125" t="s">
        <v>18</v>
      </c>
      <c r="K92" s="5"/>
      <c r="L92" s="5"/>
      <c r="M92" s="126" t="s">
        <v>4</v>
      </c>
      <c r="N92" s="127" t="s">
        <v>16</v>
      </c>
      <c r="O92" s="128" t="s">
        <v>17</v>
      </c>
      <c r="P92" s="125" t="s">
        <v>18</v>
      </c>
      <c r="Q92" s="5"/>
      <c r="R92" s="5"/>
      <c r="S92" s="126" t="s">
        <v>4</v>
      </c>
      <c r="T92" s="127" t="s">
        <v>16</v>
      </c>
      <c r="U92" s="128" t="s">
        <v>17</v>
      </c>
      <c r="V92" s="125" t="s">
        <v>18</v>
      </c>
      <c r="W92" s="5"/>
      <c r="X92" s="5"/>
      <c r="Y92" s="126" t="s">
        <v>4</v>
      </c>
      <c r="Z92" s="127" t="s">
        <v>16</v>
      </c>
      <c r="AA92" s="128" t="s">
        <v>17</v>
      </c>
      <c r="AB92" s="125" t="s">
        <v>18</v>
      </c>
      <c r="AC92" s="5"/>
      <c r="AD92" s="5"/>
      <c r="AE92" s="126" t="s">
        <v>4</v>
      </c>
      <c r="AF92" s="127" t="s">
        <v>16</v>
      </c>
      <c r="AG92" s="128" t="s">
        <v>17</v>
      </c>
      <c r="AH92" s="125" t="s">
        <v>18</v>
      </c>
      <c r="AI92" s="5"/>
      <c r="AJ92" s="11"/>
    </row>
    <row r="93" spans="1:36" x14ac:dyDescent="0.3">
      <c r="A93" s="134"/>
      <c r="B93" s="137"/>
      <c r="C93" s="134"/>
      <c r="D93" s="127"/>
      <c r="E93" s="128"/>
      <c r="F93" s="125"/>
      <c r="G93" s="126"/>
      <c r="H93" s="127"/>
      <c r="I93" s="128"/>
      <c r="J93" s="125"/>
      <c r="K93" s="2" t="s">
        <v>19</v>
      </c>
      <c r="L93" s="27" t="s">
        <v>20</v>
      </c>
      <c r="M93" s="126"/>
      <c r="N93" s="127"/>
      <c r="O93" s="128"/>
      <c r="P93" s="125"/>
      <c r="Q93" s="2" t="s">
        <v>19</v>
      </c>
      <c r="R93" s="27" t="s">
        <v>20</v>
      </c>
      <c r="S93" s="126"/>
      <c r="T93" s="127"/>
      <c r="U93" s="128"/>
      <c r="V93" s="125"/>
      <c r="W93" s="2" t="s">
        <v>19</v>
      </c>
      <c r="X93" s="27" t="s">
        <v>20</v>
      </c>
      <c r="Y93" s="126"/>
      <c r="Z93" s="127"/>
      <c r="AA93" s="128"/>
      <c r="AB93" s="125"/>
      <c r="AC93" s="2" t="s">
        <v>19</v>
      </c>
      <c r="AD93" s="27" t="s">
        <v>20</v>
      </c>
      <c r="AE93" s="126"/>
      <c r="AF93" s="127"/>
      <c r="AG93" s="128"/>
      <c r="AH93" s="125"/>
      <c r="AI93" s="2" t="s">
        <v>19</v>
      </c>
      <c r="AJ93" s="76" t="s">
        <v>20</v>
      </c>
    </row>
    <row r="94" spans="1:36" ht="15" thickBot="1" x14ac:dyDescent="0.35">
      <c r="A94" s="135"/>
      <c r="B94" s="138"/>
      <c r="C94" s="135"/>
      <c r="D94" s="127"/>
      <c r="E94" s="128"/>
      <c r="F94" s="125"/>
      <c r="G94" s="126"/>
      <c r="H94" s="127"/>
      <c r="I94" s="128"/>
      <c r="J94" s="125"/>
      <c r="K94" s="5"/>
      <c r="L94" s="5"/>
      <c r="M94" s="126"/>
      <c r="N94" s="127"/>
      <c r="O94" s="128"/>
      <c r="P94" s="125"/>
      <c r="Q94" s="5"/>
      <c r="R94" s="5"/>
      <c r="S94" s="126"/>
      <c r="T94" s="127"/>
      <c r="U94" s="128"/>
      <c r="V94" s="125"/>
      <c r="W94" s="5"/>
      <c r="X94" s="5"/>
      <c r="Y94" s="126"/>
      <c r="Z94" s="127"/>
      <c r="AA94" s="128"/>
      <c r="AB94" s="125"/>
      <c r="AC94" s="5"/>
      <c r="AD94" s="5"/>
      <c r="AE94" s="126"/>
      <c r="AF94" s="127"/>
      <c r="AG94" s="128"/>
      <c r="AH94" s="125"/>
      <c r="AI94" s="5"/>
      <c r="AJ94" s="11"/>
    </row>
    <row r="95" spans="1:36" ht="15" thickBot="1" x14ac:dyDescent="0.35">
      <c r="A95" s="4">
        <v>25</v>
      </c>
      <c r="B95" s="112">
        <v>68</v>
      </c>
      <c r="C95" s="3">
        <v>1.1499999999999999</v>
      </c>
      <c r="D95" s="13"/>
      <c r="E95" s="14"/>
      <c r="F95" s="51"/>
      <c r="G95" s="40"/>
      <c r="H95" s="14"/>
      <c r="I95" s="14"/>
      <c r="J95" s="14"/>
      <c r="K95" s="14"/>
      <c r="L95" s="14"/>
      <c r="M95" s="40"/>
      <c r="N95" s="14"/>
      <c r="O95" s="14"/>
      <c r="P95" s="14"/>
      <c r="Q95" s="14"/>
      <c r="R95" s="14"/>
      <c r="S95" s="40"/>
      <c r="T95" s="14"/>
      <c r="U95" s="14"/>
      <c r="V95" s="14"/>
      <c r="W95" s="14"/>
      <c r="X95" s="14"/>
      <c r="Y95" s="40"/>
      <c r="Z95" s="14"/>
      <c r="AA95" s="14"/>
      <c r="AB95" s="14"/>
      <c r="AC95" s="14"/>
      <c r="AD95" s="14"/>
      <c r="AE95" s="40"/>
      <c r="AF95" s="14"/>
      <c r="AG95" s="14"/>
      <c r="AH95" s="14"/>
      <c r="AI95" s="14"/>
      <c r="AJ95" s="88"/>
    </row>
    <row r="96" spans="1:36" ht="15" thickBot="1" x14ac:dyDescent="0.35">
      <c r="A96" s="142" t="s">
        <v>6</v>
      </c>
      <c r="B96" s="143"/>
      <c r="C96" s="143"/>
      <c r="D96" s="82"/>
      <c r="E96" s="6"/>
      <c r="F96" s="6"/>
      <c r="G96" s="6"/>
      <c r="H96" s="6"/>
      <c r="I96" s="6"/>
      <c r="J96" s="6"/>
      <c r="K96" s="6"/>
      <c r="L96" s="6"/>
      <c r="M96" s="6"/>
      <c r="N96" s="83"/>
      <c r="O96" s="83"/>
      <c r="P96" s="83"/>
      <c r="Q96" s="6"/>
      <c r="R96" s="6"/>
      <c r="S96" s="78"/>
      <c r="T96" s="74"/>
      <c r="U96" s="74"/>
      <c r="V96" s="74"/>
      <c r="W96" s="79"/>
      <c r="X96" s="79"/>
      <c r="Y96" s="80"/>
      <c r="Z96" s="74"/>
      <c r="AA96" s="74"/>
      <c r="AB96" s="74"/>
      <c r="AC96" s="79"/>
      <c r="AD96" s="79"/>
      <c r="AE96" s="80"/>
      <c r="AF96" s="74"/>
      <c r="AG96" s="74"/>
      <c r="AH96" s="74"/>
      <c r="AI96" s="6"/>
      <c r="AJ96" s="81"/>
    </row>
    <row r="97" spans="1:36" ht="15.6" thickTop="1" thickBot="1" x14ac:dyDescent="0.35">
      <c r="A97" s="3">
        <v>25</v>
      </c>
      <c r="B97" s="3">
        <v>75</v>
      </c>
      <c r="C97" s="114">
        <v>1.45</v>
      </c>
      <c r="D97" s="71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84"/>
      <c r="T97" s="86">
        <v>1</v>
      </c>
      <c r="U97" s="85">
        <f>T97</f>
        <v>1</v>
      </c>
      <c r="V97" s="87">
        <f>U97*A97*(1+B97*3/500-0.3)*C97</f>
        <v>41.687499999999993</v>
      </c>
      <c r="W97" s="18"/>
      <c r="X97" s="58"/>
      <c r="Y97" s="24">
        <f>Z97/T97</f>
        <v>1.5</v>
      </c>
      <c r="Z97" s="68">
        <v>1.5</v>
      </c>
      <c r="AA97" s="66">
        <f>Z97</f>
        <v>1.5</v>
      </c>
      <c r="AB97" s="64">
        <f>AA97*A97*(1+B97*3/500-0.3)*C97</f>
        <v>62.53125</v>
      </c>
      <c r="AC97" s="72">
        <f>Z97-T97</f>
        <v>0.5</v>
      </c>
      <c r="AD97" s="73">
        <f>Z97-T97</f>
        <v>0.5</v>
      </c>
      <c r="AE97" s="24">
        <f>AF97/Z97</f>
        <v>1.3333333333333333</v>
      </c>
      <c r="AF97" s="68">
        <v>2</v>
      </c>
      <c r="AG97" s="66">
        <f>AF97</f>
        <v>2</v>
      </c>
      <c r="AH97" s="64">
        <f>AG97*A97*(1+B97*3/500-0.3)*C97</f>
        <v>83.374999999999986</v>
      </c>
      <c r="AI97" s="72">
        <f>AF97-T97</f>
        <v>1</v>
      </c>
      <c r="AJ97" s="75">
        <f>AF97-Z97</f>
        <v>0.5</v>
      </c>
    </row>
    <row r="98" spans="1:36" ht="15" thickBot="1" x14ac:dyDescent="0.35">
      <c r="A98" s="142" t="s">
        <v>5</v>
      </c>
      <c r="B98" s="143"/>
      <c r="C98" s="14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20"/>
      <c r="U98" s="20"/>
      <c r="V98" s="20"/>
      <c r="W98" s="5"/>
      <c r="X98" s="5"/>
      <c r="Y98" s="22"/>
      <c r="Z98" s="20"/>
      <c r="AA98" s="20"/>
      <c r="AB98" s="20"/>
      <c r="AC98" s="5"/>
      <c r="AD98" s="5"/>
      <c r="AE98" s="22"/>
      <c r="AF98" s="20"/>
      <c r="AG98" s="20"/>
      <c r="AH98" s="20"/>
      <c r="AI98" s="5"/>
      <c r="AJ98" s="11"/>
    </row>
    <row r="99" spans="1:36" ht="15" thickBot="1" x14ac:dyDescent="0.35">
      <c r="A99" s="118" t="s">
        <v>7</v>
      </c>
      <c r="B99" s="119"/>
      <c r="C99" s="120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21">
        <f>T100/T97</f>
        <v>6</v>
      </c>
      <c r="U99" s="21">
        <f t="shared" ref="U99" si="119">U100/U97</f>
        <v>6</v>
      </c>
      <c r="V99" s="21">
        <f t="shared" ref="V99" si="120">V100/V97</f>
        <v>2.4580605697151428</v>
      </c>
      <c r="W99" s="5"/>
      <c r="X99" s="5"/>
      <c r="Y99" s="22"/>
      <c r="Z99" s="21">
        <f>Z100/Z97</f>
        <v>6</v>
      </c>
      <c r="AA99" s="21">
        <f t="shared" ref="AA99" si="121">AA100/AA97</f>
        <v>6</v>
      </c>
      <c r="AB99" s="21">
        <f t="shared" ref="AB99" si="122">AB100/AB97</f>
        <v>2.4580605697151423</v>
      </c>
      <c r="AC99" s="5"/>
      <c r="AD99" s="5"/>
      <c r="AE99" s="22"/>
      <c r="AF99" s="21">
        <f>AF100/AF97</f>
        <v>6</v>
      </c>
      <c r="AG99" s="21">
        <f t="shared" ref="AG99" si="123">AG100/AG97</f>
        <v>6</v>
      </c>
      <c r="AH99" s="21">
        <f t="shared" ref="AH99" si="124">AH100/AH97</f>
        <v>2.4580605697151428</v>
      </c>
      <c r="AI99" s="5"/>
      <c r="AJ99" s="11"/>
    </row>
    <row r="100" spans="1:36" ht="15.6" thickTop="1" thickBot="1" x14ac:dyDescent="0.35">
      <c r="A100" s="3">
        <v>9</v>
      </c>
      <c r="B100" s="3">
        <v>81</v>
      </c>
      <c r="C100" s="3">
        <v>1.6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5"/>
      <c r="T100" s="67">
        <v>6</v>
      </c>
      <c r="U100" s="66">
        <f>T100</f>
        <v>6</v>
      </c>
      <c r="V100" s="65">
        <f>U100*A100*(1+B100*3/500-0.3)*C100</f>
        <v>102.4704</v>
      </c>
      <c r="W100" s="14"/>
      <c r="X100" s="14"/>
      <c r="Y100" s="24">
        <f>Z100/T100</f>
        <v>1.5</v>
      </c>
      <c r="Z100" s="68">
        <v>9</v>
      </c>
      <c r="AA100" s="66">
        <f>Z100</f>
        <v>9</v>
      </c>
      <c r="AB100" s="65">
        <f>AA100*A100*(1+B100*3/500-0.3)*C100</f>
        <v>153.7056</v>
      </c>
      <c r="AC100" s="10">
        <f>Z100-T100</f>
        <v>3</v>
      </c>
      <c r="AD100" s="25">
        <f>Z100-T100</f>
        <v>3</v>
      </c>
      <c r="AE100" s="24">
        <f>AF100/Z100</f>
        <v>1.3333333333333333</v>
      </c>
      <c r="AF100" s="68">
        <v>12</v>
      </c>
      <c r="AG100" s="66">
        <f>AF100</f>
        <v>12</v>
      </c>
      <c r="AH100" s="65">
        <f>AG100*A100*(1+B100*3/500-0.3)*C100</f>
        <v>204.9408</v>
      </c>
      <c r="AI100" s="10">
        <f>AF100-T100</f>
        <v>6</v>
      </c>
      <c r="AJ100" s="26">
        <f>AF100-Z100</f>
        <v>3</v>
      </c>
    </row>
    <row r="101" spans="1:36" ht="15" thickBot="1" x14ac:dyDescent="0.35">
      <c r="A101" s="142" t="s">
        <v>8</v>
      </c>
      <c r="B101" s="143"/>
      <c r="C101" s="143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20"/>
      <c r="AG101" s="20"/>
      <c r="AH101" s="20"/>
      <c r="AI101" s="5"/>
      <c r="AJ101" s="11"/>
    </row>
    <row r="102" spans="1:36" ht="15.6" thickTop="1" thickBot="1" x14ac:dyDescent="0.35">
      <c r="A102" s="121" t="s">
        <v>9</v>
      </c>
      <c r="B102" s="122"/>
      <c r="C102" s="123"/>
      <c r="D102" s="5"/>
      <c r="E102" s="106">
        <v>10100</v>
      </c>
      <c r="F102" s="104">
        <f>E102/(U97*(1+B97*3/500-0.3)*C97*100)</f>
        <v>60.569715142428798</v>
      </c>
      <c r="G102" s="5"/>
      <c r="H102" s="5"/>
      <c r="I102" s="106">
        <v>20000</v>
      </c>
      <c r="J102" s="104">
        <f>(E102+I102/A97)/(U97*(1+B97*3/500-0.3)*C97*100)</f>
        <v>65.367316341829095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20">
        <f>AF104/AF97</f>
        <v>20</v>
      </c>
      <c r="AG102" s="20">
        <f t="shared" ref="AG102:AH102" si="125">AG104/AG97</f>
        <v>60</v>
      </c>
      <c r="AH102" s="20">
        <f t="shared" si="125"/>
        <v>41.448395802098958</v>
      </c>
      <c r="AI102" s="5"/>
      <c r="AJ102" s="11"/>
    </row>
    <row r="103" spans="1:36" ht="15.6" thickTop="1" thickBot="1" x14ac:dyDescent="0.35">
      <c r="A103" s="144" t="s">
        <v>10</v>
      </c>
      <c r="B103" s="144"/>
      <c r="C103" s="144"/>
      <c r="D103" s="5"/>
      <c r="E103" s="106">
        <v>51163</v>
      </c>
      <c r="F103" s="104">
        <f>E103/(U100*(1+B100*3/500-0.3)*C100*100)</f>
        <v>44.93658656548623</v>
      </c>
      <c r="G103" s="5"/>
      <c r="H103" s="5"/>
      <c r="I103" s="106">
        <v>742500</v>
      </c>
      <c r="J103" s="104">
        <f>(E103+I103/4/10)/(U100*(1+B100*3/500-0.3)*C100*100)</f>
        <v>61.240075182686908</v>
      </c>
      <c r="K103" s="5"/>
      <c r="L103" s="5"/>
      <c r="M103" s="5"/>
      <c r="N103" s="5"/>
      <c r="O103" s="106">
        <v>1325500</v>
      </c>
      <c r="P103" s="104">
        <f>(E103+O103/8/10)/(U100*(1+B100*3/500-0.3)*C100*100)</f>
        <v>59.488959738617204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21">
        <f>AF104/AF100</f>
        <v>3.3333333333333335</v>
      </c>
      <c r="AG103" s="21">
        <f t="shared" ref="AG103" si="126">AG104/AG100</f>
        <v>10</v>
      </c>
      <c r="AH103" s="21">
        <f t="shared" ref="AH103" si="127">AH104/AH100</f>
        <v>16.862235338204982</v>
      </c>
      <c r="AI103" s="5"/>
      <c r="AJ103" s="11"/>
    </row>
    <row r="104" spans="1:36" ht="15.6" thickTop="1" thickBot="1" x14ac:dyDescent="0.35">
      <c r="A104" s="3">
        <v>14</v>
      </c>
      <c r="B104" s="3">
        <v>85</v>
      </c>
      <c r="C104" s="3">
        <v>1.7</v>
      </c>
      <c r="D104" s="16"/>
      <c r="E104" s="13">
        <v>10000</v>
      </c>
      <c r="F104" s="105">
        <f>E104/(AG104*(1+B104*3/500-0.3)*C104*100)</f>
        <v>0.40512072597634102</v>
      </c>
      <c r="G104" s="16"/>
      <c r="H104" s="16"/>
      <c r="I104" s="13">
        <v>10000</v>
      </c>
      <c r="J104" s="105">
        <f>(E104+I104/8/15)/(AG104*(1+B104*3/500-0.3)*C104*100)</f>
        <v>0.40849673202614389</v>
      </c>
      <c r="K104" s="14"/>
      <c r="L104" s="14"/>
      <c r="M104" s="14"/>
      <c r="N104" s="14"/>
      <c r="O104" s="14"/>
      <c r="P104" s="14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77"/>
      <c r="AF104" s="67">
        <v>40</v>
      </c>
      <c r="AG104" s="66">
        <f>AF104*3</f>
        <v>120</v>
      </c>
      <c r="AH104" s="65">
        <f>AG104*A104*(1+B104*3/500-0.3)*C104</f>
        <v>3455.7599999999998</v>
      </c>
      <c r="AI104" s="16"/>
      <c r="AJ104" s="17"/>
    </row>
    <row r="105" spans="1:36" ht="15" thickBot="1" x14ac:dyDescent="0.35"/>
    <row r="106" spans="1:36" ht="15" thickBot="1" x14ac:dyDescent="0.35">
      <c r="A106" s="139" t="s">
        <v>26</v>
      </c>
      <c r="B106" s="140"/>
      <c r="C106" s="141"/>
      <c r="D106" s="129" t="s">
        <v>11</v>
      </c>
      <c r="E106" s="130"/>
      <c r="F106" s="132"/>
      <c r="G106" s="129" t="s">
        <v>12</v>
      </c>
      <c r="H106" s="130"/>
      <c r="I106" s="130"/>
      <c r="J106" s="130"/>
      <c r="K106" s="130"/>
      <c r="L106" s="132"/>
      <c r="M106" s="129" t="s">
        <v>13</v>
      </c>
      <c r="N106" s="130"/>
      <c r="O106" s="130"/>
      <c r="P106" s="130"/>
      <c r="Q106" s="130"/>
      <c r="R106" s="132"/>
      <c r="S106" s="129" t="s">
        <v>14</v>
      </c>
      <c r="T106" s="130"/>
      <c r="U106" s="130"/>
      <c r="V106" s="130"/>
      <c r="W106" s="130"/>
      <c r="X106" s="132"/>
      <c r="Y106" s="129" t="s">
        <v>15</v>
      </c>
      <c r="Z106" s="130"/>
      <c r="AA106" s="130"/>
      <c r="AB106" s="130"/>
      <c r="AC106" s="130"/>
      <c r="AD106" s="132"/>
      <c r="AE106" s="129" t="s">
        <v>28</v>
      </c>
      <c r="AF106" s="130"/>
      <c r="AG106" s="130"/>
      <c r="AH106" s="130"/>
      <c r="AI106" s="130"/>
      <c r="AJ106" s="132"/>
    </row>
    <row r="107" spans="1:36" x14ac:dyDescent="0.3">
      <c r="A107" s="133" t="s">
        <v>3</v>
      </c>
      <c r="B107" s="136" t="s">
        <v>0</v>
      </c>
      <c r="C107" s="133" t="s">
        <v>1</v>
      </c>
      <c r="D107" s="127" t="s">
        <v>16</v>
      </c>
      <c r="E107" s="128" t="s">
        <v>17</v>
      </c>
      <c r="F107" s="125" t="s">
        <v>18</v>
      </c>
      <c r="G107" s="126" t="s">
        <v>4</v>
      </c>
      <c r="H107" s="127" t="s">
        <v>16</v>
      </c>
      <c r="I107" s="128" t="s">
        <v>17</v>
      </c>
      <c r="J107" s="125" t="s">
        <v>18</v>
      </c>
      <c r="K107" s="5"/>
      <c r="L107" s="5"/>
      <c r="M107" s="126" t="s">
        <v>4</v>
      </c>
      <c r="N107" s="127" t="s">
        <v>16</v>
      </c>
      <c r="O107" s="128" t="s">
        <v>17</v>
      </c>
      <c r="P107" s="125" t="s">
        <v>18</v>
      </c>
      <c r="Q107" s="5"/>
      <c r="R107" s="5"/>
      <c r="S107" s="126" t="s">
        <v>4</v>
      </c>
      <c r="T107" s="127" t="s">
        <v>16</v>
      </c>
      <c r="U107" s="128" t="s">
        <v>17</v>
      </c>
      <c r="V107" s="125" t="s">
        <v>18</v>
      </c>
      <c r="W107" s="5"/>
      <c r="X107" s="5"/>
      <c r="Y107" s="126" t="s">
        <v>4</v>
      </c>
      <c r="Z107" s="127" t="s">
        <v>16</v>
      </c>
      <c r="AA107" s="128" t="s">
        <v>17</v>
      </c>
      <c r="AB107" s="125" t="s">
        <v>18</v>
      </c>
      <c r="AC107" s="5"/>
      <c r="AD107" s="5"/>
      <c r="AE107" s="126" t="s">
        <v>4</v>
      </c>
      <c r="AF107" s="127" t="s">
        <v>16</v>
      </c>
      <c r="AG107" s="128" t="s">
        <v>17</v>
      </c>
      <c r="AH107" s="125" t="s">
        <v>18</v>
      </c>
      <c r="AI107" s="5"/>
      <c r="AJ107" s="11"/>
    </row>
    <row r="108" spans="1:36" x14ac:dyDescent="0.3">
      <c r="A108" s="134"/>
      <c r="B108" s="137"/>
      <c r="C108" s="134"/>
      <c r="D108" s="127"/>
      <c r="E108" s="128"/>
      <c r="F108" s="125"/>
      <c r="G108" s="126"/>
      <c r="H108" s="127"/>
      <c r="I108" s="128"/>
      <c r="J108" s="125"/>
      <c r="K108" s="2" t="s">
        <v>19</v>
      </c>
      <c r="L108" s="27" t="s">
        <v>20</v>
      </c>
      <c r="M108" s="126"/>
      <c r="N108" s="127"/>
      <c r="O108" s="128"/>
      <c r="P108" s="125"/>
      <c r="Q108" s="2" t="s">
        <v>19</v>
      </c>
      <c r="R108" s="27" t="s">
        <v>20</v>
      </c>
      <c r="S108" s="126"/>
      <c r="T108" s="127"/>
      <c r="U108" s="128"/>
      <c r="V108" s="125"/>
      <c r="W108" s="2" t="s">
        <v>19</v>
      </c>
      <c r="X108" s="27" t="s">
        <v>20</v>
      </c>
      <c r="Y108" s="126"/>
      <c r="Z108" s="127"/>
      <c r="AA108" s="128"/>
      <c r="AB108" s="125"/>
      <c r="AC108" s="2" t="s">
        <v>19</v>
      </c>
      <c r="AD108" s="27" t="s">
        <v>20</v>
      </c>
      <c r="AE108" s="126"/>
      <c r="AF108" s="127"/>
      <c r="AG108" s="128"/>
      <c r="AH108" s="125"/>
      <c r="AI108" s="2" t="s">
        <v>19</v>
      </c>
      <c r="AJ108" s="76" t="s">
        <v>20</v>
      </c>
    </row>
    <row r="109" spans="1:36" ht="15" thickBot="1" x14ac:dyDescent="0.35">
      <c r="A109" s="135"/>
      <c r="B109" s="138"/>
      <c r="C109" s="135"/>
      <c r="D109" s="127"/>
      <c r="E109" s="128"/>
      <c r="F109" s="125"/>
      <c r="G109" s="126"/>
      <c r="H109" s="127"/>
      <c r="I109" s="128"/>
      <c r="J109" s="125"/>
      <c r="K109" s="5"/>
      <c r="L109" s="5"/>
      <c r="M109" s="126"/>
      <c r="N109" s="127"/>
      <c r="O109" s="128"/>
      <c r="P109" s="125"/>
      <c r="Q109" s="5"/>
      <c r="R109" s="5"/>
      <c r="S109" s="126"/>
      <c r="T109" s="127"/>
      <c r="U109" s="128"/>
      <c r="V109" s="125"/>
      <c r="W109" s="5"/>
      <c r="X109" s="5"/>
      <c r="Y109" s="126"/>
      <c r="Z109" s="127"/>
      <c r="AA109" s="128"/>
      <c r="AB109" s="125"/>
      <c r="AC109" s="5"/>
      <c r="AD109" s="5"/>
      <c r="AE109" s="126"/>
      <c r="AF109" s="127"/>
      <c r="AG109" s="128"/>
      <c r="AH109" s="125"/>
      <c r="AI109" s="5"/>
      <c r="AJ109" s="11"/>
    </row>
    <row r="110" spans="1:36" ht="15" thickBot="1" x14ac:dyDescent="0.35">
      <c r="A110" s="4">
        <v>25</v>
      </c>
      <c r="B110" s="112">
        <v>68</v>
      </c>
      <c r="C110" s="3">
        <v>1.1499999999999999</v>
      </c>
      <c r="D110" s="13"/>
      <c r="E110" s="14"/>
      <c r="F110" s="51"/>
      <c r="G110" s="40"/>
      <c r="H110" s="14"/>
      <c r="I110" s="14"/>
      <c r="J110" s="14"/>
      <c r="K110" s="14"/>
      <c r="L110" s="14"/>
      <c r="M110" s="40"/>
      <c r="N110" s="14"/>
      <c r="O110" s="14"/>
      <c r="P110" s="14"/>
      <c r="Q110" s="14"/>
      <c r="R110" s="14"/>
      <c r="S110" s="40"/>
      <c r="T110" s="14"/>
      <c r="U110" s="14"/>
      <c r="V110" s="14"/>
      <c r="W110" s="14"/>
      <c r="X110" s="14"/>
      <c r="Y110" s="40"/>
      <c r="Z110" s="14"/>
      <c r="AA110" s="14"/>
      <c r="AB110" s="14"/>
      <c r="AC110" s="14"/>
      <c r="AD110" s="14"/>
      <c r="AE110" s="40"/>
      <c r="AF110" s="14"/>
      <c r="AG110" s="14"/>
      <c r="AH110" s="14"/>
      <c r="AI110" s="14"/>
      <c r="AJ110" s="88"/>
    </row>
    <row r="111" spans="1:36" ht="15" thickBot="1" x14ac:dyDescent="0.35">
      <c r="A111" s="142" t="s">
        <v>6</v>
      </c>
      <c r="B111" s="143"/>
      <c r="C111" s="143"/>
      <c r="D111" s="89"/>
      <c r="E111" s="5"/>
      <c r="F111" s="5"/>
      <c r="G111" s="5"/>
      <c r="H111" s="5"/>
      <c r="I111" s="5"/>
      <c r="J111" s="5"/>
      <c r="K111" s="5"/>
      <c r="L111" s="5"/>
      <c r="M111" s="5"/>
      <c r="N111" s="20"/>
      <c r="O111" s="20"/>
      <c r="P111" s="20"/>
      <c r="Q111" s="5"/>
      <c r="R111" s="5"/>
      <c r="S111" s="22"/>
      <c r="T111" s="74"/>
      <c r="U111" s="74"/>
      <c r="V111" s="74"/>
      <c r="W111" s="69"/>
      <c r="X111" s="69"/>
      <c r="Y111" s="70"/>
      <c r="Z111" s="74"/>
      <c r="AA111" s="74"/>
      <c r="AB111" s="74"/>
      <c r="AC111" s="69"/>
      <c r="AD111" s="69"/>
      <c r="AE111" s="80"/>
      <c r="AF111" s="74"/>
      <c r="AG111" s="74"/>
      <c r="AH111" s="74"/>
      <c r="AI111" s="6"/>
      <c r="AJ111" s="81"/>
    </row>
    <row r="112" spans="1:36" ht="15.6" thickTop="1" thickBot="1" x14ac:dyDescent="0.35">
      <c r="A112" s="3">
        <v>25</v>
      </c>
      <c r="B112" s="3">
        <v>75</v>
      </c>
      <c r="C112" s="114">
        <v>1.45</v>
      </c>
      <c r="D112" s="13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40"/>
      <c r="T112" s="14"/>
      <c r="U112" s="14"/>
      <c r="V112" s="14"/>
      <c r="W112" s="14"/>
      <c r="X112" s="14"/>
      <c r="Y112" s="38"/>
      <c r="Z112" s="93">
        <v>0.5</v>
      </c>
      <c r="AA112" s="92">
        <f>Z112</f>
        <v>0.5</v>
      </c>
      <c r="AB112" s="95">
        <f>AA112*A112*(1+B112*3/500-0.3)*C112</f>
        <v>20.843749999999996</v>
      </c>
      <c r="AC112" s="13"/>
      <c r="AD112" s="15"/>
      <c r="AE112" s="24">
        <f>AF112/Z112</f>
        <v>2</v>
      </c>
      <c r="AF112" s="94">
        <v>1</v>
      </c>
      <c r="AG112" s="92">
        <f>AF112</f>
        <v>1</v>
      </c>
      <c r="AH112" s="90">
        <f>AG112*A112*(1+B112*3/500-0.3)*C112</f>
        <v>41.687499999999993</v>
      </c>
      <c r="AI112" s="72">
        <f>AF112-Z112</f>
        <v>0.5</v>
      </c>
      <c r="AJ112" s="75">
        <f>AF112-Z112</f>
        <v>0.5</v>
      </c>
    </row>
    <row r="113" spans="1:36" ht="15" thickBot="1" x14ac:dyDescent="0.35">
      <c r="A113" s="142" t="s">
        <v>5</v>
      </c>
      <c r="B113" s="143"/>
      <c r="C113" s="143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20"/>
      <c r="U113" s="20"/>
      <c r="V113" s="20"/>
      <c r="W113" s="5"/>
      <c r="X113" s="5"/>
      <c r="Y113" s="22"/>
      <c r="Z113" s="20"/>
      <c r="AA113" s="20"/>
      <c r="AB113" s="20"/>
      <c r="AC113" s="5"/>
      <c r="AD113" s="5"/>
      <c r="AE113" s="22"/>
      <c r="AF113" s="20"/>
      <c r="AG113" s="20"/>
      <c r="AH113" s="20"/>
      <c r="AI113" s="5"/>
      <c r="AJ113" s="11"/>
    </row>
    <row r="114" spans="1:36" ht="15" thickBot="1" x14ac:dyDescent="0.35">
      <c r="A114" s="118" t="s">
        <v>7</v>
      </c>
      <c r="B114" s="119"/>
      <c r="C114" s="120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20"/>
      <c r="U114" s="20"/>
      <c r="V114" s="20"/>
      <c r="W114" s="5"/>
      <c r="X114" s="5"/>
      <c r="Y114" s="22"/>
      <c r="Z114" s="21">
        <f>Z115/Z112</f>
        <v>6</v>
      </c>
      <c r="AA114" s="21">
        <f t="shared" ref="AA114" si="128">AA115/AA112</f>
        <v>6</v>
      </c>
      <c r="AB114" s="21">
        <f t="shared" ref="AB114" si="129">AB115/AB112</f>
        <v>2.4580605697151428</v>
      </c>
      <c r="AC114" s="5"/>
      <c r="AD114" s="5"/>
      <c r="AE114" s="22"/>
      <c r="AF114" s="21">
        <f>AF115/AF112</f>
        <v>6</v>
      </c>
      <c r="AG114" s="21">
        <f t="shared" ref="AG114" si="130">AG115/AG112</f>
        <v>6</v>
      </c>
      <c r="AH114" s="21">
        <f t="shared" ref="AH114" si="131">AH115/AH112</f>
        <v>2.4580605697151428</v>
      </c>
      <c r="AI114" s="5"/>
      <c r="AJ114" s="11"/>
    </row>
    <row r="115" spans="1:36" ht="15.6" thickTop="1" thickBot="1" x14ac:dyDescent="0.35">
      <c r="A115" s="3">
        <v>9</v>
      </c>
      <c r="B115" s="3">
        <v>81</v>
      </c>
      <c r="C115" s="3">
        <v>1.6</v>
      </c>
      <c r="D115" s="13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38"/>
      <c r="Z115" s="93">
        <v>3</v>
      </c>
      <c r="AA115" s="92">
        <f>Z115</f>
        <v>3</v>
      </c>
      <c r="AB115" s="95">
        <f>AA115*A115*(1+B115*3/500-0.3)*C115</f>
        <v>51.235199999999999</v>
      </c>
      <c r="AC115" s="13"/>
      <c r="AD115" s="15"/>
      <c r="AE115" s="24">
        <f>AF115/Z115</f>
        <v>2</v>
      </c>
      <c r="AF115" s="94">
        <v>6</v>
      </c>
      <c r="AG115" s="92">
        <f>AF115</f>
        <v>6</v>
      </c>
      <c r="AH115" s="91">
        <f>AG115*A115*(1+B115*3/500-0.3)*C115</f>
        <v>102.4704</v>
      </c>
      <c r="AI115" s="10">
        <f>AF115-Z115</f>
        <v>3</v>
      </c>
      <c r="AJ115" s="26">
        <f>AF115-Z115</f>
        <v>3</v>
      </c>
    </row>
    <row r="116" spans="1:36" ht="15" thickBot="1" x14ac:dyDescent="0.35">
      <c r="A116" s="142" t="s">
        <v>8</v>
      </c>
      <c r="B116" s="143"/>
      <c r="C116" s="143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20"/>
      <c r="AG116" s="20"/>
      <c r="AH116" s="20"/>
      <c r="AI116" s="5"/>
      <c r="AJ116" s="11"/>
    </row>
    <row r="117" spans="1:36" ht="15.6" thickTop="1" thickBot="1" x14ac:dyDescent="0.35">
      <c r="A117" s="121" t="s">
        <v>9</v>
      </c>
      <c r="B117" s="122"/>
      <c r="C117" s="123"/>
      <c r="D117" s="5"/>
      <c r="E117" s="106">
        <v>22000</v>
      </c>
      <c r="F117" s="104">
        <f>E117/(AA112*(1+B112*3/500-0.3)*C112*400)</f>
        <v>65.967016491754137</v>
      </c>
      <c r="G117" s="5"/>
      <c r="H117" s="5"/>
      <c r="I117" s="106">
        <v>20000</v>
      </c>
      <c r="J117" s="104">
        <f>(E117+I117/A112)/(AA112*(1+B112*3/500-0.3)*C112*400)</f>
        <v>68.365817091454289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20">
        <f>AF119/AF112</f>
        <v>20</v>
      </c>
      <c r="AG117" s="20">
        <f t="shared" ref="AG117:AH117" si="132">AG119/AG112</f>
        <v>60</v>
      </c>
      <c r="AH117" s="20">
        <f t="shared" si="132"/>
        <v>41.448395802098958</v>
      </c>
      <c r="AI117" s="5"/>
      <c r="AJ117" s="11"/>
    </row>
    <row r="118" spans="1:36" ht="15.6" thickTop="1" thickBot="1" x14ac:dyDescent="0.35">
      <c r="A118" s="144" t="s">
        <v>10</v>
      </c>
      <c r="B118" s="144"/>
      <c r="C118" s="144"/>
      <c r="D118" s="5"/>
      <c r="E118" s="106">
        <v>130000</v>
      </c>
      <c r="F118" s="104">
        <f>E118/(AA115*(1+B115*3/500-0.3)*C115*400)</f>
        <v>57.089657110736368</v>
      </c>
      <c r="G118" s="5"/>
      <c r="H118" s="5"/>
      <c r="I118" s="106">
        <v>742500</v>
      </c>
      <c r="J118" s="104">
        <f>(E118+I118/4/10)/(AA115*(1+B115*3/500-0.3)*C115*400)</f>
        <v>65.241401419336711</v>
      </c>
      <c r="K118" s="5"/>
      <c r="L118" s="5"/>
      <c r="M118" s="5"/>
      <c r="N118" s="5"/>
      <c r="O118" s="106">
        <v>1325500</v>
      </c>
      <c r="P118" s="104">
        <f>(E118+O118/8/10)/(AA115*(1+B115*3/500-0.3)*C115*400)</f>
        <v>64.365843697301855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21">
        <f>AF119/AF115</f>
        <v>3.3333333333333335</v>
      </c>
      <c r="AG118" s="21">
        <f t="shared" ref="AG118" si="133">AG119/AG115</f>
        <v>10</v>
      </c>
      <c r="AH118" s="21">
        <f t="shared" ref="AH118" si="134">AH119/AH115</f>
        <v>16.862235338204982</v>
      </c>
      <c r="AI118" s="5"/>
      <c r="AJ118" s="11"/>
    </row>
    <row r="119" spans="1:36" ht="15.6" thickTop="1" thickBot="1" x14ac:dyDescent="0.35">
      <c r="A119" s="3">
        <v>14</v>
      </c>
      <c r="B119" s="3">
        <v>85</v>
      </c>
      <c r="C119" s="3">
        <v>1.7</v>
      </c>
      <c r="D119" s="16"/>
      <c r="E119" s="13">
        <v>10000</v>
      </c>
      <c r="F119" s="105">
        <f>E119/(AG119*(1+B119*3/500-0.3)*C119*400)</f>
        <v>0.20256036298817051</v>
      </c>
      <c r="G119" s="16"/>
      <c r="H119" s="16"/>
      <c r="I119" s="13">
        <v>10000</v>
      </c>
      <c r="J119" s="105">
        <f>(E119+I119/8/15)/(AG119*(1+B119*3/500-0.3)*C119*400)</f>
        <v>0.20424836601307195</v>
      </c>
      <c r="K119" s="14"/>
      <c r="L119" s="14"/>
      <c r="M119" s="14"/>
      <c r="N119" s="14"/>
      <c r="O119" s="14"/>
      <c r="P119" s="14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77"/>
      <c r="AF119" s="93">
        <v>20</v>
      </c>
      <c r="AG119" s="92">
        <f>AF119*3</f>
        <v>60</v>
      </c>
      <c r="AH119" s="91">
        <f>AG119*A119*(1+B119*3/500-0.3)*C119</f>
        <v>1727.8799999999999</v>
      </c>
      <c r="AI119" s="16"/>
      <c r="AJ119" s="17"/>
    </row>
    <row r="120" spans="1:36" ht="15" thickBot="1" x14ac:dyDescent="0.35"/>
    <row r="121" spans="1:36" ht="15" thickBot="1" x14ac:dyDescent="0.35">
      <c r="A121" s="139" t="s">
        <v>27</v>
      </c>
      <c r="B121" s="140"/>
      <c r="C121" s="141"/>
      <c r="D121" s="129" t="s">
        <v>11</v>
      </c>
      <c r="E121" s="130"/>
      <c r="F121" s="132"/>
      <c r="G121" s="129" t="s">
        <v>12</v>
      </c>
      <c r="H121" s="130"/>
      <c r="I121" s="130"/>
      <c r="J121" s="130"/>
      <c r="K121" s="130"/>
      <c r="L121" s="132"/>
      <c r="M121" s="129" t="s">
        <v>13</v>
      </c>
      <c r="N121" s="130"/>
      <c r="O121" s="130"/>
      <c r="P121" s="130"/>
      <c r="Q121" s="130"/>
      <c r="R121" s="132"/>
      <c r="S121" s="129" t="s">
        <v>14</v>
      </c>
      <c r="T121" s="130"/>
      <c r="U121" s="130"/>
      <c r="V121" s="130"/>
      <c r="W121" s="130"/>
      <c r="X121" s="132"/>
      <c r="Y121" s="129" t="s">
        <v>15</v>
      </c>
      <c r="Z121" s="130"/>
      <c r="AA121" s="130"/>
      <c r="AB121" s="130"/>
      <c r="AC121" s="130"/>
      <c r="AD121" s="132"/>
      <c r="AE121" s="129" t="s">
        <v>28</v>
      </c>
      <c r="AF121" s="130"/>
      <c r="AG121" s="130"/>
      <c r="AH121" s="130"/>
      <c r="AI121" s="130"/>
      <c r="AJ121" s="132"/>
    </row>
    <row r="122" spans="1:36" x14ac:dyDescent="0.3">
      <c r="A122" s="133" t="s">
        <v>3</v>
      </c>
      <c r="B122" s="136" t="s">
        <v>0</v>
      </c>
      <c r="C122" s="133" t="s">
        <v>1</v>
      </c>
      <c r="D122" s="127" t="s">
        <v>16</v>
      </c>
      <c r="E122" s="128" t="s">
        <v>17</v>
      </c>
      <c r="F122" s="125" t="s">
        <v>18</v>
      </c>
      <c r="G122" s="126" t="s">
        <v>4</v>
      </c>
      <c r="H122" s="127" t="s">
        <v>16</v>
      </c>
      <c r="I122" s="128" t="s">
        <v>17</v>
      </c>
      <c r="J122" s="125" t="s">
        <v>18</v>
      </c>
      <c r="K122" s="5"/>
      <c r="L122" s="5"/>
      <c r="M122" s="126" t="s">
        <v>4</v>
      </c>
      <c r="N122" s="127" t="s">
        <v>16</v>
      </c>
      <c r="O122" s="128" t="s">
        <v>17</v>
      </c>
      <c r="P122" s="125" t="s">
        <v>18</v>
      </c>
      <c r="Q122" s="5"/>
      <c r="R122" s="5"/>
      <c r="S122" s="126" t="s">
        <v>4</v>
      </c>
      <c r="T122" s="127" t="s">
        <v>16</v>
      </c>
      <c r="U122" s="128" t="s">
        <v>17</v>
      </c>
      <c r="V122" s="125" t="s">
        <v>18</v>
      </c>
      <c r="W122" s="5"/>
      <c r="X122" s="5"/>
      <c r="Y122" s="126" t="s">
        <v>4</v>
      </c>
      <c r="Z122" s="127" t="s">
        <v>16</v>
      </c>
      <c r="AA122" s="128" t="s">
        <v>17</v>
      </c>
      <c r="AB122" s="125" t="s">
        <v>18</v>
      </c>
      <c r="AC122" s="5"/>
      <c r="AD122" s="5"/>
      <c r="AE122" s="126" t="s">
        <v>4</v>
      </c>
      <c r="AF122" s="127" t="s">
        <v>16</v>
      </c>
      <c r="AG122" s="128" t="s">
        <v>17</v>
      </c>
      <c r="AH122" s="125" t="s">
        <v>18</v>
      </c>
      <c r="AI122" s="5"/>
      <c r="AJ122" s="11"/>
    </row>
    <row r="123" spans="1:36" x14ac:dyDescent="0.3">
      <c r="A123" s="134"/>
      <c r="B123" s="137"/>
      <c r="C123" s="134"/>
      <c r="D123" s="127"/>
      <c r="E123" s="128"/>
      <c r="F123" s="125"/>
      <c r="G123" s="126"/>
      <c r="H123" s="127"/>
      <c r="I123" s="128"/>
      <c r="J123" s="125"/>
      <c r="K123" s="2" t="s">
        <v>19</v>
      </c>
      <c r="L123" s="27" t="s">
        <v>20</v>
      </c>
      <c r="M123" s="126"/>
      <c r="N123" s="127"/>
      <c r="O123" s="128"/>
      <c r="P123" s="125"/>
      <c r="Q123" s="2" t="s">
        <v>19</v>
      </c>
      <c r="R123" s="27" t="s">
        <v>20</v>
      </c>
      <c r="S123" s="126"/>
      <c r="T123" s="127"/>
      <c r="U123" s="128"/>
      <c r="V123" s="125"/>
      <c r="W123" s="2" t="s">
        <v>19</v>
      </c>
      <c r="X123" s="27" t="s">
        <v>20</v>
      </c>
      <c r="Y123" s="126"/>
      <c r="Z123" s="127"/>
      <c r="AA123" s="128"/>
      <c r="AB123" s="125"/>
      <c r="AC123" s="2" t="s">
        <v>19</v>
      </c>
      <c r="AD123" s="27" t="s">
        <v>20</v>
      </c>
      <c r="AE123" s="126"/>
      <c r="AF123" s="127"/>
      <c r="AG123" s="128"/>
      <c r="AH123" s="125"/>
      <c r="AI123" s="2" t="s">
        <v>19</v>
      </c>
      <c r="AJ123" s="76" t="s">
        <v>20</v>
      </c>
    </row>
    <row r="124" spans="1:36" ht="15" thickBot="1" x14ac:dyDescent="0.35">
      <c r="A124" s="135"/>
      <c r="B124" s="138"/>
      <c r="C124" s="135"/>
      <c r="D124" s="127"/>
      <c r="E124" s="128"/>
      <c r="F124" s="125"/>
      <c r="G124" s="126"/>
      <c r="H124" s="127"/>
      <c r="I124" s="128"/>
      <c r="J124" s="125"/>
      <c r="K124" s="5"/>
      <c r="L124" s="5"/>
      <c r="M124" s="126"/>
      <c r="N124" s="127"/>
      <c r="O124" s="128"/>
      <c r="P124" s="125"/>
      <c r="Q124" s="5"/>
      <c r="R124" s="5"/>
      <c r="S124" s="126"/>
      <c r="T124" s="127"/>
      <c r="U124" s="128"/>
      <c r="V124" s="125"/>
      <c r="W124" s="5"/>
      <c r="X124" s="5"/>
      <c r="Y124" s="126"/>
      <c r="Z124" s="127"/>
      <c r="AA124" s="128"/>
      <c r="AB124" s="125"/>
      <c r="AC124" s="5"/>
      <c r="AD124" s="5"/>
      <c r="AE124" s="126"/>
      <c r="AF124" s="127"/>
      <c r="AG124" s="128"/>
      <c r="AH124" s="125"/>
      <c r="AI124" s="5"/>
      <c r="AJ124" s="11"/>
    </row>
    <row r="125" spans="1:36" ht="15" thickBot="1" x14ac:dyDescent="0.35">
      <c r="A125" s="4">
        <v>25</v>
      </c>
      <c r="B125" s="112">
        <v>68</v>
      </c>
      <c r="C125" s="3">
        <v>1.1499999999999999</v>
      </c>
      <c r="D125" s="13"/>
      <c r="E125" s="14"/>
      <c r="F125" s="51"/>
      <c r="G125" s="40"/>
      <c r="H125" s="14"/>
      <c r="I125" s="14"/>
      <c r="J125" s="14"/>
      <c r="K125" s="14"/>
      <c r="L125" s="14"/>
      <c r="M125" s="40"/>
      <c r="N125" s="14"/>
      <c r="O125" s="14"/>
      <c r="P125" s="14"/>
      <c r="Q125" s="14"/>
      <c r="R125" s="14"/>
      <c r="S125" s="40"/>
      <c r="T125" s="14"/>
      <c r="U125" s="14"/>
      <c r="V125" s="14"/>
      <c r="W125" s="14"/>
      <c r="X125" s="14"/>
      <c r="Y125" s="40"/>
      <c r="Z125" s="14"/>
      <c r="AA125" s="14"/>
      <c r="AB125" s="14"/>
      <c r="AC125" s="14"/>
      <c r="AD125" s="14"/>
      <c r="AE125" s="40"/>
      <c r="AF125" s="14"/>
      <c r="AG125" s="14"/>
      <c r="AH125" s="14"/>
      <c r="AI125" s="14"/>
      <c r="AJ125" s="88"/>
    </row>
    <row r="126" spans="1:36" ht="15" thickBot="1" x14ac:dyDescent="0.35">
      <c r="A126" s="142" t="s">
        <v>6</v>
      </c>
      <c r="B126" s="143"/>
      <c r="C126" s="143"/>
      <c r="D126" s="89"/>
      <c r="E126" s="5"/>
      <c r="F126" s="5"/>
      <c r="G126" s="5"/>
      <c r="H126" s="5"/>
      <c r="I126" s="5"/>
      <c r="J126" s="5"/>
      <c r="K126" s="5"/>
      <c r="L126" s="5"/>
      <c r="M126" s="5"/>
      <c r="N126" s="20"/>
      <c r="O126" s="20"/>
      <c r="P126" s="20"/>
      <c r="Q126" s="5"/>
      <c r="R126" s="5"/>
      <c r="S126" s="22"/>
      <c r="T126" s="74"/>
      <c r="U126" s="74"/>
      <c r="V126" s="74"/>
      <c r="W126" s="69"/>
      <c r="X126" s="69"/>
      <c r="Y126" s="70"/>
      <c r="Z126" s="74"/>
      <c r="AA126" s="74"/>
      <c r="AB126" s="74"/>
      <c r="AC126" s="69"/>
      <c r="AD126" s="69"/>
      <c r="AE126" s="70"/>
      <c r="AF126" s="74"/>
      <c r="AG126" s="74"/>
      <c r="AH126" s="74"/>
      <c r="AI126" s="5"/>
      <c r="AJ126" s="11"/>
    </row>
    <row r="127" spans="1:36" ht="15" thickBot="1" x14ac:dyDescent="0.35">
      <c r="A127" s="3">
        <v>25</v>
      </c>
      <c r="B127" s="3">
        <v>75</v>
      </c>
      <c r="C127" s="114">
        <v>1.45</v>
      </c>
      <c r="D127" s="13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40"/>
      <c r="T127" s="14"/>
      <c r="U127" s="14"/>
      <c r="V127" s="14"/>
      <c r="W127" s="14"/>
      <c r="X127" s="14"/>
      <c r="Y127" s="40"/>
      <c r="Z127" s="14"/>
      <c r="AA127" s="14"/>
      <c r="AB127" s="14"/>
      <c r="AC127" s="14"/>
      <c r="AD127" s="14"/>
      <c r="AE127" s="40"/>
      <c r="AF127" s="14"/>
      <c r="AG127" s="14"/>
      <c r="AH127" s="14"/>
      <c r="AI127" s="14"/>
      <c r="AJ127" s="88"/>
    </row>
    <row r="128" spans="1:36" x14ac:dyDescent="0.3">
      <c r="A128" s="142" t="s">
        <v>5</v>
      </c>
      <c r="B128" s="143"/>
      <c r="C128" s="143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20"/>
      <c r="U128" s="20"/>
      <c r="V128" s="20"/>
      <c r="W128" s="5"/>
      <c r="X128" s="5"/>
      <c r="Y128" s="22"/>
      <c r="Z128" s="20"/>
      <c r="AA128" s="20"/>
      <c r="AB128" s="20"/>
      <c r="AC128" s="5"/>
      <c r="AD128" s="5"/>
      <c r="AE128" s="22"/>
      <c r="AF128" s="20"/>
      <c r="AG128" s="20"/>
      <c r="AH128" s="20"/>
      <c r="AI128" s="5"/>
      <c r="AJ128" s="11"/>
    </row>
    <row r="129" spans="1:36" ht="15" thickBot="1" x14ac:dyDescent="0.35">
      <c r="A129" s="118" t="s">
        <v>7</v>
      </c>
      <c r="B129" s="119"/>
      <c r="C129" s="120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20"/>
      <c r="U129" s="20"/>
      <c r="V129" s="20"/>
      <c r="W129" s="5"/>
      <c r="X129" s="5"/>
      <c r="Y129" s="22"/>
      <c r="Z129" s="20"/>
      <c r="AA129" s="20"/>
      <c r="AB129" s="20"/>
      <c r="AC129" s="5"/>
      <c r="AD129" s="5"/>
      <c r="AE129" s="22"/>
      <c r="AF129" s="20"/>
      <c r="AG129" s="20"/>
      <c r="AH129" s="20"/>
      <c r="AI129" s="5"/>
      <c r="AJ129" s="11"/>
    </row>
    <row r="130" spans="1:36" ht="15" thickBot="1" x14ac:dyDescent="0.35">
      <c r="A130" s="3">
        <v>9</v>
      </c>
      <c r="B130" s="3">
        <v>81</v>
      </c>
      <c r="C130" s="3">
        <v>1.6</v>
      </c>
      <c r="D130" s="13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40"/>
      <c r="Z130" s="14"/>
      <c r="AA130" s="14"/>
      <c r="AB130" s="14"/>
      <c r="AC130" s="14"/>
      <c r="AD130" s="14"/>
      <c r="AE130" s="40"/>
      <c r="AF130" s="96">
        <v>3</v>
      </c>
      <c r="AG130" s="98">
        <f>AF130</f>
        <v>3</v>
      </c>
      <c r="AH130" s="99">
        <f>AG130*A130*(1+B130*3/500-0.3)*C130</f>
        <v>51.235199999999999</v>
      </c>
      <c r="AI130" s="13"/>
      <c r="AJ130" s="88"/>
    </row>
    <row r="131" spans="1:36" x14ac:dyDescent="0.3">
      <c r="A131" s="142" t="s">
        <v>8</v>
      </c>
      <c r="B131" s="143"/>
      <c r="C131" s="143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20"/>
      <c r="AG131" s="20"/>
      <c r="AH131" s="20"/>
      <c r="AI131" s="5"/>
      <c r="AJ131" s="11"/>
    </row>
    <row r="132" spans="1:36" ht="15" thickBot="1" x14ac:dyDescent="0.35">
      <c r="A132" s="121" t="s">
        <v>9</v>
      </c>
      <c r="B132" s="122"/>
      <c r="C132" s="123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20"/>
      <c r="AG132" s="20"/>
      <c r="AH132" s="20"/>
      <c r="AI132" s="5"/>
      <c r="AJ132" s="11"/>
    </row>
    <row r="133" spans="1:36" ht="15.6" thickTop="1" thickBot="1" x14ac:dyDescent="0.35">
      <c r="A133" s="144" t="s">
        <v>10</v>
      </c>
      <c r="B133" s="144"/>
      <c r="C133" s="144"/>
      <c r="D133" s="5"/>
      <c r="E133" s="106">
        <v>400000</v>
      </c>
      <c r="F133" s="104">
        <f>E133/(AG130*(1+B130*3/500-0.3)*C130*950)</f>
        <v>73.962308807431739</v>
      </c>
      <c r="G133" s="5"/>
      <c r="H133" s="5"/>
      <c r="I133" s="106">
        <v>742500</v>
      </c>
      <c r="J133" s="104">
        <f>(E133+I133/4/10)/(AG130*(1+B130*3/500-0.3)*C130*950)</f>
        <v>77.394622200526612</v>
      </c>
      <c r="K133" s="5"/>
      <c r="L133" s="5"/>
      <c r="M133" s="5"/>
      <c r="N133" s="5"/>
      <c r="O133" s="106">
        <v>1325500</v>
      </c>
      <c r="P133" s="104">
        <f>(E133+O133/8/10)/(AG130*(1+B130*3/500-0.3)*C130*950)</f>
        <v>77.025966317564567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21">
        <f>AF134/AF130</f>
        <v>3.3333333333333335</v>
      </c>
      <c r="AG133" s="21">
        <f t="shared" ref="AG133" si="135">AG134/AG130</f>
        <v>10</v>
      </c>
      <c r="AH133" s="21">
        <f t="shared" ref="AH133" si="136">AH134/AH130</f>
        <v>16.862235338204982</v>
      </c>
      <c r="AI133" s="5"/>
      <c r="AJ133" s="11"/>
    </row>
    <row r="134" spans="1:36" ht="15.6" thickTop="1" thickBot="1" x14ac:dyDescent="0.35">
      <c r="A134" s="3">
        <v>14</v>
      </c>
      <c r="B134" s="3">
        <v>85</v>
      </c>
      <c r="C134" s="3">
        <v>1.7</v>
      </c>
      <c r="D134" s="16"/>
      <c r="E134" s="13">
        <v>10000</v>
      </c>
      <c r="F134" s="105">
        <f>E134/(AG134*(1+B134*3/500-0.3)*C134*950)</f>
        <v>0.170577147779512</v>
      </c>
      <c r="G134" s="16"/>
      <c r="H134" s="16"/>
      <c r="I134" s="13">
        <v>10000</v>
      </c>
      <c r="J134" s="105">
        <f>(E134+I134/8/15)/(AG134*(1+B134*3/500-0.3)*C134*950)</f>
        <v>0.17199862401100793</v>
      </c>
      <c r="K134" s="14"/>
      <c r="L134" s="14"/>
      <c r="M134" s="14"/>
      <c r="N134" s="14"/>
      <c r="O134" s="14"/>
      <c r="P134" s="14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77"/>
      <c r="AF134" s="97">
        <v>10</v>
      </c>
      <c r="AG134" s="98">
        <f>AF134*3</f>
        <v>30</v>
      </c>
      <c r="AH134" s="100">
        <f>AG134*A134*(1+B134*3/500-0.3)*C134</f>
        <v>863.93999999999994</v>
      </c>
      <c r="AI134" s="16"/>
      <c r="AJ134" s="17"/>
    </row>
    <row r="135" spans="1:36" ht="15" thickBot="1" x14ac:dyDescent="0.35"/>
    <row r="136" spans="1:36" ht="15" thickBot="1" x14ac:dyDescent="0.35">
      <c r="A136" s="139" t="s">
        <v>29</v>
      </c>
      <c r="B136" s="140"/>
      <c r="C136" s="141"/>
      <c r="D136" s="129" t="s">
        <v>11</v>
      </c>
      <c r="E136" s="130"/>
      <c r="F136" s="132"/>
      <c r="G136" s="129" t="s">
        <v>12</v>
      </c>
      <c r="H136" s="130"/>
      <c r="I136" s="130"/>
      <c r="J136" s="130"/>
      <c r="K136" s="130"/>
      <c r="L136" s="132"/>
      <c r="M136" s="129" t="s">
        <v>13</v>
      </c>
      <c r="N136" s="130"/>
      <c r="O136" s="130"/>
      <c r="P136" s="130"/>
      <c r="Q136" s="130"/>
      <c r="R136" s="132"/>
      <c r="S136" s="129" t="s">
        <v>14</v>
      </c>
      <c r="T136" s="130"/>
      <c r="U136" s="130"/>
      <c r="V136" s="130"/>
      <c r="W136" s="130"/>
      <c r="X136" s="132"/>
      <c r="Y136" s="129" t="s">
        <v>15</v>
      </c>
      <c r="Z136" s="130"/>
      <c r="AA136" s="130"/>
      <c r="AB136" s="130"/>
      <c r="AC136" s="130"/>
      <c r="AD136" s="132"/>
      <c r="AE136" s="129" t="s">
        <v>28</v>
      </c>
      <c r="AF136" s="130"/>
      <c r="AG136" s="130"/>
      <c r="AH136" s="130"/>
      <c r="AI136" s="130"/>
      <c r="AJ136" s="132"/>
    </row>
    <row r="137" spans="1:36" x14ac:dyDescent="0.3">
      <c r="A137" s="133" t="s">
        <v>3</v>
      </c>
      <c r="B137" s="136" t="s">
        <v>0</v>
      </c>
      <c r="C137" s="133" t="s">
        <v>1</v>
      </c>
      <c r="D137" s="127" t="s">
        <v>16</v>
      </c>
      <c r="E137" s="128" t="s">
        <v>17</v>
      </c>
      <c r="F137" s="125" t="s">
        <v>18</v>
      </c>
      <c r="G137" s="126" t="s">
        <v>4</v>
      </c>
      <c r="H137" s="127" t="s">
        <v>16</v>
      </c>
      <c r="I137" s="128" t="s">
        <v>17</v>
      </c>
      <c r="J137" s="125" t="s">
        <v>18</v>
      </c>
      <c r="K137" s="5"/>
      <c r="L137" s="5"/>
      <c r="M137" s="126" t="s">
        <v>4</v>
      </c>
      <c r="N137" s="127" t="s">
        <v>16</v>
      </c>
      <c r="O137" s="128" t="s">
        <v>17</v>
      </c>
      <c r="P137" s="125" t="s">
        <v>18</v>
      </c>
      <c r="Q137" s="5"/>
      <c r="R137" s="5"/>
      <c r="S137" s="126" t="s">
        <v>4</v>
      </c>
      <c r="T137" s="127" t="s">
        <v>16</v>
      </c>
      <c r="U137" s="128" t="s">
        <v>17</v>
      </c>
      <c r="V137" s="125" t="s">
        <v>18</v>
      </c>
      <c r="W137" s="5"/>
      <c r="X137" s="5"/>
      <c r="Y137" s="126" t="s">
        <v>4</v>
      </c>
      <c r="Z137" s="127" t="s">
        <v>16</v>
      </c>
      <c r="AA137" s="128" t="s">
        <v>17</v>
      </c>
      <c r="AB137" s="125" t="s">
        <v>18</v>
      </c>
      <c r="AC137" s="5"/>
      <c r="AD137" s="5"/>
      <c r="AE137" s="126" t="s">
        <v>4</v>
      </c>
      <c r="AF137" s="127" t="s">
        <v>16</v>
      </c>
      <c r="AG137" s="128" t="s">
        <v>17</v>
      </c>
      <c r="AH137" s="125" t="s">
        <v>18</v>
      </c>
      <c r="AI137" s="5"/>
      <c r="AJ137" s="11"/>
    </row>
    <row r="138" spans="1:36" x14ac:dyDescent="0.3">
      <c r="A138" s="134"/>
      <c r="B138" s="137"/>
      <c r="C138" s="134"/>
      <c r="D138" s="127"/>
      <c r="E138" s="128"/>
      <c r="F138" s="125"/>
      <c r="G138" s="126"/>
      <c r="H138" s="127"/>
      <c r="I138" s="128"/>
      <c r="J138" s="125"/>
      <c r="K138" s="2" t="s">
        <v>19</v>
      </c>
      <c r="L138" s="27" t="s">
        <v>20</v>
      </c>
      <c r="M138" s="126"/>
      <c r="N138" s="127"/>
      <c r="O138" s="128"/>
      <c r="P138" s="125"/>
      <c r="Q138" s="2" t="s">
        <v>19</v>
      </c>
      <c r="R138" s="27" t="s">
        <v>20</v>
      </c>
      <c r="S138" s="126"/>
      <c r="T138" s="127"/>
      <c r="U138" s="128"/>
      <c r="V138" s="125"/>
      <c r="W138" s="2" t="s">
        <v>19</v>
      </c>
      <c r="X138" s="27" t="s">
        <v>20</v>
      </c>
      <c r="Y138" s="126"/>
      <c r="Z138" s="127"/>
      <c r="AA138" s="128"/>
      <c r="AB138" s="125"/>
      <c r="AC138" s="2" t="s">
        <v>19</v>
      </c>
      <c r="AD138" s="27" t="s">
        <v>20</v>
      </c>
      <c r="AE138" s="126"/>
      <c r="AF138" s="127"/>
      <c r="AG138" s="128"/>
      <c r="AH138" s="125"/>
      <c r="AI138" s="2" t="s">
        <v>19</v>
      </c>
      <c r="AJ138" s="76" t="s">
        <v>20</v>
      </c>
    </row>
    <row r="139" spans="1:36" ht="15" thickBot="1" x14ac:dyDescent="0.35">
      <c r="A139" s="135"/>
      <c r="B139" s="138"/>
      <c r="C139" s="135"/>
      <c r="D139" s="127"/>
      <c r="E139" s="128"/>
      <c r="F139" s="125"/>
      <c r="G139" s="126"/>
      <c r="H139" s="127"/>
      <c r="I139" s="128"/>
      <c r="J139" s="125"/>
      <c r="K139" s="5"/>
      <c r="L139" s="5"/>
      <c r="M139" s="126"/>
      <c r="N139" s="127"/>
      <c r="O139" s="128"/>
      <c r="P139" s="125"/>
      <c r="Q139" s="5"/>
      <c r="R139" s="5"/>
      <c r="S139" s="126"/>
      <c r="T139" s="127"/>
      <c r="U139" s="128"/>
      <c r="V139" s="125"/>
      <c r="W139" s="5"/>
      <c r="X139" s="5"/>
      <c r="Y139" s="126"/>
      <c r="Z139" s="127"/>
      <c r="AA139" s="128"/>
      <c r="AB139" s="125"/>
      <c r="AC139" s="5"/>
      <c r="AD139" s="5"/>
      <c r="AE139" s="126"/>
      <c r="AF139" s="127"/>
      <c r="AG139" s="128"/>
      <c r="AH139" s="125"/>
      <c r="AI139" s="5"/>
      <c r="AJ139" s="11"/>
    </row>
    <row r="140" spans="1:36" ht="15" thickBot="1" x14ac:dyDescent="0.35">
      <c r="A140" s="4">
        <v>25</v>
      </c>
      <c r="B140" s="112">
        <v>68</v>
      </c>
      <c r="C140" s="3">
        <v>1.1499999999999999</v>
      </c>
      <c r="D140" s="13"/>
      <c r="E140" s="14"/>
      <c r="F140" s="51"/>
      <c r="G140" s="40"/>
      <c r="H140" s="14"/>
      <c r="I140" s="14"/>
      <c r="J140" s="14"/>
      <c r="K140" s="14"/>
      <c r="L140" s="14"/>
      <c r="M140" s="40"/>
      <c r="N140" s="14"/>
      <c r="O140" s="14"/>
      <c r="P140" s="14"/>
      <c r="Q140" s="14"/>
      <c r="R140" s="14"/>
      <c r="S140" s="40"/>
      <c r="T140" s="14"/>
      <c r="U140" s="14"/>
      <c r="V140" s="14"/>
      <c r="W140" s="14"/>
      <c r="X140" s="14"/>
      <c r="Y140" s="40"/>
      <c r="Z140" s="14"/>
      <c r="AA140" s="14"/>
      <c r="AB140" s="14"/>
      <c r="AC140" s="14"/>
      <c r="AD140" s="14"/>
      <c r="AE140" s="40"/>
      <c r="AF140" s="14"/>
      <c r="AG140" s="14"/>
      <c r="AH140" s="14"/>
      <c r="AI140" s="14"/>
      <c r="AJ140" s="88"/>
    </row>
    <row r="141" spans="1:36" ht="15" thickBot="1" x14ac:dyDescent="0.35">
      <c r="A141" s="129" t="s">
        <v>6</v>
      </c>
      <c r="B141" s="130"/>
      <c r="C141" s="131"/>
      <c r="D141" s="89"/>
      <c r="E141" s="5"/>
      <c r="F141" s="5"/>
      <c r="G141" s="5"/>
      <c r="H141" s="5"/>
      <c r="I141" s="5"/>
      <c r="J141" s="5"/>
      <c r="K141" s="5"/>
      <c r="L141" s="5"/>
      <c r="M141" s="5"/>
      <c r="N141" s="20"/>
      <c r="O141" s="20"/>
      <c r="P141" s="20"/>
      <c r="Q141" s="5"/>
      <c r="R141" s="5"/>
      <c r="S141" s="22"/>
      <c r="T141" s="74"/>
      <c r="U141" s="74"/>
      <c r="V141" s="74"/>
      <c r="W141" s="69"/>
      <c r="X141" s="69"/>
      <c r="Y141" s="70"/>
      <c r="Z141" s="74"/>
      <c r="AA141" s="74"/>
      <c r="AB141" s="74"/>
      <c r="AC141" s="69"/>
      <c r="AD141" s="69"/>
      <c r="AE141" s="70"/>
      <c r="AF141" s="74"/>
      <c r="AG141" s="74"/>
      <c r="AH141" s="74"/>
      <c r="AI141" s="5"/>
      <c r="AJ141" s="11"/>
    </row>
    <row r="142" spans="1:36" ht="15" thickBot="1" x14ac:dyDescent="0.35">
      <c r="A142" s="3">
        <v>25</v>
      </c>
      <c r="B142" s="3">
        <v>75</v>
      </c>
      <c r="C142" s="114">
        <v>1.45</v>
      </c>
      <c r="D142" s="13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40"/>
      <c r="T142" s="14"/>
      <c r="U142" s="14"/>
      <c r="V142" s="14"/>
      <c r="W142" s="14"/>
      <c r="X142" s="14"/>
      <c r="Y142" s="40"/>
      <c r="Z142" s="14"/>
      <c r="AA142" s="14"/>
      <c r="AB142" s="14"/>
      <c r="AC142" s="14"/>
      <c r="AD142" s="14"/>
      <c r="AE142" s="40"/>
      <c r="AF142" s="14"/>
      <c r="AG142" s="14"/>
      <c r="AH142" s="14"/>
      <c r="AI142" s="14"/>
      <c r="AJ142" s="88"/>
    </row>
    <row r="143" spans="1:36" x14ac:dyDescent="0.3">
      <c r="A143" s="115" t="s">
        <v>5</v>
      </c>
      <c r="B143" s="116"/>
      <c r="C143" s="117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20"/>
      <c r="U143" s="20"/>
      <c r="V143" s="20"/>
      <c r="W143" s="5"/>
      <c r="X143" s="5"/>
      <c r="Y143" s="22"/>
      <c r="Z143" s="20"/>
      <c r="AA143" s="20"/>
      <c r="AB143" s="20"/>
      <c r="AC143" s="5"/>
      <c r="AD143" s="5"/>
      <c r="AE143" s="22"/>
      <c r="AF143" s="20"/>
      <c r="AG143" s="20"/>
      <c r="AH143" s="20"/>
      <c r="AI143" s="5"/>
      <c r="AJ143" s="11"/>
    </row>
    <row r="144" spans="1:36" ht="15" thickBot="1" x14ac:dyDescent="0.35">
      <c r="A144" s="118" t="s">
        <v>7</v>
      </c>
      <c r="B144" s="119"/>
      <c r="C144" s="120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20"/>
      <c r="U144" s="20"/>
      <c r="V144" s="20"/>
      <c r="W144" s="5"/>
      <c r="X144" s="5"/>
      <c r="Y144" s="22"/>
      <c r="Z144" s="20"/>
      <c r="AA144" s="20"/>
      <c r="AB144" s="20"/>
      <c r="AC144" s="5"/>
      <c r="AD144" s="5"/>
      <c r="AE144" s="22"/>
      <c r="AF144" s="20"/>
      <c r="AG144" s="20"/>
      <c r="AH144" s="20"/>
      <c r="AI144" s="5"/>
      <c r="AJ144" s="11"/>
    </row>
    <row r="145" spans="1:36" ht="15" thickBot="1" x14ac:dyDescent="0.35">
      <c r="A145" s="3">
        <v>9</v>
      </c>
      <c r="B145" s="3">
        <v>81</v>
      </c>
      <c r="C145" s="3">
        <v>1.6</v>
      </c>
      <c r="D145" s="13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40"/>
      <c r="Z145" s="14"/>
      <c r="AA145" s="14"/>
      <c r="AB145" s="14"/>
      <c r="AC145" s="14"/>
      <c r="AD145" s="14"/>
      <c r="AE145" s="40"/>
      <c r="AF145" s="111">
        <v>2</v>
      </c>
      <c r="AG145" s="107">
        <f>AF145</f>
        <v>2</v>
      </c>
      <c r="AH145" s="108">
        <f>AG145*A145*(1+B145*3/500-0.3)*C145</f>
        <v>34.156799999999997</v>
      </c>
      <c r="AI145" s="13"/>
      <c r="AJ145" s="88"/>
    </row>
    <row r="146" spans="1:36" x14ac:dyDescent="0.3">
      <c r="A146" s="115" t="s">
        <v>8</v>
      </c>
      <c r="B146" s="116"/>
      <c r="C146" s="117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20"/>
      <c r="AG146" s="20"/>
      <c r="AH146" s="20"/>
      <c r="AI146" s="5"/>
      <c r="AJ146" s="11"/>
    </row>
    <row r="147" spans="1:36" ht="15" thickBot="1" x14ac:dyDescent="0.35">
      <c r="A147" s="121" t="s">
        <v>9</v>
      </c>
      <c r="B147" s="122"/>
      <c r="C147" s="123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20"/>
      <c r="AG147" s="20"/>
      <c r="AH147" s="20"/>
      <c r="AI147" s="5"/>
      <c r="AJ147" s="11"/>
    </row>
    <row r="148" spans="1:36" ht="15.6" thickTop="1" thickBot="1" x14ac:dyDescent="0.35">
      <c r="A148" s="124" t="s">
        <v>10</v>
      </c>
      <c r="B148" s="119"/>
      <c r="C148" s="120"/>
      <c r="D148" s="5"/>
      <c r="E148" s="106">
        <v>900000</v>
      </c>
      <c r="F148" s="104">
        <f>E148/(AG145*(1+B145*3/500-0.3)*C145*3050)</f>
        <v>77.751361512730483</v>
      </c>
      <c r="G148" s="5"/>
      <c r="H148" s="5"/>
      <c r="I148" s="106">
        <v>742500</v>
      </c>
      <c r="J148" s="104">
        <f>(E148+I148/4/10)/(AG145*(1+B145*3/500-0.3)*C145*3050)</f>
        <v>79.354983343930556</v>
      </c>
      <c r="K148" s="5"/>
      <c r="L148" s="5"/>
      <c r="M148" s="5"/>
      <c r="N148" s="5"/>
      <c r="O148" s="106">
        <v>1325500</v>
      </c>
      <c r="P148" s="104">
        <f>(E148+O148/8/10)/(AG145*(1+B145*3/500-0.3)*C145*3050)</f>
        <v>79.182742480579435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21">
        <f>AF149/AF145</f>
        <v>3.5</v>
      </c>
      <c r="AG148" s="21">
        <f t="shared" ref="AG148" si="137">AG149/AG145</f>
        <v>10.5</v>
      </c>
      <c r="AH148" s="21">
        <f t="shared" ref="AH148" si="138">AH149/AH145</f>
        <v>17.705347105115237</v>
      </c>
      <c r="AI148" s="5"/>
      <c r="AJ148" s="11"/>
    </row>
    <row r="149" spans="1:36" ht="15.6" thickTop="1" thickBot="1" x14ac:dyDescent="0.35">
      <c r="A149" s="3">
        <v>14</v>
      </c>
      <c r="B149" s="3">
        <v>85</v>
      </c>
      <c r="C149" s="3">
        <v>1.7</v>
      </c>
      <c r="D149" s="16"/>
      <c r="E149" s="13">
        <v>10000</v>
      </c>
      <c r="F149" s="105">
        <f>E149/(AG149*(1+B149*3/500-0.3)*C149*3050)</f>
        <v>7.5900838590415173E-2</v>
      </c>
      <c r="G149" s="16"/>
      <c r="H149" s="16"/>
      <c r="I149" s="13">
        <v>10000</v>
      </c>
      <c r="J149" s="105">
        <f>(E149+I149/8/15)/(AG149*(1+B149*3/500-0.3)*C149*3050)</f>
        <v>7.6533345578668643E-2</v>
      </c>
      <c r="K149" s="14"/>
      <c r="L149" s="14"/>
      <c r="M149" s="14"/>
      <c r="N149" s="14"/>
      <c r="O149" s="14"/>
      <c r="P149" s="14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77"/>
      <c r="AF149" s="110">
        <v>7</v>
      </c>
      <c r="AG149" s="107">
        <f>AF149*3</f>
        <v>21</v>
      </c>
      <c r="AH149" s="109">
        <f>AG149*A149*(1+B149*3/500-0.3)*C149</f>
        <v>604.75800000000004</v>
      </c>
      <c r="AI149" s="16"/>
      <c r="AJ149" s="17"/>
    </row>
    <row r="150" spans="1:36" ht="15" thickBot="1" x14ac:dyDescent="0.35"/>
    <row r="151" spans="1:36" ht="15" thickBot="1" x14ac:dyDescent="0.35">
      <c r="A151" s="4">
        <v>25</v>
      </c>
      <c r="B151" s="112">
        <v>50</v>
      </c>
      <c r="C151" s="3">
        <v>1.1000000000000001</v>
      </c>
    </row>
    <row r="152" spans="1:36" ht="15" thickBot="1" x14ac:dyDescent="0.35">
      <c r="A152" s="129" t="s">
        <v>6</v>
      </c>
      <c r="B152" s="130"/>
      <c r="C152" s="131"/>
    </row>
    <row r="153" spans="1:36" ht="15" thickBot="1" x14ac:dyDescent="0.35">
      <c r="A153" s="3">
        <v>25</v>
      </c>
      <c r="B153" s="3">
        <v>50</v>
      </c>
      <c r="C153" s="114">
        <v>1.2</v>
      </c>
    </row>
    <row r="154" spans="1:36" x14ac:dyDescent="0.3">
      <c r="A154" s="115" t="s">
        <v>5</v>
      </c>
      <c r="B154" s="116"/>
      <c r="C154" s="117"/>
    </row>
    <row r="155" spans="1:36" ht="15" thickBot="1" x14ac:dyDescent="0.35">
      <c r="A155" s="118" t="s">
        <v>7</v>
      </c>
      <c r="B155" s="119"/>
      <c r="C155" s="120"/>
    </row>
    <row r="156" spans="1:36" ht="15" thickBot="1" x14ac:dyDescent="0.35">
      <c r="A156" s="3">
        <v>9</v>
      </c>
      <c r="B156" s="3">
        <v>50</v>
      </c>
      <c r="C156" s="3">
        <v>1.3</v>
      </c>
    </row>
    <row r="157" spans="1:36" x14ac:dyDescent="0.3">
      <c r="A157" s="115" t="s">
        <v>8</v>
      </c>
      <c r="B157" s="116"/>
      <c r="C157" s="117"/>
    </row>
    <row r="158" spans="1:36" x14ac:dyDescent="0.3">
      <c r="A158" s="121" t="s">
        <v>9</v>
      </c>
      <c r="B158" s="122"/>
      <c r="C158" s="123"/>
    </row>
    <row r="159" spans="1:36" ht="15" thickBot="1" x14ac:dyDescent="0.35">
      <c r="A159" s="124" t="s">
        <v>10</v>
      </c>
      <c r="B159" s="119"/>
      <c r="C159" s="120"/>
    </row>
    <row r="160" spans="1:36" ht="15" thickBot="1" x14ac:dyDescent="0.35">
      <c r="A160" s="3">
        <v>14</v>
      </c>
      <c r="B160" s="3">
        <v>50</v>
      </c>
      <c r="C160" s="3">
        <v>1.35</v>
      </c>
    </row>
  </sheetData>
  <mergeCells count="435">
    <mergeCell ref="BL17:BL19"/>
    <mergeCell ref="BM17:BM19"/>
    <mergeCell ref="BP17:BP19"/>
    <mergeCell ref="BQ17:BQ19"/>
    <mergeCell ref="BR17:BR19"/>
    <mergeCell ref="BS17:BS19"/>
    <mergeCell ref="AL21:AN21"/>
    <mergeCell ref="AL23:AN23"/>
    <mergeCell ref="AL24:AN24"/>
    <mergeCell ref="AX16:BC16"/>
    <mergeCell ref="BD16:BI16"/>
    <mergeCell ref="BJ16:BO16"/>
    <mergeCell ref="BP16:BU16"/>
    <mergeCell ref="AL17:AL19"/>
    <mergeCell ref="AM17:AM19"/>
    <mergeCell ref="AN17:AN19"/>
    <mergeCell ref="AO17:AO19"/>
    <mergeCell ref="AP17:AP19"/>
    <mergeCell ref="AQ17:AQ19"/>
    <mergeCell ref="AR17:AR19"/>
    <mergeCell ref="AS17:AS19"/>
    <mergeCell ref="AT17:AT19"/>
    <mergeCell ref="AU17:AU19"/>
    <mergeCell ref="AX17:AX19"/>
    <mergeCell ref="AY17:AY19"/>
    <mergeCell ref="AZ17:AZ19"/>
    <mergeCell ref="BA17:BA19"/>
    <mergeCell ref="BD17:BD19"/>
    <mergeCell ref="BE17:BE19"/>
    <mergeCell ref="BF17:BF19"/>
    <mergeCell ref="BG17:BG19"/>
    <mergeCell ref="BJ17:BJ19"/>
    <mergeCell ref="BK17:BK19"/>
    <mergeCell ref="A152:C152"/>
    <mergeCell ref="A154:C154"/>
    <mergeCell ref="A155:C155"/>
    <mergeCell ref="A157:C157"/>
    <mergeCell ref="A158:C158"/>
    <mergeCell ref="A159:C159"/>
    <mergeCell ref="AL16:AN16"/>
    <mergeCell ref="AO16:AQ16"/>
    <mergeCell ref="AR16:AW16"/>
    <mergeCell ref="AL26:AN26"/>
    <mergeCell ref="AL27:AN27"/>
    <mergeCell ref="AL28:AN28"/>
    <mergeCell ref="AE16:AJ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A16:C16"/>
    <mergeCell ref="D16:F16"/>
    <mergeCell ref="A13:C13"/>
    <mergeCell ref="J2:J4"/>
    <mergeCell ref="H2:H4"/>
    <mergeCell ref="I2:I4"/>
    <mergeCell ref="M2:M4"/>
    <mergeCell ref="G2:G4"/>
    <mergeCell ref="A6:C6"/>
    <mergeCell ref="A8:C8"/>
    <mergeCell ref="A9:C9"/>
    <mergeCell ref="A11:C11"/>
    <mergeCell ref="A12:C12"/>
    <mergeCell ref="A2:A4"/>
    <mergeCell ref="B2:B4"/>
    <mergeCell ref="C2:C4"/>
    <mergeCell ref="D2:D4"/>
    <mergeCell ref="E2:E4"/>
    <mergeCell ref="F2:F4"/>
    <mergeCell ref="V2:V4"/>
    <mergeCell ref="A1:C1"/>
    <mergeCell ref="D1:F1"/>
    <mergeCell ref="G1:L1"/>
    <mergeCell ref="M1:R1"/>
    <mergeCell ref="S1:X1"/>
    <mergeCell ref="N2:N4"/>
    <mergeCell ref="O2:O4"/>
    <mergeCell ref="P2:P4"/>
    <mergeCell ref="S2:S4"/>
    <mergeCell ref="T2:T4"/>
    <mergeCell ref="U2:U4"/>
    <mergeCell ref="Y1:AD1"/>
    <mergeCell ref="Y2:Y4"/>
    <mergeCell ref="Z2:Z4"/>
    <mergeCell ref="AA2:AA4"/>
    <mergeCell ref="AB2:AB4"/>
    <mergeCell ref="AE1:AJ1"/>
    <mergeCell ref="AE2:AE4"/>
    <mergeCell ref="AF2:AF4"/>
    <mergeCell ref="AG2:AG4"/>
    <mergeCell ref="AH2:AH4"/>
    <mergeCell ref="G16:L16"/>
    <mergeCell ref="M16:R16"/>
    <mergeCell ref="S16:X16"/>
    <mergeCell ref="Y16:AD16"/>
    <mergeCell ref="AB17:AB19"/>
    <mergeCell ref="AE17:AE19"/>
    <mergeCell ref="AF17:AF19"/>
    <mergeCell ref="AG17:AG19"/>
    <mergeCell ref="AH17:AH19"/>
    <mergeCell ref="A21:C21"/>
    <mergeCell ref="T17:T19"/>
    <mergeCell ref="U17:U19"/>
    <mergeCell ref="V17:V19"/>
    <mergeCell ref="Y17:Y19"/>
    <mergeCell ref="Z17:Z19"/>
    <mergeCell ref="AA17:AA19"/>
    <mergeCell ref="J17:J19"/>
    <mergeCell ref="M17:M19"/>
    <mergeCell ref="N17:N19"/>
    <mergeCell ref="O17:O19"/>
    <mergeCell ref="P17:P19"/>
    <mergeCell ref="S17:S19"/>
    <mergeCell ref="S31:X31"/>
    <mergeCell ref="Y31:AD31"/>
    <mergeCell ref="AE31:AJ31"/>
    <mergeCell ref="A23:C23"/>
    <mergeCell ref="A24:C24"/>
    <mergeCell ref="A26:C26"/>
    <mergeCell ref="A27:C27"/>
    <mergeCell ref="A28:C28"/>
    <mergeCell ref="A31:C31"/>
    <mergeCell ref="A32:A34"/>
    <mergeCell ref="B32:B34"/>
    <mergeCell ref="C32:C34"/>
    <mergeCell ref="D32:D34"/>
    <mergeCell ref="E32:E34"/>
    <mergeCell ref="F32:F34"/>
    <mergeCell ref="D31:F31"/>
    <mergeCell ref="G31:L31"/>
    <mergeCell ref="M31:R31"/>
    <mergeCell ref="AG32:AG34"/>
    <mergeCell ref="AH32:AH34"/>
    <mergeCell ref="A36:C36"/>
    <mergeCell ref="A38:C38"/>
    <mergeCell ref="A39:C39"/>
    <mergeCell ref="A41:C41"/>
    <mergeCell ref="Y32:Y34"/>
    <mergeCell ref="Z32:Z34"/>
    <mergeCell ref="AA32:AA34"/>
    <mergeCell ref="AB32:AB34"/>
    <mergeCell ref="AE32:AE34"/>
    <mergeCell ref="AF32:AF34"/>
    <mergeCell ref="O32:O34"/>
    <mergeCell ref="P32:P34"/>
    <mergeCell ref="S32:S34"/>
    <mergeCell ref="T32:T34"/>
    <mergeCell ref="U32:U34"/>
    <mergeCell ref="V32:V34"/>
    <mergeCell ref="G32:G34"/>
    <mergeCell ref="H32:H34"/>
    <mergeCell ref="I32:I34"/>
    <mergeCell ref="J32:J34"/>
    <mergeCell ref="M32:M34"/>
    <mergeCell ref="N32:N34"/>
    <mergeCell ref="A47:A49"/>
    <mergeCell ref="B47:B49"/>
    <mergeCell ref="C47:C49"/>
    <mergeCell ref="D47:D49"/>
    <mergeCell ref="E47:E49"/>
    <mergeCell ref="F47:F49"/>
    <mergeCell ref="G47:G49"/>
    <mergeCell ref="A42:C42"/>
    <mergeCell ref="A43:C43"/>
    <mergeCell ref="A46:C46"/>
    <mergeCell ref="D46:F46"/>
    <mergeCell ref="G46:L46"/>
    <mergeCell ref="H47:H49"/>
    <mergeCell ref="I47:I49"/>
    <mergeCell ref="J47:J49"/>
    <mergeCell ref="M47:M49"/>
    <mergeCell ref="N47:N49"/>
    <mergeCell ref="O47:O49"/>
    <mergeCell ref="S46:X46"/>
    <mergeCell ref="Y46:AD46"/>
    <mergeCell ref="AE46:AJ46"/>
    <mergeCell ref="M46:R46"/>
    <mergeCell ref="A58:C58"/>
    <mergeCell ref="A61:C61"/>
    <mergeCell ref="D61:F61"/>
    <mergeCell ref="G61:L61"/>
    <mergeCell ref="M61:R61"/>
    <mergeCell ref="S61:X61"/>
    <mergeCell ref="AH47:AH49"/>
    <mergeCell ref="A51:C51"/>
    <mergeCell ref="A53:C53"/>
    <mergeCell ref="A54:C54"/>
    <mergeCell ref="A56:C56"/>
    <mergeCell ref="A57:C57"/>
    <mergeCell ref="Z47:Z49"/>
    <mergeCell ref="AA47:AA49"/>
    <mergeCell ref="AB47:AB49"/>
    <mergeCell ref="AE47:AE49"/>
    <mergeCell ref="AF47:AF49"/>
    <mergeCell ref="AG47:AG49"/>
    <mergeCell ref="P47:P49"/>
    <mergeCell ref="S47:S49"/>
    <mergeCell ref="T47:T49"/>
    <mergeCell ref="U47:U49"/>
    <mergeCell ref="V47:V49"/>
    <mergeCell ref="Y47:Y49"/>
    <mergeCell ref="Y61:AD61"/>
    <mergeCell ref="AE61:AJ61"/>
    <mergeCell ref="AG62:AG64"/>
    <mergeCell ref="AH62:AH64"/>
    <mergeCell ref="S62:S64"/>
    <mergeCell ref="T62:T64"/>
    <mergeCell ref="U62:U64"/>
    <mergeCell ref="V62:V64"/>
    <mergeCell ref="Y62:Y64"/>
    <mergeCell ref="Z62:Z64"/>
    <mergeCell ref="A66:C66"/>
    <mergeCell ref="A62:A64"/>
    <mergeCell ref="B62:B64"/>
    <mergeCell ref="C62:C64"/>
    <mergeCell ref="D62:D64"/>
    <mergeCell ref="E62:E64"/>
    <mergeCell ref="F62:F64"/>
    <mergeCell ref="G62:G64"/>
    <mergeCell ref="H62:H64"/>
    <mergeCell ref="AF62:AF64"/>
    <mergeCell ref="A68:C68"/>
    <mergeCell ref="A69:C69"/>
    <mergeCell ref="A71:C71"/>
    <mergeCell ref="A72:C72"/>
    <mergeCell ref="A73:C73"/>
    <mergeCell ref="AA62:AA64"/>
    <mergeCell ref="AB62:AB64"/>
    <mergeCell ref="AE62:AE64"/>
    <mergeCell ref="I62:I64"/>
    <mergeCell ref="J62:J64"/>
    <mergeCell ref="M62:M64"/>
    <mergeCell ref="N62:N64"/>
    <mergeCell ref="O62:O64"/>
    <mergeCell ref="P62:P64"/>
    <mergeCell ref="AE76:AJ76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A76:C76"/>
    <mergeCell ref="D76:F76"/>
    <mergeCell ref="G76:L76"/>
    <mergeCell ref="M76:R76"/>
    <mergeCell ref="S76:X76"/>
    <mergeCell ref="Y76:AD76"/>
    <mergeCell ref="AB77:AB79"/>
    <mergeCell ref="AE77:AE79"/>
    <mergeCell ref="AF77:AF79"/>
    <mergeCell ref="AG77:AG79"/>
    <mergeCell ref="AH77:AH79"/>
    <mergeCell ref="A81:C81"/>
    <mergeCell ref="T77:T79"/>
    <mergeCell ref="U77:U79"/>
    <mergeCell ref="V77:V79"/>
    <mergeCell ref="Y77:Y79"/>
    <mergeCell ref="Z77:Z79"/>
    <mergeCell ref="AA77:AA79"/>
    <mergeCell ref="J77:J79"/>
    <mergeCell ref="M77:M79"/>
    <mergeCell ref="N77:N79"/>
    <mergeCell ref="O77:O79"/>
    <mergeCell ref="P77:P79"/>
    <mergeCell ref="S77:S79"/>
    <mergeCell ref="S91:X91"/>
    <mergeCell ref="Y91:AD91"/>
    <mergeCell ref="AE91:AJ91"/>
    <mergeCell ref="A83:C83"/>
    <mergeCell ref="A84:C84"/>
    <mergeCell ref="A86:C86"/>
    <mergeCell ref="A87:C87"/>
    <mergeCell ref="A88:C88"/>
    <mergeCell ref="A91:C91"/>
    <mergeCell ref="A92:A94"/>
    <mergeCell ref="B92:B94"/>
    <mergeCell ref="C92:C94"/>
    <mergeCell ref="D92:D94"/>
    <mergeCell ref="E92:E94"/>
    <mergeCell ref="F92:F94"/>
    <mergeCell ref="D91:F91"/>
    <mergeCell ref="G91:L91"/>
    <mergeCell ref="M91:R91"/>
    <mergeCell ref="AG92:AG94"/>
    <mergeCell ref="AH92:AH94"/>
    <mergeCell ref="A96:C96"/>
    <mergeCell ref="A98:C98"/>
    <mergeCell ref="A99:C99"/>
    <mergeCell ref="A101:C101"/>
    <mergeCell ref="Y92:Y94"/>
    <mergeCell ref="Z92:Z94"/>
    <mergeCell ref="AA92:AA94"/>
    <mergeCell ref="AB92:AB94"/>
    <mergeCell ref="AE92:AE94"/>
    <mergeCell ref="AF92:AF94"/>
    <mergeCell ref="O92:O94"/>
    <mergeCell ref="P92:P94"/>
    <mergeCell ref="S92:S94"/>
    <mergeCell ref="T92:T94"/>
    <mergeCell ref="U92:U94"/>
    <mergeCell ref="V92:V94"/>
    <mergeCell ref="G92:G94"/>
    <mergeCell ref="H92:H94"/>
    <mergeCell ref="I92:I94"/>
    <mergeCell ref="J92:J94"/>
    <mergeCell ref="M92:M94"/>
    <mergeCell ref="N92:N94"/>
    <mergeCell ref="A107:A109"/>
    <mergeCell ref="B107:B109"/>
    <mergeCell ref="C107:C109"/>
    <mergeCell ref="D107:D109"/>
    <mergeCell ref="E107:E109"/>
    <mergeCell ref="F107:F109"/>
    <mergeCell ref="G107:G109"/>
    <mergeCell ref="A102:C102"/>
    <mergeCell ref="A103:C103"/>
    <mergeCell ref="A106:C106"/>
    <mergeCell ref="D106:F106"/>
    <mergeCell ref="G106:L106"/>
    <mergeCell ref="H107:H109"/>
    <mergeCell ref="I107:I109"/>
    <mergeCell ref="J107:J109"/>
    <mergeCell ref="M107:M109"/>
    <mergeCell ref="N107:N109"/>
    <mergeCell ref="O107:O109"/>
    <mergeCell ref="S106:X106"/>
    <mergeCell ref="Y106:AD106"/>
    <mergeCell ref="AE106:AJ106"/>
    <mergeCell ref="M106:R106"/>
    <mergeCell ref="A118:C118"/>
    <mergeCell ref="A121:C121"/>
    <mergeCell ref="D121:F121"/>
    <mergeCell ref="G121:L121"/>
    <mergeCell ref="M121:R121"/>
    <mergeCell ref="S121:X121"/>
    <mergeCell ref="AH107:AH109"/>
    <mergeCell ref="A111:C111"/>
    <mergeCell ref="A113:C113"/>
    <mergeCell ref="A114:C114"/>
    <mergeCell ref="A116:C116"/>
    <mergeCell ref="A117:C117"/>
    <mergeCell ref="Z107:Z109"/>
    <mergeCell ref="AA107:AA109"/>
    <mergeCell ref="AB107:AB109"/>
    <mergeCell ref="AE107:AE109"/>
    <mergeCell ref="AF107:AF109"/>
    <mergeCell ref="AG107:AG109"/>
    <mergeCell ref="P107:P109"/>
    <mergeCell ref="S107:S109"/>
    <mergeCell ref="T107:T109"/>
    <mergeCell ref="U107:U109"/>
    <mergeCell ref="V107:V109"/>
    <mergeCell ref="Y107:Y109"/>
    <mergeCell ref="Y121:AD121"/>
    <mergeCell ref="AE121:AJ121"/>
    <mergeCell ref="AG122:AG124"/>
    <mergeCell ref="AH122:AH124"/>
    <mergeCell ref="S122:S124"/>
    <mergeCell ref="T122:T124"/>
    <mergeCell ref="U122:U124"/>
    <mergeCell ref="V122:V124"/>
    <mergeCell ref="Y122:Y124"/>
    <mergeCell ref="Z122:Z124"/>
    <mergeCell ref="A126:C126"/>
    <mergeCell ref="A122:A124"/>
    <mergeCell ref="B122:B124"/>
    <mergeCell ref="C122:C124"/>
    <mergeCell ref="D122:D124"/>
    <mergeCell ref="E122:E124"/>
    <mergeCell ref="F122:F124"/>
    <mergeCell ref="G122:G124"/>
    <mergeCell ref="H122:H124"/>
    <mergeCell ref="AF122:AF124"/>
    <mergeCell ref="A128:C128"/>
    <mergeCell ref="A129:C129"/>
    <mergeCell ref="A131:C131"/>
    <mergeCell ref="A132:C132"/>
    <mergeCell ref="A133:C133"/>
    <mergeCell ref="AA122:AA124"/>
    <mergeCell ref="AB122:AB124"/>
    <mergeCell ref="AE122:AE124"/>
    <mergeCell ref="I122:I124"/>
    <mergeCell ref="J122:J124"/>
    <mergeCell ref="M122:M124"/>
    <mergeCell ref="N122:N124"/>
    <mergeCell ref="O122:O124"/>
    <mergeCell ref="P122:P124"/>
    <mergeCell ref="AE136:AJ136"/>
    <mergeCell ref="A137:A139"/>
    <mergeCell ref="B137:B139"/>
    <mergeCell ref="C137:C139"/>
    <mergeCell ref="D137:D139"/>
    <mergeCell ref="E137:E139"/>
    <mergeCell ref="F137:F139"/>
    <mergeCell ref="G137:G139"/>
    <mergeCell ref="H137:H139"/>
    <mergeCell ref="I137:I139"/>
    <mergeCell ref="A136:C136"/>
    <mergeCell ref="D136:F136"/>
    <mergeCell ref="G136:L136"/>
    <mergeCell ref="M136:R136"/>
    <mergeCell ref="S136:X136"/>
    <mergeCell ref="Y136:AD136"/>
    <mergeCell ref="AH137:AH139"/>
    <mergeCell ref="A143:C143"/>
    <mergeCell ref="A144:C144"/>
    <mergeCell ref="A146:C146"/>
    <mergeCell ref="A147:C147"/>
    <mergeCell ref="A148:C148"/>
    <mergeCell ref="AB137:AB139"/>
    <mergeCell ref="AE137:AE139"/>
    <mergeCell ref="AF137:AF139"/>
    <mergeCell ref="AG137:AG139"/>
    <mergeCell ref="A141:C141"/>
    <mergeCell ref="T137:T139"/>
    <mergeCell ref="U137:U139"/>
    <mergeCell ref="V137:V139"/>
    <mergeCell ref="Y137:Y139"/>
    <mergeCell ref="Z137:Z139"/>
    <mergeCell ref="AA137:AA139"/>
    <mergeCell ref="J137:J139"/>
    <mergeCell ref="M137:M139"/>
    <mergeCell ref="N137:N139"/>
    <mergeCell ref="O137:O139"/>
    <mergeCell ref="P137:P139"/>
    <mergeCell ref="S137:S13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2015-06-05T18:17:20Z</dcterms:created>
  <dcterms:modified xsi:type="dcterms:W3CDTF">2021-11-24T10:44:25Z</dcterms:modified>
</cp:coreProperties>
</file>