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C1\Pictures\Gigas_Eras - O (testActive)\"/>
    </mc:Choice>
  </mc:AlternateContent>
  <xr:revisionPtr revIDLastSave="0" documentId="13_ncr:1_{89A7CD02-2FD8-4FCA-81D4-ED44279576F4}" xr6:coauthVersionLast="45" xr6:coauthVersionMax="45" xr10:uidLastSave="{00000000-0000-0000-0000-000000000000}"/>
  <bookViews>
    <workbookView xWindow="11400" yWindow="264" windowWidth="11640" windowHeight="12096" firstSheet="3" activeTab="5" xr2:uid="{00000000-000D-0000-FFFF-FFFF00000000}"/>
  </bookViews>
  <sheets>
    <sheet name="Utilities" sheetId="1" r:id="rId1"/>
    <sheet name="Regenning" sheetId="3" r:id="rId2"/>
    <sheet name="Resilient" sheetId="4" r:id="rId3"/>
    <sheet name="Gigas" sheetId="2" r:id="rId4"/>
    <sheet name="Gigas - Regen" sheetId="5" r:id="rId5"/>
    <sheet name="Gigas - Resilien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5" i="6" l="1"/>
  <c r="M35" i="6"/>
  <c r="M36" i="6" s="1"/>
  <c r="L32" i="6"/>
  <c r="L33" i="6" s="1"/>
  <c r="L29" i="6"/>
  <c r="L30" i="6" s="1"/>
  <c r="L26" i="6"/>
  <c r="L27" i="6"/>
  <c r="L23" i="6"/>
  <c r="M23" i="6" s="1"/>
  <c r="M24" i="6" s="1"/>
  <c r="L20" i="6"/>
  <c r="L17" i="6"/>
  <c r="L18" i="6" s="1"/>
  <c r="L14" i="6"/>
  <c r="L11" i="6"/>
  <c r="L8" i="6"/>
  <c r="L9" i="6" s="1"/>
  <c r="L21" i="6"/>
  <c r="L15" i="6"/>
  <c r="M12" i="6"/>
  <c r="L12" i="6"/>
  <c r="L20" i="5"/>
  <c r="K20" i="5" s="1"/>
  <c r="K21" i="5" s="1"/>
  <c r="L17" i="5"/>
  <c r="L18" i="5" s="1"/>
  <c r="L14" i="5"/>
  <c r="L15" i="5" s="1"/>
  <c r="L11" i="5"/>
  <c r="K11" i="5" s="1"/>
  <c r="K12" i="5" s="1"/>
  <c r="L8" i="5"/>
  <c r="L9" i="5" s="1"/>
  <c r="L35" i="5"/>
  <c r="K35" i="5" s="1"/>
  <c r="K36" i="5" s="1"/>
  <c r="L32" i="5"/>
  <c r="L33" i="5" s="1"/>
  <c r="L29" i="5"/>
  <c r="L30" i="5" s="1"/>
  <c r="L26" i="5"/>
  <c r="L27" i="5" s="1"/>
  <c r="L23" i="5"/>
  <c r="L24" i="5" s="1"/>
  <c r="K8" i="5"/>
  <c r="K9" i="5" s="1"/>
  <c r="E36" i="6"/>
  <c r="F36" i="6" s="1"/>
  <c r="G36" i="6" s="1"/>
  <c r="C36" i="6"/>
  <c r="B36" i="6" s="1"/>
  <c r="E35" i="6"/>
  <c r="F35" i="6" s="1"/>
  <c r="G35" i="6" s="1"/>
  <c r="C35" i="6"/>
  <c r="B35" i="6"/>
  <c r="E33" i="6"/>
  <c r="F33" i="6" s="1"/>
  <c r="G33" i="6" s="1"/>
  <c r="C33" i="6"/>
  <c r="B33" i="6" s="1"/>
  <c r="E32" i="6"/>
  <c r="F32" i="6" s="1"/>
  <c r="G32" i="6" s="1"/>
  <c r="C32" i="6"/>
  <c r="B32" i="6"/>
  <c r="E30" i="6"/>
  <c r="F30" i="6" s="1"/>
  <c r="G30" i="6" s="1"/>
  <c r="C30" i="6"/>
  <c r="B30" i="6" s="1"/>
  <c r="E29" i="6"/>
  <c r="F29" i="6" s="1"/>
  <c r="G29" i="6" s="1"/>
  <c r="C29" i="6"/>
  <c r="B29" i="6"/>
  <c r="E27" i="6"/>
  <c r="F27" i="6" s="1"/>
  <c r="G27" i="6" s="1"/>
  <c r="C27" i="6"/>
  <c r="B27" i="6" s="1"/>
  <c r="M26" i="6"/>
  <c r="M27" i="6" s="1"/>
  <c r="E26" i="6"/>
  <c r="F26" i="6" s="1"/>
  <c r="G26" i="6" s="1"/>
  <c r="C26" i="6"/>
  <c r="B26" i="6"/>
  <c r="E24" i="6"/>
  <c r="F24" i="6" s="1"/>
  <c r="G24" i="6" s="1"/>
  <c r="C24" i="6"/>
  <c r="B24" i="6"/>
  <c r="E23" i="6"/>
  <c r="F23" i="6" s="1"/>
  <c r="G23" i="6" s="1"/>
  <c r="C23" i="6"/>
  <c r="B23" i="6"/>
  <c r="E21" i="6"/>
  <c r="F21" i="6" s="1"/>
  <c r="G21" i="6" s="1"/>
  <c r="C21" i="6"/>
  <c r="B21" i="6"/>
  <c r="M20" i="6"/>
  <c r="M21" i="6" s="1"/>
  <c r="E20" i="6"/>
  <c r="F20" i="6" s="1"/>
  <c r="G20" i="6" s="1"/>
  <c r="C20" i="6"/>
  <c r="B20" i="6"/>
  <c r="E18" i="6"/>
  <c r="F18" i="6" s="1"/>
  <c r="G18" i="6" s="1"/>
  <c r="C18" i="6"/>
  <c r="B18" i="6"/>
  <c r="E17" i="6"/>
  <c r="F17" i="6" s="1"/>
  <c r="G17" i="6" s="1"/>
  <c r="C17" i="6"/>
  <c r="B17" i="6"/>
  <c r="E15" i="6"/>
  <c r="F15" i="6" s="1"/>
  <c r="G15" i="6" s="1"/>
  <c r="C15" i="6"/>
  <c r="B15" i="6"/>
  <c r="M14" i="6"/>
  <c r="M15" i="6" s="1"/>
  <c r="E14" i="6"/>
  <c r="F14" i="6" s="1"/>
  <c r="G14" i="6" s="1"/>
  <c r="C14" i="6"/>
  <c r="B14" i="6"/>
  <c r="E12" i="6"/>
  <c r="F12" i="6" s="1"/>
  <c r="G12" i="6" s="1"/>
  <c r="C12" i="6"/>
  <c r="B12" i="6"/>
  <c r="M11" i="6"/>
  <c r="E11" i="6"/>
  <c r="F11" i="6" s="1"/>
  <c r="G11" i="6" s="1"/>
  <c r="C11" i="6"/>
  <c r="B11" i="6"/>
  <c r="E9" i="6"/>
  <c r="F9" i="6" s="1"/>
  <c r="G9" i="6" s="1"/>
  <c r="C9" i="6"/>
  <c r="B9" i="6"/>
  <c r="M8" i="6"/>
  <c r="M9" i="6" s="1"/>
  <c r="E8" i="6"/>
  <c r="F8" i="6" s="1"/>
  <c r="G8" i="6" s="1"/>
  <c r="C8" i="6"/>
  <c r="B8" i="6"/>
  <c r="E6" i="6"/>
  <c r="F6" i="6" s="1"/>
  <c r="G6" i="6" s="1"/>
  <c r="K6" i="6" s="1"/>
  <c r="L6" i="6" s="1"/>
  <c r="M6" i="6" s="1"/>
  <c r="N6" i="6" s="1"/>
  <c r="Q6" i="6" s="1"/>
  <c r="O6" i="6" s="1"/>
  <c r="P6" i="6" s="1"/>
  <c r="D6" i="6"/>
  <c r="C6" i="6"/>
  <c r="B6" i="6" s="1"/>
  <c r="D5" i="6"/>
  <c r="C5" i="6" s="1"/>
  <c r="B5" i="6" s="1"/>
  <c r="E4" i="6"/>
  <c r="F4" i="6" s="1"/>
  <c r="G4" i="6" s="1"/>
  <c r="K4" i="6" s="1"/>
  <c r="L4" i="6" s="1"/>
  <c r="M4" i="6" s="1"/>
  <c r="N4" i="6" s="1"/>
  <c r="Q4" i="6" s="1"/>
  <c r="O4" i="6" s="1"/>
  <c r="P4" i="6" s="1"/>
  <c r="C4" i="6"/>
  <c r="B4" i="6"/>
  <c r="E36" i="5"/>
  <c r="F36" i="5" s="1"/>
  <c r="G36" i="5" s="1"/>
  <c r="C36" i="5"/>
  <c r="B36" i="5" s="1"/>
  <c r="E35" i="5"/>
  <c r="F35" i="5" s="1"/>
  <c r="G35" i="5" s="1"/>
  <c r="C35" i="5"/>
  <c r="B35" i="5" s="1"/>
  <c r="E33" i="5"/>
  <c r="F33" i="5" s="1"/>
  <c r="G33" i="5" s="1"/>
  <c r="C33" i="5"/>
  <c r="B33" i="5" s="1"/>
  <c r="E32" i="5"/>
  <c r="F32" i="5" s="1"/>
  <c r="G32" i="5" s="1"/>
  <c r="C32" i="5"/>
  <c r="B32" i="5" s="1"/>
  <c r="E30" i="5"/>
  <c r="F30" i="5" s="1"/>
  <c r="G30" i="5" s="1"/>
  <c r="C30" i="5"/>
  <c r="B30" i="5" s="1"/>
  <c r="E29" i="5"/>
  <c r="F29" i="5" s="1"/>
  <c r="G29" i="5" s="1"/>
  <c r="C29" i="5"/>
  <c r="B29" i="5" s="1"/>
  <c r="E27" i="5"/>
  <c r="F27" i="5" s="1"/>
  <c r="G27" i="5" s="1"/>
  <c r="C27" i="5"/>
  <c r="B27" i="5" s="1"/>
  <c r="E26" i="5"/>
  <c r="F26" i="5" s="1"/>
  <c r="G26" i="5" s="1"/>
  <c r="C26" i="5"/>
  <c r="B26" i="5"/>
  <c r="E24" i="5"/>
  <c r="F24" i="5" s="1"/>
  <c r="G24" i="5" s="1"/>
  <c r="C24" i="5"/>
  <c r="B24" i="5" s="1"/>
  <c r="E23" i="5"/>
  <c r="F23" i="5" s="1"/>
  <c r="G23" i="5" s="1"/>
  <c r="C23" i="5"/>
  <c r="B23" i="5" s="1"/>
  <c r="E21" i="5"/>
  <c r="F21" i="5" s="1"/>
  <c r="G21" i="5" s="1"/>
  <c r="C21" i="5"/>
  <c r="B21" i="5" s="1"/>
  <c r="E20" i="5"/>
  <c r="F20" i="5" s="1"/>
  <c r="G20" i="5" s="1"/>
  <c r="C20" i="5"/>
  <c r="B20" i="5" s="1"/>
  <c r="E18" i="5"/>
  <c r="F18" i="5" s="1"/>
  <c r="G18" i="5" s="1"/>
  <c r="C18" i="5"/>
  <c r="B18" i="5" s="1"/>
  <c r="E17" i="5"/>
  <c r="F17" i="5" s="1"/>
  <c r="G17" i="5" s="1"/>
  <c r="C17" i="5"/>
  <c r="B17" i="5" s="1"/>
  <c r="E15" i="5"/>
  <c r="F15" i="5" s="1"/>
  <c r="G15" i="5" s="1"/>
  <c r="C15" i="5"/>
  <c r="B15" i="5" s="1"/>
  <c r="E14" i="5"/>
  <c r="F14" i="5" s="1"/>
  <c r="G14" i="5" s="1"/>
  <c r="C14" i="5"/>
  <c r="B14" i="5" s="1"/>
  <c r="E12" i="5"/>
  <c r="F12" i="5" s="1"/>
  <c r="G12" i="5" s="1"/>
  <c r="C12" i="5"/>
  <c r="B12" i="5" s="1"/>
  <c r="E11" i="5"/>
  <c r="F11" i="5" s="1"/>
  <c r="G11" i="5" s="1"/>
  <c r="C11" i="5"/>
  <c r="B11" i="5" s="1"/>
  <c r="E9" i="5"/>
  <c r="F9" i="5" s="1"/>
  <c r="G9" i="5" s="1"/>
  <c r="C9" i="5"/>
  <c r="B9" i="5" s="1"/>
  <c r="E8" i="5"/>
  <c r="F8" i="5" s="1"/>
  <c r="G8" i="5" s="1"/>
  <c r="C8" i="5"/>
  <c r="B8" i="5" s="1"/>
  <c r="D6" i="5"/>
  <c r="C6" i="5" s="1"/>
  <c r="B6" i="5" s="1"/>
  <c r="D5" i="5"/>
  <c r="E5" i="5" s="1"/>
  <c r="F5" i="5" s="1"/>
  <c r="G5" i="5" s="1"/>
  <c r="K5" i="5" s="1"/>
  <c r="L5" i="5" s="1"/>
  <c r="M5" i="5" s="1"/>
  <c r="N5" i="5" s="1"/>
  <c r="O5" i="5" s="1"/>
  <c r="P5" i="5" s="1"/>
  <c r="Q5" i="5" s="1"/>
  <c r="E4" i="5"/>
  <c r="F4" i="5" s="1"/>
  <c r="G4" i="5" s="1"/>
  <c r="K4" i="5" s="1"/>
  <c r="L4" i="5" s="1"/>
  <c r="M4" i="5" s="1"/>
  <c r="N4" i="5" s="1"/>
  <c r="O4" i="5" s="1"/>
  <c r="P4" i="5" s="1"/>
  <c r="Q4" i="5" s="1"/>
  <c r="C4" i="5"/>
  <c r="B4" i="5" s="1"/>
  <c r="M48" i="2"/>
  <c r="N48" i="2"/>
  <c r="K51" i="2"/>
  <c r="K48" i="2"/>
  <c r="K45" i="2"/>
  <c r="K42" i="2"/>
  <c r="K39" i="2"/>
  <c r="K36" i="2"/>
  <c r="K33" i="2"/>
  <c r="K30" i="2"/>
  <c r="K27" i="2"/>
  <c r="K24" i="2"/>
  <c r="G10" i="4"/>
  <c r="L10" i="4"/>
  <c r="O10" i="4"/>
  <c r="G17" i="4"/>
  <c r="L17" i="4"/>
  <c r="O17" i="4"/>
  <c r="G24" i="4"/>
  <c r="L24" i="4"/>
  <c r="O24" i="4"/>
  <c r="G11" i="3"/>
  <c r="L11" i="3"/>
  <c r="O11" i="3"/>
  <c r="O25" i="3"/>
  <c r="L25" i="3"/>
  <c r="G25" i="3"/>
  <c r="G26" i="3"/>
  <c r="F26" i="3" s="1"/>
  <c r="E26" i="3" s="1"/>
  <c r="O18" i="3"/>
  <c r="L18" i="3"/>
  <c r="G18" i="3"/>
  <c r="G21" i="4"/>
  <c r="G22" i="4" s="1"/>
  <c r="G14" i="4"/>
  <c r="G16" i="4" s="1"/>
  <c r="F16" i="4" s="1"/>
  <c r="E16" i="4" s="1"/>
  <c r="G7" i="4"/>
  <c r="G5" i="4"/>
  <c r="H5" i="4" s="1"/>
  <c r="I5" i="4" s="1"/>
  <c r="J5" i="4" s="1"/>
  <c r="K5" i="4" s="1"/>
  <c r="L5" i="4" s="1"/>
  <c r="M5" i="4" s="1"/>
  <c r="N5" i="4" s="1"/>
  <c r="Q5" i="4" s="1"/>
  <c r="O5" i="4" s="1"/>
  <c r="P5" i="4" s="1"/>
  <c r="I4" i="4"/>
  <c r="J4" i="4" s="1"/>
  <c r="K4" i="4" s="1"/>
  <c r="L4" i="4" s="1"/>
  <c r="M4" i="4" s="1"/>
  <c r="N4" i="4" s="1"/>
  <c r="Q4" i="4" s="1"/>
  <c r="O4" i="4" s="1"/>
  <c r="P4" i="4" s="1"/>
  <c r="H4" i="4"/>
  <c r="G4" i="4"/>
  <c r="F4" i="4" s="1"/>
  <c r="E4" i="4" s="1"/>
  <c r="I3" i="4"/>
  <c r="J3" i="4" s="1"/>
  <c r="K3" i="4" s="1"/>
  <c r="L3" i="4" s="1"/>
  <c r="M3" i="4" s="1"/>
  <c r="N3" i="4" s="1"/>
  <c r="Q3" i="4" s="1"/>
  <c r="O3" i="4" s="1"/>
  <c r="P3" i="4" s="1"/>
  <c r="H3" i="4"/>
  <c r="F3" i="4"/>
  <c r="E3" i="4"/>
  <c r="G8" i="3"/>
  <c r="H8" i="3" s="1"/>
  <c r="I8" i="3" s="1"/>
  <c r="J8" i="3" s="1"/>
  <c r="K8" i="3" s="1"/>
  <c r="L8" i="3" s="1"/>
  <c r="G22" i="3"/>
  <c r="G24" i="3"/>
  <c r="F24" i="3" s="1"/>
  <c r="E24" i="3" s="1"/>
  <c r="G23" i="3"/>
  <c r="H23" i="3" s="1"/>
  <c r="I23" i="3" s="1"/>
  <c r="J23" i="3" s="1"/>
  <c r="K23" i="3" s="1"/>
  <c r="L23" i="3" s="1"/>
  <c r="M23" i="3" s="1"/>
  <c r="N23" i="3" s="1"/>
  <c r="Q23" i="3" s="1"/>
  <c r="O23" i="3" s="1"/>
  <c r="P23" i="3" s="1"/>
  <c r="F23" i="3"/>
  <c r="E23" i="3" s="1"/>
  <c r="I22" i="3"/>
  <c r="J22" i="3" s="1"/>
  <c r="K22" i="3" s="1"/>
  <c r="L22" i="3" s="1"/>
  <c r="H22" i="3"/>
  <c r="F22" i="3"/>
  <c r="E22" i="3"/>
  <c r="O11" i="1"/>
  <c r="L11" i="1"/>
  <c r="G11" i="1"/>
  <c r="G25" i="1"/>
  <c r="L25" i="1"/>
  <c r="O25" i="1"/>
  <c r="G15" i="3"/>
  <c r="G6" i="3"/>
  <c r="H6" i="3" s="1"/>
  <c r="I6" i="3" s="1"/>
  <c r="J6" i="3" s="1"/>
  <c r="K6" i="3" s="1"/>
  <c r="L6" i="3" s="1"/>
  <c r="M6" i="3" s="1"/>
  <c r="N6" i="3" s="1"/>
  <c r="Q6" i="3" s="1"/>
  <c r="O6" i="3" s="1"/>
  <c r="P6" i="3" s="1"/>
  <c r="H5" i="3"/>
  <c r="I5" i="3" s="1"/>
  <c r="J5" i="3" s="1"/>
  <c r="K5" i="3" s="1"/>
  <c r="L5" i="3" s="1"/>
  <c r="M5" i="3" s="1"/>
  <c r="N5" i="3" s="1"/>
  <c r="Q5" i="3" s="1"/>
  <c r="O5" i="3" s="1"/>
  <c r="P5" i="3" s="1"/>
  <c r="G5" i="3"/>
  <c r="F5" i="3"/>
  <c r="E5" i="3" s="1"/>
  <c r="I4" i="3"/>
  <c r="J4" i="3" s="1"/>
  <c r="K4" i="3" s="1"/>
  <c r="L4" i="3" s="1"/>
  <c r="M4" i="3" s="1"/>
  <c r="N4" i="3" s="1"/>
  <c r="Q4" i="3" s="1"/>
  <c r="O4" i="3" s="1"/>
  <c r="P4" i="3" s="1"/>
  <c r="H4" i="3"/>
  <c r="F4" i="3"/>
  <c r="E4" i="3" s="1"/>
  <c r="G18" i="1"/>
  <c r="L18" i="1"/>
  <c r="L36" i="6" l="1"/>
  <c r="M32" i="6"/>
  <c r="M33" i="6" s="1"/>
  <c r="M29" i="6"/>
  <c r="M30" i="6" s="1"/>
  <c r="L24" i="6"/>
  <c r="M17" i="6"/>
  <c r="M18" i="6" s="1"/>
  <c r="L21" i="5"/>
  <c r="C5" i="5"/>
  <c r="B5" i="5" s="1"/>
  <c r="L36" i="5"/>
  <c r="L12" i="5"/>
  <c r="K26" i="5"/>
  <c r="K27" i="5" s="1"/>
  <c r="K32" i="5"/>
  <c r="K33" i="5" s="1"/>
  <c r="K14" i="5"/>
  <c r="K15" i="5" s="1"/>
  <c r="M8" i="5"/>
  <c r="M9" i="5" s="1"/>
  <c r="K23" i="5"/>
  <c r="K24" i="5" s="1"/>
  <c r="N11" i="6"/>
  <c r="N12" i="6" s="1"/>
  <c r="N8" i="6"/>
  <c r="N9" i="6" s="1"/>
  <c r="N23" i="6"/>
  <c r="N24" i="6" s="1"/>
  <c r="N14" i="6"/>
  <c r="N15" i="6" s="1"/>
  <c r="N26" i="6"/>
  <c r="N27" i="6" s="1"/>
  <c r="N20" i="6"/>
  <c r="N21" i="6" s="1"/>
  <c r="N35" i="6"/>
  <c r="N36" i="6" s="1"/>
  <c r="E5" i="6"/>
  <c r="F5" i="6" s="1"/>
  <c r="G5" i="6" s="1"/>
  <c r="K5" i="6" s="1"/>
  <c r="L5" i="6" s="1"/>
  <c r="M5" i="6" s="1"/>
  <c r="N5" i="6" s="1"/>
  <c r="Q5" i="6" s="1"/>
  <c r="O5" i="6" s="1"/>
  <c r="P5" i="6" s="1"/>
  <c r="K8" i="6"/>
  <c r="K9" i="6" s="1"/>
  <c r="K11" i="6"/>
  <c r="K12" i="6" s="1"/>
  <c r="K14" i="6"/>
  <c r="K15" i="6" s="1"/>
  <c r="K17" i="6"/>
  <c r="K18" i="6" s="1"/>
  <c r="K20" i="6"/>
  <c r="K21" i="6" s="1"/>
  <c r="K23" i="6"/>
  <c r="K24" i="6" s="1"/>
  <c r="K26" i="6"/>
  <c r="K27" i="6" s="1"/>
  <c r="K29" i="6"/>
  <c r="K30" i="6" s="1"/>
  <c r="K32" i="6"/>
  <c r="K33" i="6" s="1"/>
  <c r="K35" i="6"/>
  <c r="K36" i="6" s="1"/>
  <c r="K29" i="5"/>
  <c r="K30" i="5" s="1"/>
  <c r="K17" i="5"/>
  <c r="K18" i="5" s="1"/>
  <c r="E6" i="5"/>
  <c r="F6" i="5" s="1"/>
  <c r="G6" i="5" s="1"/>
  <c r="K6" i="5" s="1"/>
  <c r="L6" i="5" s="1"/>
  <c r="M6" i="5" s="1"/>
  <c r="N6" i="5" s="1"/>
  <c r="O6" i="5" s="1"/>
  <c r="P6" i="5" s="1"/>
  <c r="Q6" i="5" s="1"/>
  <c r="M14" i="5"/>
  <c r="M15" i="5" s="1"/>
  <c r="M17" i="5"/>
  <c r="M18" i="5" s="1"/>
  <c r="M35" i="5"/>
  <c r="M36" i="5" s="1"/>
  <c r="M11" i="5"/>
  <c r="M12" i="5" s="1"/>
  <c r="M29" i="5"/>
  <c r="M30" i="5" s="1"/>
  <c r="M32" i="5"/>
  <c r="M33" i="5" s="1"/>
  <c r="M20" i="5"/>
  <c r="M21" i="5" s="1"/>
  <c r="M23" i="5"/>
  <c r="M24" i="5" s="1"/>
  <c r="M26" i="5"/>
  <c r="M27" i="5" s="1"/>
  <c r="F25" i="3"/>
  <c r="E25" i="3" s="1"/>
  <c r="G27" i="3"/>
  <c r="H27" i="3" s="1"/>
  <c r="I27" i="3" s="1"/>
  <c r="J27" i="3" s="1"/>
  <c r="K27" i="3" s="1"/>
  <c r="H22" i="4"/>
  <c r="I22" i="4" s="1"/>
  <c r="J22" i="4" s="1"/>
  <c r="K22" i="4" s="1"/>
  <c r="L22" i="4" s="1"/>
  <c r="M22" i="4" s="1"/>
  <c r="N22" i="4" s="1"/>
  <c r="Q22" i="4" s="1"/>
  <c r="O22" i="4" s="1"/>
  <c r="P22" i="4" s="1"/>
  <c r="F22" i="4"/>
  <c r="E22" i="4" s="1"/>
  <c r="F24" i="4"/>
  <c r="E24" i="4" s="1"/>
  <c r="F21" i="4"/>
  <c r="E21" i="4" s="1"/>
  <c r="G23" i="4"/>
  <c r="H17" i="4"/>
  <c r="I17" i="4" s="1"/>
  <c r="J17" i="4" s="1"/>
  <c r="K17" i="4" s="1"/>
  <c r="H14" i="4"/>
  <c r="I14" i="4" s="1"/>
  <c r="J14" i="4" s="1"/>
  <c r="K14" i="4" s="1"/>
  <c r="L14" i="4" s="1"/>
  <c r="G15" i="4"/>
  <c r="H15" i="4" s="1"/>
  <c r="I15" i="4" s="1"/>
  <c r="J15" i="4" s="1"/>
  <c r="K15" i="4" s="1"/>
  <c r="L15" i="4" s="1"/>
  <c r="M15" i="4" s="1"/>
  <c r="N15" i="4" s="1"/>
  <c r="Q15" i="4" s="1"/>
  <c r="O15" i="4" s="1"/>
  <c r="P15" i="4" s="1"/>
  <c r="H23" i="4"/>
  <c r="I23" i="4" s="1"/>
  <c r="J23" i="4" s="1"/>
  <c r="K23" i="4" s="1"/>
  <c r="L23" i="4" s="1"/>
  <c r="M23" i="4" s="1"/>
  <c r="N23" i="4" s="1"/>
  <c r="Q23" i="4" s="1"/>
  <c r="O23" i="4" s="1"/>
  <c r="P23" i="4" s="1"/>
  <c r="F23" i="4"/>
  <c r="E23" i="4" s="1"/>
  <c r="F10" i="4"/>
  <c r="E10" i="4" s="1"/>
  <c r="G11" i="4"/>
  <c r="G12" i="4"/>
  <c r="H10" i="4"/>
  <c r="I10" i="4" s="1"/>
  <c r="J10" i="4" s="1"/>
  <c r="K10" i="4" s="1"/>
  <c r="M14" i="4"/>
  <c r="N14" i="4" s="1"/>
  <c r="Q14" i="4" s="1"/>
  <c r="O14" i="4" s="1"/>
  <c r="F5" i="4"/>
  <c r="E5" i="4" s="1"/>
  <c r="G9" i="4"/>
  <c r="F15" i="4"/>
  <c r="E15" i="4" s="1"/>
  <c r="H16" i="4"/>
  <c r="I16" i="4" s="1"/>
  <c r="J16" i="4" s="1"/>
  <c r="K16" i="4" s="1"/>
  <c r="L16" i="4" s="1"/>
  <c r="M16" i="4" s="1"/>
  <c r="N16" i="4" s="1"/>
  <c r="Q16" i="4" s="1"/>
  <c r="O16" i="4" s="1"/>
  <c r="P16" i="4" s="1"/>
  <c r="G8" i="4"/>
  <c r="F14" i="4"/>
  <c r="E14" i="4" s="1"/>
  <c r="H21" i="4"/>
  <c r="I21" i="4" s="1"/>
  <c r="J21" i="4" s="1"/>
  <c r="K21" i="4" s="1"/>
  <c r="L21" i="4" s="1"/>
  <c r="H7" i="4"/>
  <c r="I7" i="4" s="1"/>
  <c r="J7" i="4" s="1"/>
  <c r="K7" i="4" s="1"/>
  <c r="L7" i="4" s="1"/>
  <c r="F7" i="4"/>
  <c r="E7" i="4" s="1"/>
  <c r="M8" i="3"/>
  <c r="N8" i="3" s="1"/>
  <c r="Q8" i="3" s="1"/>
  <c r="O8" i="3" s="1"/>
  <c r="L13" i="3"/>
  <c r="M13" i="3" s="1"/>
  <c r="N13" i="3" s="1"/>
  <c r="Q13" i="3" s="1"/>
  <c r="F8" i="3"/>
  <c r="E8" i="3" s="1"/>
  <c r="G13" i="3"/>
  <c r="F13" i="3" s="1"/>
  <c r="E13" i="3" s="1"/>
  <c r="G9" i="3"/>
  <c r="G10" i="3"/>
  <c r="F10" i="3" s="1"/>
  <c r="E10" i="3" s="1"/>
  <c r="M11" i="3"/>
  <c r="N11" i="3" s="1"/>
  <c r="Q11" i="3" s="1"/>
  <c r="L12" i="3"/>
  <c r="M12" i="3" s="1"/>
  <c r="N12" i="3" s="1"/>
  <c r="Q12" i="3" s="1"/>
  <c r="H24" i="3"/>
  <c r="I24" i="3" s="1"/>
  <c r="J24" i="3" s="1"/>
  <c r="K24" i="3" s="1"/>
  <c r="L24" i="3" s="1"/>
  <c r="M24" i="3" s="1"/>
  <c r="N24" i="3" s="1"/>
  <c r="Q24" i="3" s="1"/>
  <c r="O24" i="3" s="1"/>
  <c r="P24" i="3" s="1"/>
  <c r="M22" i="3"/>
  <c r="N22" i="3" s="1"/>
  <c r="Q22" i="3" s="1"/>
  <c r="O22" i="3" s="1"/>
  <c r="H26" i="3"/>
  <c r="I26" i="3" s="1"/>
  <c r="J26" i="3" s="1"/>
  <c r="K26" i="3" s="1"/>
  <c r="H25" i="3"/>
  <c r="I25" i="3" s="1"/>
  <c r="J25" i="3" s="1"/>
  <c r="K25" i="3" s="1"/>
  <c r="G16" i="3"/>
  <c r="H16" i="3" s="1"/>
  <c r="I16" i="3" s="1"/>
  <c r="J16" i="3" s="1"/>
  <c r="K16" i="3" s="1"/>
  <c r="L16" i="3" s="1"/>
  <c r="M16" i="3" s="1"/>
  <c r="N16" i="3" s="1"/>
  <c r="Q16" i="3" s="1"/>
  <c r="O16" i="3" s="1"/>
  <c r="P16" i="3" s="1"/>
  <c r="F11" i="3"/>
  <c r="E11" i="3" s="1"/>
  <c r="H11" i="3"/>
  <c r="I11" i="3" s="1"/>
  <c r="J11" i="3" s="1"/>
  <c r="K11" i="3" s="1"/>
  <c r="F15" i="3"/>
  <c r="E15" i="3" s="1"/>
  <c r="H15" i="3"/>
  <c r="I15" i="3" s="1"/>
  <c r="J15" i="3" s="1"/>
  <c r="K15" i="3" s="1"/>
  <c r="L15" i="3" s="1"/>
  <c r="G17" i="3"/>
  <c r="F18" i="3"/>
  <c r="E18" i="3" s="1"/>
  <c r="P8" i="3"/>
  <c r="F6" i="3"/>
  <c r="E6" i="3" s="1"/>
  <c r="H18" i="3"/>
  <c r="I18" i="3" s="1"/>
  <c r="J18" i="3" s="1"/>
  <c r="K18" i="3" s="1"/>
  <c r="G20" i="3"/>
  <c r="L23" i="2"/>
  <c r="L26" i="2"/>
  <c r="L29" i="2"/>
  <c r="L32" i="2"/>
  <c r="L38" i="2"/>
  <c r="L41" i="2"/>
  <c r="L44" i="2"/>
  <c r="L47" i="2"/>
  <c r="N32" i="6" l="1"/>
  <c r="N33" i="6" s="1"/>
  <c r="N29" i="6"/>
  <c r="N30" i="6" s="1"/>
  <c r="N17" i="6"/>
  <c r="N18" i="6" s="1"/>
  <c r="N8" i="5"/>
  <c r="Q26" i="6"/>
  <c r="Q27" i="6" s="1"/>
  <c r="Q8" i="6"/>
  <c r="Q9" i="6" s="1"/>
  <c r="Q20" i="6"/>
  <c r="Q21" i="6" s="1"/>
  <c r="Q23" i="6"/>
  <c r="Q24" i="6" s="1"/>
  <c r="Q11" i="6"/>
  <c r="Q12" i="6" s="1"/>
  <c r="Q14" i="6"/>
  <c r="Q15" i="6" s="1"/>
  <c r="Q35" i="6"/>
  <c r="Q36" i="6" s="1"/>
  <c r="N23" i="5"/>
  <c r="N24" i="5" s="1"/>
  <c r="N20" i="5"/>
  <c r="N21" i="5" s="1"/>
  <c r="N35" i="5"/>
  <c r="N36" i="5" s="1"/>
  <c r="N17" i="5"/>
  <c r="N18" i="5" s="1"/>
  <c r="N14" i="5"/>
  <c r="N15" i="5" s="1"/>
  <c r="N32" i="5"/>
  <c r="N33" i="5" s="1"/>
  <c r="N11" i="5"/>
  <c r="N12" i="5" s="1"/>
  <c r="N26" i="5"/>
  <c r="N27" i="5" s="1"/>
  <c r="N29" i="5"/>
  <c r="N30" i="5" s="1"/>
  <c r="H13" i="3"/>
  <c r="I13" i="3" s="1"/>
  <c r="J13" i="3" s="1"/>
  <c r="K13" i="3" s="1"/>
  <c r="F27" i="3"/>
  <c r="E27" i="3" s="1"/>
  <c r="H24" i="4"/>
  <c r="I24" i="4" s="1"/>
  <c r="J24" i="4" s="1"/>
  <c r="K24" i="4" s="1"/>
  <c r="G26" i="4"/>
  <c r="G25" i="4"/>
  <c r="G18" i="4"/>
  <c r="F18" i="4" s="1"/>
  <c r="E18" i="4" s="1"/>
  <c r="F17" i="4"/>
  <c r="E17" i="4" s="1"/>
  <c r="G19" i="4"/>
  <c r="F19" i="4" s="1"/>
  <c r="E19" i="4" s="1"/>
  <c r="H9" i="4"/>
  <c r="I9" i="4" s="1"/>
  <c r="J9" i="4" s="1"/>
  <c r="K9" i="4" s="1"/>
  <c r="L9" i="4" s="1"/>
  <c r="M9" i="4" s="1"/>
  <c r="N9" i="4" s="1"/>
  <c r="Q9" i="4" s="1"/>
  <c r="O9" i="4" s="1"/>
  <c r="P9" i="4" s="1"/>
  <c r="F9" i="4"/>
  <c r="E9" i="4" s="1"/>
  <c r="F12" i="4"/>
  <c r="E12" i="4" s="1"/>
  <c r="H12" i="4"/>
  <c r="I12" i="4" s="1"/>
  <c r="J12" i="4" s="1"/>
  <c r="K12" i="4" s="1"/>
  <c r="H8" i="4"/>
  <c r="I8" i="4" s="1"/>
  <c r="J8" i="4" s="1"/>
  <c r="K8" i="4" s="1"/>
  <c r="L8" i="4" s="1"/>
  <c r="M8" i="4" s="1"/>
  <c r="N8" i="4" s="1"/>
  <c r="Q8" i="4" s="1"/>
  <c r="O8" i="4" s="1"/>
  <c r="P8" i="4" s="1"/>
  <c r="F8" i="4"/>
  <c r="E8" i="4" s="1"/>
  <c r="L18" i="4"/>
  <c r="M18" i="4" s="1"/>
  <c r="N18" i="4" s="1"/>
  <c r="Q18" i="4" s="1"/>
  <c r="M17" i="4"/>
  <c r="N17" i="4" s="1"/>
  <c r="Q17" i="4" s="1"/>
  <c r="L19" i="4"/>
  <c r="M19" i="4" s="1"/>
  <c r="N19" i="4" s="1"/>
  <c r="Q19" i="4" s="1"/>
  <c r="H11" i="4"/>
  <c r="I11" i="4" s="1"/>
  <c r="J11" i="4" s="1"/>
  <c r="K11" i="4" s="1"/>
  <c r="F11" i="4"/>
  <c r="E11" i="4" s="1"/>
  <c r="M7" i="4"/>
  <c r="N7" i="4" s="1"/>
  <c r="Q7" i="4" s="1"/>
  <c r="O7" i="4" s="1"/>
  <c r="M21" i="4"/>
  <c r="N21" i="4" s="1"/>
  <c r="Q21" i="4" s="1"/>
  <c r="O21" i="4" s="1"/>
  <c r="P14" i="4"/>
  <c r="H9" i="3"/>
  <c r="I9" i="3" s="1"/>
  <c r="J9" i="3" s="1"/>
  <c r="K9" i="3" s="1"/>
  <c r="L9" i="3" s="1"/>
  <c r="M9" i="3" s="1"/>
  <c r="N9" i="3" s="1"/>
  <c r="Q9" i="3" s="1"/>
  <c r="O9" i="3" s="1"/>
  <c r="P9" i="3" s="1"/>
  <c r="F9" i="3"/>
  <c r="E9" i="3" s="1"/>
  <c r="H10" i="3"/>
  <c r="I10" i="3" s="1"/>
  <c r="J10" i="3" s="1"/>
  <c r="K10" i="3" s="1"/>
  <c r="L10" i="3" s="1"/>
  <c r="M10" i="3" s="1"/>
  <c r="N10" i="3" s="1"/>
  <c r="Q10" i="3" s="1"/>
  <c r="O10" i="3" s="1"/>
  <c r="P10" i="3" s="1"/>
  <c r="G12" i="3"/>
  <c r="F12" i="3" s="1"/>
  <c r="E12" i="3" s="1"/>
  <c r="P22" i="3"/>
  <c r="M25" i="3"/>
  <c r="N25" i="3" s="1"/>
  <c r="Q25" i="3" s="1"/>
  <c r="L26" i="3"/>
  <c r="M26" i="3" s="1"/>
  <c r="N26" i="3" s="1"/>
  <c r="Q26" i="3" s="1"/>
  <c r="L27" i="3"/>
  <c r="M27" i="3" s="1"/>
  <c r="N27" i="3" s="1"/>
  <c r="Q27" i="3" s="1"/>
  <c r="F16" i="3"/>
  <c r="E16" i="3" s="1"/>
  <c r="M15" i="3"/>
  <c r="N15" i="3" s="1"/>
  <c r="Q15" i="3" s="1"/>
  <c r="O15" i="3" s="1"/>
  <c r="F17" i="3"/>
  <c r="E17" i="3" s="1"/>
  <c r="H17" i="3"/>
  <c r="I17" i="3" s="1"/>
  <c r="J17" i="3" s="1"/>
  <c r="K17" i="3" s="1"/>
  <c r="L17" i="3" s="1"/>
  <c r="M17" i="3" s="1"/>
  <c r="N17" i="3" s="1"/>
  <c r="Q17" i="3" s="1"/>
  <c r="O17" i="3" s="1"/>
  <c r="P17" i="3" s="1"/>
  <c r="G19" i="3"/>
  <c r="H19" i="3" s="1"/>
  <c r="I19" i="3" s="1"/>
  <c r="J19" i="3" s="1"/>
  <c r="K19" i="3" s="1"/>
  <c r="O12" i="3"/>
  <c r="P12" i="3" s="1"/>
  <c r="O13" i="3"/>
  <c r="P13" i="3" s="1"/>
  <c r="P11" i="3"/>
  <c r="H20" i="3"/>
  <c r="I20" i="3" s="1"/>
  <c r="J20" i="3" s="1"/>
  <c r="K20" i="3" s="1"/>
  <c r="F20" i="3"/>
  <c r="E20" i="3" s="1"/>
  <c r="L20" i="3"/>
  <c r="M20" i="3" s="1"/>
  <c r="N20" i="3" s="1"/>
  <c r="Q20" i="3" s="1"/>
  <c r="M18" i="3"/>
  <c r="N18" i="3" s="1"/>
  <c r="Q18" i="3" s="1"/>
  <c r="L19" i="3"/>
  <c r="M19" i="3" s="1"/>
  <c r="N19" i="3" s="1"/>
  <c r="Q19" i="3" s="1"/>
  <c r="L8" i="2"/>
  <c r="M8" i="2" s="1"/>
  <c r="K38" i="2"/>
  <c r="K23" i="2"/>
  <c r="E21" i="2"/>
  <c r="F21" i="2" s="1"/>
  <c r="G21" i="2" s="1"/>
  <c r="C21" i="2"/>
  <c r="B21" i="2" s="1"/>
  <c r="L20" i="2"/>
  <c r="K20" i="2" s="1"/>
  <c r="K21" i="2" s="1"/>
  <c r="E20" i="2"/>
  <c r="F20" i="2" s="1"/>
  <c r="G20" i="2" s="1"/>
  <c r="C20" i="2"/>
  <c r="B20" i="2" s="1"/>
  <c r="E9" i="2"/>
  <c r="F9" i="2" s="1"/>
  <c r="G9" i="2" s="1"/>
  <c r="C9" i="2"/>
  <c r="B9" i="2" s="1"/>
  <c r="E8" i="2"/>
  <c r="F8" i="2" s="1"/>
  <c r="G8" i="2" s="1"/>
  <c r="C8" i="2"/>
  <c r="B8" i="2" s="1"/>
  <c r="E36" i="2"/>
  <c r="F36" i="2" s="1"/>
  <c r="G36" i="2" s="1"/>
  <c r="C36" i="2"/>
  <c r="B36" i="2" s="1"/>
  <c r="L35" i="2"/>
  <c r="M35" i="2" s="1"/>
  <c r="E35" i="2"/>
  <c r="F35" i="2" s="1"/>
  <c r="G35" i="2" s="1"/>
  <c r="C35" i="2"/>
  <c r="B35" i="2" s="1"/>
  <c r="E24" i="2"/>
  <c r="F24" i="2" s="1"/>
  <c r="G24" i="2" s="1"/>
  <c r="C24" i="2"/>
  <c r="B24" i="2" s="1"/>
  <c r="E23" i="2"/>
  <c r="F23" i="2" s="1"/>
  <c r="G23" i="2" s="1"/>
  <c r="C23" i="2"/>
  <c r="B23" i="2" s="1"/>
  <c r="E51" i="2"/>
  <c r="F51" i="2" s="1"/>
  <c r="G51" i="2" s="1"/>
  <c r="C51" i="2"/>
  <c r="B51" i="2" s="1"/>
  <c r="L50" i="2"/>
  <c r="M50" i="2" s="1"/>
  <c r="E50" i="2"/>
  <c r="F50" i="2" s="1"/>
  <c r="G50" i="2" s="1"/>
  <c r="C50" i="2"/>
  <c r="B50" i="2" s="1"/>
  <c r="E39" i="2"/>
  <c r="F39" i="2" s="1"/>
  <c r="G39" i="2" s="1"/>
  <c r="C39" i="2"/>
  <c r="B39" i="2" s="1"/>
  <c r="E38" i="2"/>
  <c r="F38" i="2" s="1"/>
  <c r="G38" i="2" s="1"/>
  <c r="C38" i="2"/>
  <c r="B38" i="2" s="1"/>
  <c r="Q32" i="6" l="1"/>
  <c r="Q33" i="6" s="1"/>
  <c r="Q29" i="6"/>
  <c r="Q30" i="6" s="1"/>
  <c r="Q17" i="6"/>
  <c r="Q18" i="6" s="1"/>
  <c r="O8" i="5"/>
  <c r="O9" i="5" s="1"/>
  <c r="N9" i="5"/>
  <c r="O14" i="6"/>
  <c r="O15" i="6" s="1"/>
  <c r="O32" i="6"/>
  <c r="O33" i="6" s="1"/>
  <c r="O8" i="6"/>
  <c r="O9" i="6" s="1"/>
  <c r="O20" i="6"/>
  <c r="O21" i="6" s="1"/>
  <c r="O11" i="6"/>
  <c r="O12" i="6" s="1"/>
  <c r="O35" i="6"/>
  <c r="O36" i="6" s="1"/>
  <c r="O23" i="6"/>
  <c r="O24" i="6" s="1"/>
  <c r="O26" i="6"/>
  <c r="O27" i="6" s="1"/>
  <c r="O17" i="5"/>
  <c r="O18" i="5" s="1"/>
  <c r="Q23" i="5"/>
  <c r="Q24" i="5" s="1"/>
  <c r="O11" i="5"/>
  <c r="O12" i="5" s="1"/>
  <c r="Q32" i="5"/>
  <c r="Q33" i="5" s="1"/>
  <c r="Q29" i="5"/>
  <c r="Q30" i="5" s="1"/>
  <c r="Q35" i="5"/>
  <c r="Q36" i="5" s="1"/>
  <c r="Q26" i="5"/>
  <c r="Q27" i="5" s="1"/>
  <c r="O14" i="5"/>
  <c r="O15" i="5" s="1"/>
  <c r="O20" i="5"/>
  <c r="O21" i="5" s="1"/>
  <c r="H19" i="4"/>
  <c r="I19" i="4" s="1"/>
  <c r="J19" i="4" s="1"/>
  <c r="K19" i="4" s="1"/>
  <c r="H12" i="3"/>
  <c r="I12" i="3" s="1"/>
  <c r="J12" i="3" s="1"/>
  <c r="K12" i="3" s="1"/>
  <c r="F25" i="4"/>
  <c r="E25" i="4" s="1"/>
  <c r="H25" i="4"/>
  <c r="I25" i="4" s="1"/>
  <c r="J25" i="4" s="1"/>
  <c r="K25" i="4" s="1"/>
  <c r="H26" i="4"/>
  <c r="I26" i="4" s="1"/>
  <c r="J26" i="4" s="1"/>
  <c r="K26" i="4" s="1"/>
  <c r="F26" i="4"/>
  <c r="E26" i="4" s="1"/>
  <c r="H18" i="4"/>
  <c r="I18" i="4" s="1"/>
  <c r="J18" i="4" s="1"/>
  <c r="K18" i="4" s="1"/>
  <c r="P7" i="4"/>
  <c r="L12" i="4"/>
  <c r="M12" i="4" s="1"/>
  <c r="N12" i="4" s="1"/>
  <c r="Q12" i="4" s="1"/>
  <c r="L11" i="4"/>
  <c r="M11" i="4" s="1"/>
  <c r="N11" i="4" s="1"/>
  <c r="Q11" i="4" s="1"/>
  <c r="M10" i="4"/>
  <c r="N10" i="4" s="1"/>
  <c r="Q10" i="4" s="1"/>
  <c r="P21" i="4"/>
  <c r="O19" i="4"/>
  <c r="P19" i="4" s="1"/>
  <c r="P17" i="4"/>
  <c r="O18" i="4"/>
  <c r="P18" i="4" s="1"/>
  <c r="L25" i="4"/>
  <c r="M25" i="4" s="1"/>
  <c r="N25" i="4" s="1"/>
  <c r="Q25" i="4" s="1"/>
  <c r="L26" i="4"/>
  <c r="M26" i="4" s="1"/>
  <c r="N26" i="4" s="1"/>
  <c r="Q26" i="4" s="1"/>
  <c r="M24" i="4"/>
  <c r="N24" i="4" s="1"/>
  <c r="Q24" i="4" s="1"/>
  <c r="O27" i="3"/>
  <c r="P27" i="3" s="1"/>
  <c r="P25" i="3"/>
  <c r="O26" i="3"/>
  <c r="P26" i="3" s="1"/>
  <c r="F19" i="3"/>
  <c r="E19" i="3" s="1"/>
  <c r="P15" i="3"/>
  <c r="O19" i="3"/>
  <c r="P19" i="3" s="1"/>
  <c r="O20" i="3"/>
  <c r="P20" i="3" s="1"/>
  <c r="P18" i="3"/>
  <c r="L21" i="2"/>
  <c r="M20" i="2"/>
  <c r="N20" i="2" s="1"/>
  <c r="Q20" i="2" s="1"/>
  <c r="L9" i="2"/>
  <c r="M9" i="2"/>
  <c r="N8" i="2"/>
  <c r="K8" i="2"/>
  <c r="K9" i="2" s="1"/>
  <c r="L39" i="2"/>
  <c r="L51" i="2"/>
  <c r="M38" i="2"/>
  <c r="K50" i="2"/>
  <c r="N35" i="2"/>
  <c r="M36" i="2"/>
  <c r="L36" i="2"/>
  <c r="K35" i="2"/>
  <c r="M23" i="2"/>
  <c r="L24" i="2"/>
  <c r="N50" i="2"/>
  <c r="M51" i="2"/>
  <c r="M29" i="2"/>
  <c r="M41" i="2"/>
  <c r="K26" i="2"/>
  <c r="L11" i="2"/>
  <c r="K11" i="2" s="1"/>
  <c r="K12" i="2" s="1"/>
  <c r="L17" i="2"/>
  <c r="L14" i="2"/>
  <c r="M44" i="2"/>
  <c r="E12" i="2"/>
  <c r="F12" i="2" s="1"/>
  <c r="G12" i="2" s="1"/>
  <c r="C12" i="2"/>
  <c r="B12" i="2" s="1"/>
  <c r="E11" i="2"/>
  <c r="F11" i="2" s="1"/>
  <c r="G11" i="2" s="1"/>
  <c r="C11" i="2"/>
  <c r="B11" i="2" s="1"/>
  <c r="E27" i="2"/>
  <c r="F27" i="2" s="1"/>
  <c r="G27" i="2" s="1"/>
  <c r="C27" i="2"/>
  <c r="B27" i="2" s="1"/>
  <c r="E26" i="2"/>
  <c r="F26" i="2" s="1"/>
  <c r="G26" i="2" s="1"/>
  <c r="C26" i="2"/>
  <c r="B26" i="2" s="1"/>
  <c r="E42" i="2"/>
  <c r="F42" i="2" s="1"/>
  <c r="G42" i="2" s="1"/>
  <c r="C42" i="2"/>
  <c r="B42" i="2" s="1"/>
  <c r="E41" i="2"/>
  <c r="F41" i="2" s="1"/>
  <c r="G41" i="2" s="1"/>
  <c r="C41" i="2"/>
  <c r="B41" i="2" s="1"/>
  <c r="E45" i="2"/>
  <c r="F45" i="2" s="1"/>
  <c r="G45" i="2" s="1"/>
  <c r="C45" i="2"/>
  <c r="B45" i="2" s="1"/>
  <c r="E44" i="2"/>
  <c r="F44" i="2" s="1"/>
  <c r="G44" i="2" s="1"/>
  <c r="C44" i="2"/>
  <c r="B44" i="2" s="1"/>
  <c r="E30" i="2"/>
  <c r="F30" i="2" s="1"/>
  <c r="G30" i="2" s="1"/>
  <c r="C30" i="2"/>
  <c r="B30" i="2" s="1"/>
  <c r="E29" i="2"/>
  <c r="F29" i="2" s="1"/>
  <c r="G29" i="2" s="1"/>
  <c r="C29" i="2"/>
  <c r="B29" i="2" s="1"/>
  <c r="O29" i="6" l="1"/>
  <c r="O30" i="6" s="1"/>
  <c r="O17" i="6"/>
  <c r="O18" i="6" s="1"/>
  <c r="P8" i="5"/>
  <c r="P9" i="5" s="1"/>
  <c r="P23" i="6"/>
  <c r="P24" i="6" s="1"/>
  <c r="P8" i="6"/>
  <c r="P9" i="6" s="1"/>
  <c r="P32" i="6"/>
  <c r="P33" i="6" s="1"/>
  <c r="P26" i="6"/>
  <c r="P27" i="6" s="1"/>
  <c r="P20" i="6"/>
  <c r="P21" i="6" s="1"/>
  <c r="P14" i="6"/>
  <c r="P15" i="6" s="1"/>
  <c r="P35" i="6"/>
  <c r="P36" i="6" s="1"/>
  <c r="P11" i="6"/>
  <c r="P12" i="6" s="1"/>
  <c r="O35" i="5"/>
  <c r="O36" i="5" s="1"/>
  <c r="P14" i="5"/>
  <c r="P15" i="5" s="1"/>
  <c r="O29" i="5"/>
  <c r="O30" i="5" s="1"/>
  <c r="P17" i="5"/>
  <c r="P18" i="5" s="1"/>
  <c r="P20" i="5"/>
  <c r="P21" i="5" s="1"/>
  <c r="O32" i="5"/>
  <c r="O33" i="5" s="1"/>
  <c r="O26" i="5"/>
  <c r="O27" i="5" s="1"/>
  <c r="P11" i="5"/>
  <c r="P12" i="5" s="1"/>
  <c r="O23" i="5"/>
  <c r="O24" i="5" s="1"/>
  <c r="O12" i="4"/>
  <c r="P12" i="4" s="1"/>
  <c r="P10" i="4"/>
  <c r="O11" i="4"/>
  <c r="P11" i="4" s="1"/>
  <c r="O25" i="4"/>
  <c r="P25" i="4" s="1"/>
  <c r="O26" i="4"/>
  <c r="P26" i="4" s="1"/>
  <c r="P24" i="4"/>
  <c r="N38" i="2"/>
  <c r="Q38" i="2" s="1"/>
  <c r="M21" i="2"/>
  <c r="N21" i="2"/>
  <c r="Q21" i="2"/>
  <c r="O20" i="2"/>
  <c r="M39" i="2"/>
  <c r="N39" i="2"/>
  <c r="Q8" i="2"/>
  <c r="N9" i="2"/>
  <c r="N36" i="2"/>
  <c r="Q35" i="2"/>
  <c r="M24" i="2"/>
  <c r="N23" i="2"/>
  <c r="Q50" i="2"/>
  <c r="N51" i="2"/>
  <c r="M11" i="2"/>
  <c r="N11" i="2" s="1"/>
  <c r="N12" i="2" s="1"/>
  <c r="M26" i="2"/>
  <c r="N26" i="2" s="1"/>
  <c r="L12" i="2"/>
  <c r="L27" i="2"/>
  <c r="N41" i="2"/>
  <c r="M42" i="2"/>
  <c r="L42" i="2"/>
  <c r="K41" i="2"/>
  <c r="M45" i="2"/>
  <c r="N44" i="2"/>
  <c r="L45" i="2"/>
  <c r="K44" i="2"/>
  <c r="M30" i="2"/>
  <c r="N29" i="2"/>
  <c r="L30" i="2"/>
  <c r="K29" i="2"/>
  <c r="P29" i="6" l="1"/>
  <c r="P30" i="6" s="1"/>
  <c r="P17" i="6"/>
  <c r="P18" i="6" s="1"/>
  <c r="Q8" i="5"/>
  <c r="Q9" i="5" s="1"/>
  <c r="Q17" i="5"/>
  <c r="Q18" i="5" s="1"/>
  <c r="Q14" i="5"/>
  <c r="Q15" i="5" s="1"/>
  <c r="Q11" i="5"/>
  <c r="Q12" i="5" s="1"/>
  <c r="P26" i="5"/>
  <c r="P27" i="5" s="1"/>
  <c r="P29" i="5"/>
  <c r="P30" i="5" s="1"/>
  <c r="P32" i="5"/>
  <c r="P33" i="5" s="1"/>
  <c r="P23" i="5"/>
  <c r="P24" i="5" s="1"/>
  <c r="Q20" i="5"/>
  <c r="Q21" i="5" s="1"/>
  <c r="P35" i="5"/>
  <c r="P36" i="5" s="1"/>
  <c r="O38" i="2"/>
  <c r="Q39" i="2"/>
  <c r="O21" i="2"/>
  <c r="P20" i="2"/>
  <c r="P21" i="2" s="1"/>
  <c r="Q9" i="2"/>
  <c r="O8" i="2"/>
  <c r="Q36" i="2"/>
  <c r="O35" i="2"/>
  <c r="N24" i="2"/>
  <c r="Q23" i="2"/>
  <c r="Q51" i="2"/>
  <c r="O50" i="2"/>
  <c r="O39" i="2"/>
  <c r="P38" i="2"/>
  <c r="P39" i="2" s="1"/>
  <c r="M12" i="2"/>
  <c r="Q11" i="2"/>
  <c r="Q12" i="2" s="1"/>
  <c r="M27" i="2"/>
  <c r="N27" i="2"/>
  <c r="Q26" i="2"/>
  <c r="N42" i="2"/>
  <c r="Q41" i="2"/>
  <c r="Q44" i="2"/>
  <c r="N45" i="2"/>
  <c r="N30" i="2"/>
  <c r="Q29" i="2"/>
  <c r="M14" i="2"/>
  <c r="E15" i="2"/>
  <c r="F15" i="2" s="1"/>
  <c r="G15" i="2" s="1"/>
  <c r="C15" i="2"/>
  <c r="B15" i="2" s="1"/>
  <c r="E14" i="2"/>
  <c r="F14" i="2" s="1"/>
  <c r="G14" i="2" s="1"/>
  <c r="C14" i="2"/>
  <c r="B14" i="2" s="1"/>
  <c r="O9" i="2" l="1"/>
  <c r="P8" i="2"/>
  <c r="P9" i="2" s="1"/>
  <c r="O36" i="2"/>
  <c r="P35" i="2"/>
  <c r="P36" i="2" s="1"/>
  <c r="Q24" i="2"/>
  <c r="O23" i="2"/>
  <c r="O51" i="2"/>
  <c r="P50" i="2"/>
  <c r="P51" i="2" s="1"/>
  <c r="O11" i="2"/>
  <c r="P11" i="2" s="1"/>
  <c r="P12" i="2" s="1"/>
  <c r="Q27" i="2"/>
  <c r="O26" i="2"/>
  <c r="Q42" i="2"/>
  <c r="O41" i="2"/>
  <c r="Q45" i="2"/>
  <c r="O44" i="2"/>
  <c r="Q30" i="2"/>
  <c r="O29" i="2"/>
  <c r="M15" i="2"/>
  <c r="N14" i="2"/>
  <c r="L15" i="2"/>
  <c r="K14" i="2"/>
  <c r="K15" i="2" s="1"/>
  <c r="L18" i="2"/>
  <c r="K17" i="2"/>
  <c r="K18" i="2" s="1"/>
  <c r="K47" i="2"/>
  <c r="K32" i="2"/>
  <c r="E33" i="2"/>
  <c r="F33" i="2" s="1"/>
  <c r="G33" i="2" s="1"/>
  <c r="C33" i="2"/>
  <c r="B33" i="2" s="1"/>
  <c r="E32" i="2"/>
  <c r="F32" i="2" s="1"/>
  <c r="G32" i="2" s="1"/>
  <c r="C32" i="2"/>
  <c r="B32" i="2" s="1"/>
  <c r="O24" i="2" l="1"/>
  <c r="P23" i="2"/>
  <c r="P24" i="2" s="1"/>
  <c r="O12" i="2"/>
  <c r="O27" i="2"/>
  <c r="P26" i="2"/>
  <c r="P27" i="2" s="1"/>
  <c r="O42" i="2"/>
  <c r="P41" i="2"/>
  <c r="P42" i="2" s="1"/>
  <c r="P44" i="2"/>
  <c r="P45" i="2" s="1"/>
  <c r="O45" i="2"/>
  <c r="O30" i="2"/>
  <c r="P29" i="2"/>
  <c r="P30" i="2" s="1"/>
  <c r="Q14" i="2"/>
  <c r="N15" i="2"/>
  <c r="L48" i="2"/>
  <c r="L33" i="2"/>
  <c r="M17" i="2"/>
  <c r="M18" i="2" s="1"/>
  <c r="M47" i="2"/>
  <c r="M32" i="2"/>
  <c r="M33" i="2" s="1"/>
  <c r="Q15" i="2" l="1"/>
  <c r="O14" i="2"/>
  <c r="N47" i="2"/>
  <c r="N32" i="2"/>
  <c r="N33" i="2" s="1"/>
  <c r="O15" i="2" l="1"/>
  <c r="P14" i="2"/>
  <c r="P15" i="2" s="1"/>
  <c r="Q32" i="2"/>
  <c r="Q33" i="2" s="1"/>
  <c r="Q47" i="2"/>
  <c r="Q48" i="2" s="1"/>
  <c r="O32" i="2" l="1"/>
  <c r="O33" i="2" s="1"/>
  <c r="O47" i="2"/>
  <c r="O48" i="2" s="1"/>
  <c r="P32" i="2" l="1"/>
  <c r="P33" i="2" s="1"/>
  <c r="P47" i="2"/>
  <c r="P48" i="2" s="1"/>
  <c r="E57" i="2" l="1"/>
  <c r="P57" i="2" s="1"/>
  <c r="E56" i="2"/>
  <c r="K56" i="2" s="1"/>
  <c r="E55" i="2"/>
  <c r="M55" i="2" s="1"/>
  <c r="P54" i="2"/>
  <c r="O54" i="2"/>
  <c r="Q54" i="2"/>
  <c r="N54" i="2"/>
  <c r="M54" i="2"/>
  <c r="L54" i="2"/>
  <c r="K54" i="2"/>
  <c r="G54" i="2"/>
  <c r="F54" i="2"/>
  <c r="F53" i="2"/>
  <c r="G53" i="2" s="1"/>
  <c r="K53" i="2" s="1"/>
  <c r="D53" i="2"/>
  <c r="C53" i="2" s="1"/>
  <c r="B53" i="2" s="1"/>
  <c r="E48" i="2"/>
  <c r="F48" i="2" s="1"/>
  <c r="G48" i="2" s="1"/>
  <c r="C48" i="2"/>
  <c r="B48" i="2" s="1"/>
  <c r="E47" i="2"/>
  <c r="F47" i="2" s="1"/>
  <c r="G47" i="2" s="1"/>
  <c r="C47" i="2"/>
  <c r="B47" i="2" s="1"/>
  <c r="E18" i="2"/>
  <c r="F18" i="2" s="1"/>
  <c r="G18" i="2" s="1"/>
  <c r="C18" i="2"/>
  <c r="B18" i="2" s="1"/>
  <c r="E17" i="2"/>
  <c r="F17" i="2" s="1"/>
  <c r="G17" i="2" s="1"/>
  <c r="N17" i="2" s="1"/>
  <c r="N18" i="2" s="1"/>
  <c r="C17" i="2"/>
  <c r="B17" i="2" s="1"/>
  <c r="D6" i="2"/>
  <c r="E6" i="2" s="1"/>
  <c r="F6" i="2" s="1"/>
  <c r="G6" i="2" s="1"/>
  <c r="K6" i="2" s="1"/>
  <c r="L6" i="2" s="1"/>
  <c r="M6" i="2" s="1"/>
  <c r="N6" i="2" s="1"/>
  <c r="Q6" i="2" s="1"/>
  <c r="O6" i="2" s="1"/>
  <c r="P6" i="2" s="1"/>
  <c r="D5" i="2"/>
  <c r="E5" i="2" s="1"/>
  <c r="F5" i="2" s="1"/>
  <c r="G5" i="2" s="1"/>
  <c r="K5" i="2" s="1"/>
  <c r="L5" i="2" s="1"/>
  <c r="M5" i="2" s="1"/>
  <c r="N5" i="2" s="1"/>
  <c r="Q5" i="2" s="1"/>
  <c r="O5" i="2" s="1"/>
  <c r="P5" i="2" s="1"/>
  <c r="E4" i="2"/>
  <c r="F4" i="2" s="1"/>
  <c r="G4" i="2" s="1"/>
  <c r="K4" i="2" s="1"/>
  <c r="L4" i="2" s="1"/>
  <c r="M4" i="2" s="1"/>
  <c r="N4" i="2" s="1"/>
  <c r="Q4" i="2" s="1"/>
  <c r="O4" i="2" s="1"/>
  <c r="P4" i="2" s="1"/>
  <c r="C4" i="2"/>
  <c r="B4" i="2" s="1"/>
  <c r="L53" i="2" l="1"/>
  <c r="M53" i="2" s="1"/>
  <c r="N53" i="2" s="1"/>
  <c r="Q53" i="2" s="1"/>
  <c r="O53" i="2" s="1"/>
  <c r="P53" i="2" s="1"/>
  <c r="C6" i="2"/>
  <c r="B6" i="2" s="1"/>
  <c r="L56" i="2"/>
  <c r="M56" i="2"/>
  <c r="G55" i="2"/>
  <c r="L55" i="2"/>
  <c r="G57" i="2"/>
  <c r="N55" i="2"/>
  <c r="K57" i="2"/>
  <c r="Q55" i="2"/>
  <c r="G56" i="2"/>
  <c r="Q17" i="2"/>
  <c r="Q18" i="2" s="1"/>
  <c r="O55" i="2"/>
  <c r="N56" i="2"/>
  <c r="L57" i="2"/>
  <c r="C5" i="2"/>
  <c r="B5" i="2" s="1"/>
  <c r="F55" i="2"/>
  <c r="P55" i="2"/>
  <c r="Q56" i="2"/>
  <c r="M57" i="2"/>
  <c r="N57" i="2"/>
  <c r="O56" i="2"/>
  <c r="K55" i="2"/>
  <c r="F56" i="2"/>
  <c r="P56" i="2"/>
  <c r="Q57" i="2"/>
  <c r="O57" i="2"/>
  <c r="F57" i="2"/>
  <c r="O17" i="2" l="1"/>
  <c r="O18" i="2" s="1"/>
  <c r="P17" i="2" l="1"/>
  <c r="P18" i="2" s="1"/>
  <c r="Q30" i="1"/>
  <c r="P30" i="1"/>
  <c r="O30" i="1"/>
  <c r="H43" i="1" l="1"/>
  <c r="I43" i="1" s="1"/>
  <c r="J43" i="1" s="1"/>
  <c r="K43" i="1" s="1"/>
  <c r="L43" i="1" s="1"/>
  <c r="M43" i="1" s="1"/>
  <c r="N43" i="1" l="1"/>
  <c r="Q43" i="1" s="1"/>
  <c r="O43" i="1" s="1"/>
  <c r="P43" i="1" s="1"/>
  <c r="O57" i="1"/>
  <c r="O56" i="1" s="1"/>
  <c r="P57" i="1"/>
  <c r="L57" i="1"/>
  <c r="M57" i="1" s="1"/>
  <c r="N57" i="1" s="1"/>
  <c r="Q57" i="1" s="1"/>
  <c r="L56" i="1" l="1"/>
  <c r="N45" i="1"/>
  <c r="M45" i="1"/>
  <c r="L45" i="1"/>
  <c r="K45" i="1"/>
  <c r="J45" i="1"/>
  <c r="I45" i="1"/>
  <c r="H45" i="1"/>
  <c r="N44" i="1"/>
  <c r="M44" i="1"/>
  <c r="L44" i="1"/>
  <c r="K44" i="1"/>
  <c r="J44" i="1"/>
  <c r="I44" i="1"/>
  <c r="H44" i="1"/>
  <c r="L26" i="1"/>
  <c r="M56" i="1" l="1"/>
  <c r="N56" i="1" s="1"/>
  <c r="Q56" i="1" s="1"/>
  <c r="G56" i="1"/>
  <c r="H56" i="1" s="1"/>
  <c r="I56" i="1" s="1"/>
  <c r="J56" i="1" s="1"/>
  <c r="K56" i="1" s="1"/>
  <c r="G57" i="1"/>
  <c r="F57" i="1" s="1"/>
  <c r="E57" i="1" s="1"/>
  <c r="P56" i="1"/>
  <c r="L13" i="1"/>
  <c r="M13" i="1" s="1"/>
  <c r="N13" i="1" s="1"/>
  <c r="Q13" i="1" s="1"/>
  <c r="G13" i="1"/>
  <c r="H13" i="1" s="1"/>
  <c r="I13" i="1" s="1"/>
  <c r="J13" i="1" s="1"/>
  <c r="K13" i="1" s="1"/>
  <c r="L12" i="1"/>
  <c r="M12" i="1" s="1"/>
  <c r="N12" i="1" s="1"/>
  <c r="Q12" i="1" s="1"/>
  <c r="G12" i="1"/>
  <c r="H12" i="1" s="1"/>
  <c r="I12" i="1" s="1"/>
  <c r="J12" i="1" s="1"/>
  <c r="K12" i="1" s="1"/>
  <c r="M11" i="1"/>
  <c r="N11" i="1" s="1"/>
  <c r="Q11" i="1" s="1"/>
  <c r="H11" i="1"/>
  <c r="I11" i="1" s="1"/>
  <c r="J11" i="1" s="1"/>
  <c r="K11" i="1" s="1"/>
  <c r="F11" i="1"/>
  <c r="E11" i="1" s="1"/>
  <c r="G10" i="1"/>
  <c r="H10" i="1" s="1"/>
  <c r="I10" i="1" s="1"/>
  <c r="J10" i="1" s="1"/>
  <c r="G9" i="1"/>
  <c r="H9" i="1" s="1"/>
  <c r="I9" i="1" s="1"/>
  <c r="J9" i="1" s="1"/>
  <c r="H8" i="1"/>
  <c r="I8" i="1" s="1"/>
  <c r="J8" i="1" s="1"/>
  <c r="F8" i="1"/>
  <c r="E8" i="1" s="1"/>
  <c r="H57" i="1" l="1"/>
  <c r="I57" i="1" s="1"/>
  <c r="J57" i="1" s="1"/>
  <c r="K57" i="1" s="1"/>
  <c r="F13" i="1"/>
  <c r="E13" i="1" s="1"/>
  <c r="K10" i="1"/>
  <c r="L10" i="1" s="1"/>
  <c r="M10" i="1" s="1"/>
  <c r="N10" i="1" s="1"/>
  <c r="K9" i="1"/>
  <c r="L9" i="1" s="1"/>
  <c r="M9" i="1" s="1"/>
  <c r="N9" i="1" s="1"/>
  <c r="K8" i="1"/>
  <c r="L8" i="1" s="1"/>
  <c r="M8" i="1" s="1"/>
  <c r="N8" i="1" s="1"/>
  <c r="F10" i="1"/>
  <c r="E10" i="1" s="1"/>
  <c r="F56" i="1"/>
  <c r="E56" i="1" s="1"/>
  <c r="F12" i="1"/>
  <c r="E12" i="1" s="1"/>
  <c r="F9" i="1"/>
  <c r="E9" i="1" s="1"/>
  <c r="H54" i="1"/>
  <c r="I54" i="1" s="1"/>
  <c r="J54" i="1" s="1"/>
  <c r="Q8" i="1" l="1"/>
  <c r="O8" i="1" s="1"/>
  <c r="Q10" i="1"/>
  <c r="O10" i="1" s="1"/>
  <c r="P10" i="1" s="1"/>
  <c r="Q9" i="1"/>
  <c r="O9" i="1" s="1"/>
  <c r="P9" i="1" s="1"/>
  <c r="K54" i="1"/>
  <c r="L54" i="1" s="1"/>
  <c r="M54" i="1" s="1"/>
  <c r="N54" i="1" s="1"/>
  <c r="F54" i="1"/>
  <c r="E54" i="1" s="1"/>
  <c r="Q54" i="1" l="1"/>
  <c r="O54" i="1" s="1"/>
  <c r="P54" i="1" s="1"/>
  <c r="O12" i="1"/>
  <c r="P12" i="1" s="1"/>
  <c r="O13" i="1"/>
  <c r="P13" i="1" s="1"/>
  <c r="P11" i="1"/>
  <c r="P8" i="1"/>
  <c r="G19" i="1"/>
  <c r="H37" i="1" l="1"/>
  <c r="Q37" i="1" l="1"/>
  <c r="P37" i="1"/>
  <c r="O37" i="1"/>
  <c r="G50" i="1"/>
  <c r="G49" i="1"/>
  <c r="F45" i="1"/>
  <c r="E45" i="1" s="1"/>
  <c r="F44" i="1"/>
  <c r="E44" i="1" s="1"/>
  <c r="F43" i="1"/>
  <c r="G52" i="1" l="1"/>
  <c r="F52" i="1" s="1"/>
  <c r="E52" i="1" s="1"/>
  <c r="G51" i="1"/>
  <c r="H51" i="1" s="1"/>
  <c r="I51" i="1" s="1"/>
  <c r="J51" i="1" s="1"/>
  <c r="H50" i="1"/>
  <c r="I50" i="1" s="1"/>
  <c r="F50" i="1"/>
  <c r="E50" i="1" s="1"/>
  <c r="F49" i="1"/>
  <c r="E49" i="1" s="1"/>
  <c r="G48" i="1"/>
  <c r="H48" i="1" s="1"/>
  <c r="I48" i="1" s="1"/>
  <c r="J48" i="1" s="1"/>
  <c r="H47" i="1"/>
  <c r="I47" i="1" s="1"/>
  <c r="J47" i="1" s="1"/>
  <c r="F47" i="1"/>
  <c r="E47" i="1" s="1"/>
  <c r="K47" i="1" l="1"/>
  <c r="L47" i="1" s="1"/>
  <c r="M47" i="1" s="1"/>
  <c r="N47" i="1" s="1"/>
  <c r="K48" i="1"/>
  <c r="L48" i="1" s="1"/>
  <c r="M48" i="1" s="1"/>
  <c r="N48" i="1" s="1"/>
  <c r="K51" i="1"/>
  <c r="L51" i="1" s="1"/>
  <c r="M51" i="1" s="1"/>
  <c r="N51" i="1" s="1"/>
  <c r="J50" i="1"/>
  <c r="F48" i="1"/>
  <c r="E48" i="1" s="1"/>
  <c r="H49" i="1"/>
  <c r="I49" i="1" s="1"/>
  <c r="F51" i="1"/>
  <c r="E51" i="1" s="1"/>
  <c r="H52" i="1"/>
  <c r="I52" i="1" s="1"/>
  <c r="J52" i="1" s="1"/>
  <c r="Q51" i="1" l="1"/>
  <c r="O51" i="1" s="1"/>
  <c r="P51" i="1" s="1"/>
  <c r="Q48" i="1"/>
  <c r="O48" i="1" s="1"/>
  <c r="P48" i="1" s="1"/>
  <c r="Q47" i="1"/>
  <c r="O47" i="1" s="1"/>
  <c r="P47" i="1" s="1"/>
  <c r="K50" i="1"/>
  <c r="L50" i="1" s="1"/>
  <c r="M50" i="1" s="1"/>
  <c r="N50" i="1" s="1"/>
  <c r="K52" i="1"/>
  <c r="L52" i="1" s="1"/>
  <c r="M52" i="1" s="1"/>
  <c r="N52" i="1" s="1"/>
  <c r="J49" i="1"/>
  <c r="I37" i="1"/>
  <c r="J37" i="1"/>
  <c r="K37" i="1"/>
  <c r="L37" i="1"/>
  <c r="M37" i="1"/>
  <c r="N37" i="1"/>
  <c r="N30" i="1"/>
  <c r="M30" i="1"/>
  <c r="L30" i="1"/>
  <c r="K30" i="1"/>
  <c r="J30" i="1"/>
  <c r="I30" i="1"/>
  <c r="G29" i="1"/>
  <c r="F29" i="1" s="1"/>
  <c r="Q50" i="1" l="1"/>
  <c r="O50" i="1" s="1"/>
  <c r="P50" i="1" s="1"/>
  <c r="Q52" i="1"/>
  <c r="O52" i="1" s="1"/>
  <c r="P52" i="1" s="1"/>
  <c r="K49" i="1"/>
  <c r="L49" i="1" s="1"/>
  <c r="M49" i="1" s="1"/>
  <c r="N49" i="1" s="1"/>
  <c r="G6" i="1"/>
  <c r="F6" i="1" s="1"/>
  <c r="E6" i="1" s="1"/>
  <c r="G5" i="1"/>
  <c r="H5" i="1" s="1"/>
  <c r="I5" i="1" s="1"/>
  <c r="J5" i="1" s="1"/>
  <c r="H4" i="1"/>
  <c r="I4" i="1" s="1"/>
  <c r="J4" i="1" s="1"/>
  <c r="F4" i="1"/>
  <c r="E4" i="1" s="1"/>
  <c r="E43" i="1"/>
  <c r="E29" i="1"/>
  <c r="I29" i="1"/>
  <c r="J29" i="1" s="1"/>
  <c r="H41" i="1"/>
  <c r="H40" i="1"/>
  <c r="H39" i="1"/>
  <c r="H38" i="1"/>
  <c r="H36" i="1"/>
  <c r="H35" i="1"/>
  <c r="H34" i="1"/>
  <c r="H33" i="1"/>
  <c r="H31" i="1"/>
  <c r="H32" i="1"/>
  <c r="P40" i="1" l="1"/>
  <c r="O40" i="1"/>
  <c r="Q40" i="1"/>
  <c r="P31" i="1"/>
  <c r="O31" i="1"/>
  <c r="Q31" i="1"/>
  <c r="P41" i="1"/>
  <c r="O41" i="1"/>
  <c r="Q41" i="1"/>
  <c r="O35" i="1"/>
  <c r="P35" i="1"/>
  <c r="Q35" i="1"/>
  <c r="P38" i="1"/>
  <c r="O38" i="1"/>
  <c r="Q38" i="1"/>
  <c r="O39" i="1"/>
  <c r="P39" i="1"/>
  <c r="Q39" i="1"/>
  <c r="O32" i="1"/>
  <c r="P32" i="1"/>
  <c r="Q32" i="1"/>
  <c r="Q49" i="1"/>
  <c r="O49" i="1" s="1"/>
  <c r="P49" i="1" s="1"/>
  <c r="P33" i="1"/>
  <c r="O33" i="1"/>
  <c r="Q33" i="1"/>
  <c r="Q34" i="1"/>
  <c r="O34" i="1"/>
  <c r="P34" i="1"/>
  <c r="P36" i="1"/>
  <c r="O36" i="1"/>
  <c r="Q36" i="1"/>
  <c r="K4" i="1"/>
  <c r="L4" i="1" s="1"/>
  <c r="M4" i="1" s="1"/>
  <c r="N4" i="1" s="1"/>
  <c r="K5" i="1"/>
  <c r="L5" i="1" s="1"/>
  <c r="M5" i="1" s="1"/>
  <c r="N5" i="1" s="1"/>
  <c r="K29" i="1"/>
  <c r="L29" i="1" s="1"/>
  <c r="M29" i="1" s="1"/>
  <c r="N29" i="1" s="1"/>
  <c r="I32" i="1"/>
  <c r="L32" i="1"/>
  <c r="J32" i="1"/>
  <c r="K32" i="1"/>
  <c r="M32" i="1"/>
  <c r="N32" i="1"/>
  <c r="J33" i="1"/>
  <c r="K33" i="1"/>
  <c r="L33" i="1"/>
  <c r="M33" i="1"/>
  <c r="N33" i="1"/>
  <c r="I33" i="1"/>
  <c r="J34" i="1"/>
  <c r="L34" i="1"/>
  <c r="K34" i="1"/>
  <c r="M34" i="1"/>
  <c r="N34" i="1"/>
  <c r="I34" i="1"/>
  <c r="M35" i="1"/>
  <c r="N35" i="1"/>
  <c r="I35" i="1"/>
  <c r="J35" i="1"/>
  <c r="K35" i="1"/>
  <c r="L35" i="1"/>
  <c r="N36" i="1"/>
  <c r="I36" i="1"/>
  <c r="J36" i="1"/>
  <c r="L36" i="1"/>
  <c r="K36" i="1"/>
  <c r="M36" i="1"/>
  <c r="I38" i="1"/>
  <c r="M38" i="1"/>
  <c r="J38" i="1"/>
  <c r="K38" i="1"/>
  <c r="L38" i="1"/>
  <c r="N38" i="1"/>
  <c r="I40" i="1"/>
  <c r="L40" i="1"/>
  <c r="M40" i="1"/>
  <c r="J40" i="1"/>
  <c r="K40" i="1"/>
  <c r="N40" i="1"/>
  <c r="M31" i="1"/>
  <c r="L31" i="1"/>
  <c r="N31" i="1"/>
  <c r="K31" i="1"/>
  <c r="J31" i="1"/>
  <c r="I31" i="1"/>
  <c r="I41" i="1"/>
  <c r="J41" i="1"/>
  <c r="K41" i="1"/>
  <c r="L41" i="1"/>
  <c r="M41" i="1"/>
  <c r="N41" i="1"/>
  <c r="I39" i="1"/>
  <c r="K39" i="1"/>
  <c r="M39" i="1"/>
  <c r="N39" i="1"/>
  <c r="J39" i="1"/>
  <c r="L39" i="1"/>
  <c r="F5" i="1"/>
  <c r="E5" i="1" s="1"/>
  <c r="H6" i="1"/>
  <c r="I6" i="1" s="1"/>
  <c r="J6" i="1" s="1"/>
  <c r="Q29" i="1" l="1"/>
  <c r="O29" i="1" s="1"/>
  <c r="P29" i="1" s="1"/>
  <c r="Q5" i="1"/>
  <c r="O5" i="1" s="1"/>
  <c r="P5" i="1" s="1"/>
  <c r="Q4" i="1"/>
  <c r="O4" i="1" s="1"/>
  <c r="P4" i="1" s="1"/>
  <c r="K6" i="1"/>
  <c r="L6" i="1" s="1"/>
  <c r="M6" i="1" s="1"/>
  <c r="N6" i="1" s="1"/>
  <c r="L27" i="1"/>
  <c r="L20" i="1"/>
  <c r="L19" i="1"/>
  <c r="G27" i="1"/>
  <c r="F27" i="1" s="1"/>
  <c r="E27" i="1" s="1"/>
  <c r="G26" i="1"/>
  <c r="H26" i="1" s="1"/>
  <c r="I26" i="1" s="1"/>
  <c r="J26" i="1" s="1"/>
  <c r="K26" i="1" s="1"/>
  <c r="H25" i="1"/>
  <c r="I25" i="1" s="1"/>
  <c r="J25" i="1" s="1"/>
  <c r="F25" i="1"/>
  <c r="E25" i="1" s="1"/>
  <c r="G24" i="1"/>
  <c r="F24" i="1" s="1"/>
  <c r="E24" i="1" s="1"/>
  <c r="G23" i="1"/>
  <c r="H23" i="1" s="1"/>
  <c r="I23" i="1" s="1"/>
  <c r="J23" i="1" s="1"/>
  <c r="H22" i="1"/>
  <c r="I22" i="1" s="1"/>
  <c r="J22" i="1" s="1"/>
  <c r="F22" i="1"/>
  <c r="E22" i="1" s="1"/>
  <c r="Q6" i="1" l="1"/>
  <c r="O6" i="1" s="1"/>
  <c r="P6" i="1" s="1"/>
  <c r="K22" i="1"/>
  <c r="L22" i="1" s="1"/>
  <c r="M22" i="1" s="1"/>
  <c r="N22" i="1" s="1"/>
  <c r="K23" i="1"/>
  <c r="L23" i="1" s="1"/>
  <c r="M23" i="1" s="1"/>
  <c r="N23" i="1" s="1"/>
  <c r="M25" i="1"/>
  <c r="N25" i="1" s="1"/>
  <c r="K25" i="1"/>
  <c r="F23" i="1"/>
  <c r="E23" i="1" s="1"/>
  <c r="H24" i="1"/>
  <c r="I24" i="1" s="1"/>
  <c r="J24" i="1" s="1"/>
  <c r="F26" i="1"/>
  <c r="E26" i="1" s="1"/>
  <c r="M26" i="1"/>
  <c r="N26" i="1" s="1"/>
  <c r="H27" i="1"/>
  <c r="I27" i="1" s="1"/>
  <c r="J27" i="1" s="1"/>
  <c r="G20" i="1"/>
  <c r="F20" i="1" s="1"/>
  <c r="E20" i="1" s="1"/>
  <c r="H19" i="1"/>
  <c r="I19" i="1" s="1"/>
  <c r="J19" i="1" s="1"/>
  <c r="H18" i="1"/>
  <c r="I18" i="1" s="1"/>
  <c r="J18" i="1" s="1"/>
  <c r="F18" i="1"/>
  <c r="E18" i="1" s="1"/>
  <c r="G17" i="1"/>
  <c r="G16" i="1"/>
  <c r="Q25" i="1" l="1"/>
  <c r="Q23" i="1"/>
  <c r="O23" i="1" s="1"/>
  <c r="P23" i="1" s="1"/>
  <c r="Q26" i="1"/>
  <c r="Q22" i="1"/>
  <c r="O22" i="1" s="1"/>
  <c r="M18" i="1"/>
  <c r="N18" i="1" s="1"/>
  <c r="K18" i="1"/>
  <c r="M27" i="1"/>
  <c r="N27" i="1" s="1"/>
  <c r="K27" i="1"/>
  <c r="K24" i="1"/>
  <c r="L24" i="1" s="1"/>
  <c r="M24" i="1" s="1"/>
  <c r="N24" i="1" s="1"/>
  <c r="M19" i="1"/>
  <c r="N19" i="1" s="1"/>
  <c r="K19" i="1"/>
  <c r="H20" i="1"/>
  <c r="I20" i="1" s="1"/>
  <c r="J20" i="1" s="1"/>
  <c r="F19" i="1"/>
  <c r="E19" i="1" s="1"/>
  <c r="H15" i="1"/>
  <c r="F15" i="1"/>
  <c r="E15" i="1" s="1"/>
  <c r="Q19" i="1" l="1"/>
  <c r="Q24" i="1"/>
  <c r="O24" i="1" s="1"/>
  <c r="P24" i="1" s="1"/>
  <c r="Q27" i="1"/>
  <c r="O26" i="1"/>
  <c r="P26" i="1" s="1"/>
  <c r="O27" i="1"/>
  <c r="P27" i="1" s="1"/>
  <c r="P22" i="1"/>
  <c r="Q18" i="1"/>
  <c r="P25" i="1"/>
  <c r="M20" i="1"/>
  <c r="N20" i="1" s="1"/>
  <c r="K20" i="1"/>
  <c r="I15" i="1"/>
  <c r="J15" i="1" s="1"/>
  <c r="H17" i="1"/>
  <c r="I17" i="1" s="1"/>
  <c r="J17" i="1" s="1"/>
  <c r="K17" i="1" s="1"/>
  <c r="L17" i="1" s="1"/>
  <c r="F17" i="1"/>
  <c r="E17" i="1" s="1"/>
  <c r="Q20" i="1" l="1"/>
  <c r="K15" i="1"/>
  <c r="L15" i="1" s="1"/>
  <c r="M15" i="1" s="1"/>
  <c r="N15" i="1" s="1"/>
  <c r="M17" i="1"/>
  <c r="N17" i="1" s="1"/>
  <c r="F16" i="1"/>
  <c r="E16" i="1" s="1"/>
  <c r="H16" i="1"/>
  <c r="I16" i="1" s="1"/>
  <c r="J16" i="1" s="1"/>
  <c r="K16" i="1" s="1"/>
  <c r="L16" i="1" s="1"/>
  <c r="Q15" i="1" l="1"/>
  <c r="O15" i="1" s="1"/>
  <c r="O18" i="1" s="1"/>
  <c r="Q17" i="1"/>
  <c r="O17" i="1" s="1"/>
  <c r="P17" i="1" s="1"/>
  <c r="M16" i="1"/>
  <c r="N16" i="1" s="1"/>
  <c r="O19" i="1" l="1"/>
  <c r="P19" i="1" s="1"/>
  <c r="O20" i="1"/>
  <c r="P20" i="1" s="1"/>
  <c r="P18" i="1"/>
  <c r="Q16" i="1"/>
  <c r="O16" i="1" s="1"/>
  <c r="P16" i="1" s="1"/>
  <c r="P15" i="1"/>
</calcChain>
</file>

<file path=xl/sharedStrings.xml><?xml version="1.0" encoding="utf-8"?>
<sst xmlns="http://schemas.openxmlformats.org/spreadsheetml/2006/main" count="473" uniqueCount="59">
  <si>
    <t>Tier</t>
  </si>
  <si>
    <t>Type</t>
  </si>
  <si>
    <t>0B</t>
  </si>
  <si>
    <t>0A</t>
  </si>
  <si>
    <t>Stat</t>
  </si>
  <si>
    <t>Size</t>
  </si>
  <si>
    <t>S</t>
  </si>
  <si>
    <t>M</t>
  </si>
  <si>
    <t>L</t>
  </si>
  <si>
    <t>Armor</t>
  </si>
  <si>
    <t>ARMOR</t>
  </si>
  <si>
    <t>Armor Regen</t>
  </si>
  <si>
    <t>SHIELD</t>
  </si>
  <si>
    <t>Shield</t>
  </si>
  <si>
    <t>Shield Regen</t>
  </si>
  <si>
    <t>Speed Mult</t>
  </si>
  <si>
    <t>All</t>
  </si>
  <si>
    <t>Evasion</t>
  </si>
  <si>
    <t>Corvette</t>
  </si>
  <si>
    <t>Destroyer</t>
  </si>
  <si>
    <t>Cruiser</t>
  </si>
  <si>
    <t>Strike Cruiser</t>
  </si>
  <si>
    <t>Battlecruiser</t>
  </si>
  <si>
    <t>Battleship</t>
  </si>
  <si>
    <t>Carrier</t>
  </si>
  <si>
    <t>Dreadnought</t>
  </si>
  <si>
    <t>Titan</t>
  </si>
  <si>
    <t>THRUSTERS</t>
  </si>
  <si>
    <t>Flagship</t>
  </si>
  <si>
    <t>Colossus</t>
  </si>
  <si>
    <t>Juggernaut</t>
  </si>
  <si>
    <t>SENSORS</t>
  </si>
  <si>
    <t>Sensor Range</t>
  </si>
  <si>
    <t>Hyperlane Range</t>
  </si>
  <si>
    <t>Tracking</t>
  </si>
  <si>
    <t>POWER</t>
  </si>
  <si>
    <t>UNIVERSAL</t>
  </si>
  <si>
    <t>Total (A)</t>
  </si>
  <si>
    <t>A-cost</t>
  </si>
  <si>
    <t>N-cost</t>
  </si>
  <si>
    <t>E-cost</t>
  </si>
  <si>
    <t>Q-ucost</t>
  </si>
  <si>
    <t>P-cost</t>
  </si>
  <si>
    <t>MACRO-CAPACITORS</t>
  </si>
  <si>
    <t>Aux</t>
  </si>
  <si>
    <t>Hull</t>
  </si>
  <si>
    <t>Hull Regen</t>
  </si>
  <si>
    <t>NANITE REPAIR SYSTEMS</t>
  </si>
  <si>
    <t>HULL</t>
  </si>
  <si>
    <t>Compound</t>
  </si>
  <si>
    <t>PLANETCRAFT</t>
  </si>
  <si>
    <t>SYSTEMCRAFT</t>
  </si>
  <si>
    <t>BASE</t>
  </si>
  <si>
    <t>Attack Moon</t>
  </si>
  <si>
    <t>Planetcraft</t>
  </si>
  <si>
    <t>Systemcraft</t>
  </si>
  <si>
    <t>ATTACK MOON</t>
  </si>
  <si>
    <t>QUASARCRAFT</t>
  </si>
  <si>
    <t>WORLDCRAFT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</si>
</sst>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"/>
    <numFmt numFmtId="165" formatCode="0.000"/>
    <numFmt numFmtId="166" formatCode="0.0"/>
    <numFmt numFmtId="167" formatCode="_-* #,##0.0000_-;\-* #,##0.00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FEFFF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5B72FF"/>
        <bgColor indexed="64"/>
      </patternFill>
    </fill>
    <fill>
      <patternFill patternType="solid">
        <fgColor rgb="FFA7B4FF"/>
        <bgColor indexed="64"/>
      </patternFill>
    </fill>
    <fill>
      <patternFill patternType="solid">
        <fgColor rgb="FFD5F8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F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DFFE3"/>
        <bgColor indexed="64"/>
      </patternFill>
    </fill>
    <fill>
      <patternFill patternType="solid">
        <fgColor rgb="FF57FFCF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41">
    <xf numFmtId="0" fontId="0" fillId="0" borderId="0" xfId="0"/>
    <xf numFmtId="2" fontId="0" fillId="0" borderId="0" xfId="0" applyNumberFormat="1" applyFill="1"/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right"/>
    </xf>
    <xf numFmtId="164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/>
    <xf numFmtId="164" fontId="0" fillId="0" borderId="2" xfId="0" applyNumberFormat="1" applyFill="1" applyBorder="1"/>
    <xf numFmtId="164" fontId="0" fillId="0" borderId="1" xfId="0" applyNumberFormat="1" applyFill="1" applyBorder="1"/>
    <xf numFmtId="164" fontId="0" fillId="0" borderId="0" xfId="0" applyNumberFormat="1" applyFill="1" applyAlignment="1">
      <alignment horizontal="right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65" fontId="0" fillId="0" borderId="0" xfId="0" applyNumberFormat="1" applyFill="1"/>
    <xf numFmtId="164" fontId="0" fillId="0" borderId="11" xfId="0" applyNumberFormat="1" applyFill="1" applyBorder="1"/>
    <xf numFmtId="1" fontId="0" fillId="0" borderId="2" xfId="0" applyNumberForma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164" fontId="1" fillId="0" borderId="4" xfId="0" applyNumberFormat="1" applyFont="1" applyFill="1" applyBorder="1" applyAlignment="1">
      <alignment horizontal="left"/>
    </xf>
    <xf numFmtId="1" fontId="1" fillId="0" borderId="5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center"/>
    </xf>
    <xf numFmtId="2" fontId="0" fillId="0" borderId="5" xfId="0" applyNumberFormat="1" applyFill="1" applyBorder="1"/>
    <xf numFmtId="1" fontId="0" fillId="4" borderId="5" xfId="0" applyNumberFormat="1" applyFill="1" applyBorder="1"/>
    <xf numFmtId="1" fontId="0" fillId="2" borderId="5" xfId="0" applyNumberFormat="1" applyFill="1" applyBorder="1"/>
    <xf numFmtId="2" fontId="3" fillId="0" borderId="11" xfId="0" applyNumberFormat="1" applyFont="1" applyFill="1" applyBorder="1" applyAlignment="1">
      <alignment horizontal="center"/>
    </xf>
    <xf numFmtId="1" fontId="0" fillId="7" borderId="5" xfId="0" applyNumberFormat="1" applyFill="1" applyBorder="1"/>
    <xf numFmtId="1" fontId="0" fillId="3" borderId="14" xfId="0" applyNumberFormat="1" applyFill="1" applyBorder="1"/>
    <xf numFmtId="1" fontId="0" fillId="3" borderId="15" xfId="0" applyNumberFormat="1" applyFill="1" applyBorder="1"/>
    <xf numFmtId="1" fontId="0" fillId="4" borderId="17" xfId="0" applyNumberFormat="1" applyFill="1" applyBorder="1"/>
    <xf numFmtId="1" fontId="0" fillId="8" borderId="19" xfId="0" applyNumberFormat="1" applyFill="1" applyBorder="1"/>
    <xf numFmtId="1" fontId="0" fillId="8" borderId="20" xfId="0" applyNumberFormat="1" applyFill="1" applyBorder="1"/>
    <xf numFmtId="164" fontId="0" fillId="0" borderId="13" xfId="0" applyNumberFormat="1" applyFill="1" applyBorder="1"/>
    <xf numFmtId="164" fontId="3" fillId="0" borderId="10" xfId="0" applyNumberFormat="1" applyFont="1" applyFill="1" applyBorder="1" applyAlignment="1">
      <alignment horizontal="center"/>
    </xf>
    <xf numFmtId="164" fontId="0" fillId="0" borderId="16" xfId="0" applyNumberFormat="1" applyFill="1" applyBorder="1"/>
    <xf numFmtId="2" fontId="0" fillId="0" borderId="18" xfId="0" applyNumberFormat="1" applyFill="1" applyBorder="1"/>
    <xf numFmtId="164" fontId="0" fillId="0" borderId="23" xfId="0" applyNumberFormat="1" applyFill="1" applyBorder="1"/>
    <xf numFmtId="1" fontId="0" fillId="6" borderId="14" xfId="0" applyNumberFormat="1" applyFill="1" applyBorder="1"/>
    <xf numFmtId="1" fontId="0" fillId="6" borderId="15" xfId="0" applyNumberFormat="1" applyFill="1" applyBorder="1"/>
    <xf numFmtId="1" fontId="0" fillId="2" borderId="17" xfId="0" applyNumberFormat="1" applyFill="1" applyBorder="1"/>
    <xf numFmtId="1" fontId="0" fillId="5" borderId="19" xfId="0" applyNumberFormat="1" applyFill="1" applyBorder="1"/>
    <xf numFmtId="1" fontId="0" fillId="5" borderId="20" xfId="0" applyNumberFormat="1" applyFill="1" applyBorder="1"/>
    <xf numFmtId="2" fontId="0" fillId="3" borderId="14" xfId="0" applyNumberFormat="1" applyFill="1" applyBorder="1"/>
    <xf numFmtId="2" fontId="0" fillId="3" borderId="15" xfId="0" applyNumberFormat="1" applyFill="1" applyBorder="1"/>
    <xf numFmtId="2" fontId="0" fillId="4" borderId="5" xfId="0" applyNumberFormat="1" applyFill="1" applyBorder="1"/>
    <xf numFmtId="2" fontId="0" fillId="4" borderId="17" xfId="0" applyNumberFormat="1" applyFill="1" applyBorder="1"/>
    <xf numFmtId="2" fontId="0" fillId="8" borderId="19" xfId="0" applyNumberFormat="1" applyFill="1" applyBorder="1"/>
    <xf numFmtId="2" fontId="0" fillId="8" borderId="20" xfId="0" applyNumberFormat="1" applyFill="1" applyBorder="1"/>
    <xf numFmtId="2" fontId="0" fillId="6" borderId="14" xfId="0" applyNumberFormat="1" applyFill="1" applyBorder="1"/>
    <xf numFmtId="2" fontId="0" fillId="6" borderId="15" xfId="0" applyNumberFormat="1" applyFill="1" applyBorder="1"/>
    <xf numFmtId="2" fontId="0" fillId="2" borderId="5" xfId="0" applyNumberFormat="1" applyFill="1" applyBorder="1"/>
    <xf numFmtId="2" fontId="0" fillId="2" borderId="17" xfId="0" applyNumberFormat="1" applyFill="1" applyBorder="1"/>
    <xf numFmtId="2" fontId="0" fillId="5" borderId="19" xfId="0" applyNumberFormat="1" applyFill="1" applyBorder="1"/>
    <xf numFmtId="2" fontId="0" fillId="5" borderId="20" xfId="0" applyNumberFormat="1" applyFill="1" applyBorder="1"/>
    <xf numFmtId="2" fontId="0" fillId="0" borderId="14" xfId="0" applyNumberFormat="1" applyFill="1" applyBorder="1"/>
    <xf numFmtId="2" fontId="0" fillId="0" borderId="19" xfId="0" applyNumberFormat="1" applyFill="1" applyBorder="1"/>
    <xf numFmtId="164" fontId="0" fillId="0" borderId="24" xfId="0" applyNumberFormat="1" applyFill="1" applyBorder="1"/>
    <xf numFmtId="1" fontId="0" fillId="6" borderId="25" xfId="0" applyNumberFormat="1" applyFill="1" applyBorder="1"/>
    <xf numFmtId="1" fontId="0" fillId="6" borderId="26" xfId="0" applyNumberFormat="1" applyFill="1" applyBorder="1"/>
    <xf numFmtId="2" fontId="1" fillId="0" borderId="3" xfId="0" applyNumberFormat="1" applyFont="1" applyFill="1" applyBorder="1" applyAlignment="1">
      <alignment horizontal="left"/>
    </xf>
    <xf numFmtId="2" fontId="2" fillId="0" borderId="7" xfId="0" applyNumberFormat="1" applyFont="1" applyFill="1" applyBorder="1" applyAlignment="1">
      <alignment horizontal="center"/>
    </xf>
    <xf numFmtId="2" fontId="2" fillId="0" borderId="1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left"/>
    </xf>
    <xf numFmtId="2" fontId="3" fillId="0" borderId="5" xfId="0" applyNumberFormat="1" applyFont="1" applyFill="1" applyBorder="1" applyAlignment="1">
      <alignment horizontal="left"/>
    </xf>
    <xf numFmtId="2" fontId="3" fillId="0" borderId="0" xfId="0" applyNumberFormat="1" applyFont="1" applyFill="1"/>
    <xf numFmtId="2" fontId="3" fillId="0" borderId="0" xfId="0" applyNumberFormat="1" applyFont="1" applyFill="1" applyBorder="1"/>
    <xf numFmtId="166" fontId="0" fillId="5" borderId="5" xfId="0" applyNumberFormat="1" applyFill="1" applyBorder="1"/>
    <xf numFmtId="2" fontId="0" fillId="0" borderId="27" xfId="0" applyNumberFormat="1" applyFill="1" applyBorder="1"/>
    <xf numFmtId="166" fontId="0" fillId="5" borderId="17" xfId="0" applyNumberFormat="1" applyFill="1" applyBorder="1"/>
    <xf numFmtId="2" fontId="0" fillId="0" borderId="28" xfId="0" applyNumberFormat="1" applyFill="1" applyBorder="1"/>
    <xf numFmtId="2" fontId="3" fillId="0" borderId="29" xfId="0" applyNumberFormat="1" applyFont="1" applyFill="1" applyBorder="1" applyAlignment="1">
      <alignment horizontal="center"/>
    </xf>
    <xf numFmtId="2" fontId="3" fillId="0" borderId="30" xfId="0" applyNumberFormat="1" applyFont="1" applyFill="1" applyBorder="1" applyAlignment="1">
      <alignment horizontal="center"/>
    </xf>
    <xf numFmtId="2" fontId="3" fillId="0" borderId="21" xfId="0" applyNumberFormat="1" applyFont="1" applyFill="1" applyBorder="1" applyAlignment="1">
      <alignment horizontal="center"/>
    </xf>
    <xf numFmtId="2" fontId="0" fillId="9" borderId="25" xfId="0" applyNumberFormat="1" applyFill="1" applyBorder="1"/>
    <xf numFmtId="2" fontId="0" fillId="9" borderId="26" xfId="0" applyNumberFormat="1" applyFill="1" applyBorder="1"/>
    <xf numFmtId="1" fontId="0" fillId="0" borderId="31" xfId="0" applyNumberFormat="1" applyFill="1" applyBorder="1" applyAlignment="1">
      <alignment horizontal="center"/>
    </xf>
    <xf numFmtId="1" fontId="0" fillId="5" borderId="25" xfId="0" applyNumberFormat="1" applyFill="1" applyBorder="1"/>
    <xf numFmtId="1" fontId="0" fillId="5" borderId="26" xfId="0" applyNumberFormat="1" applyFill="1" applyBorder="1"/>
    <xf numFmtId="1" fontId="0" fillId="7" borderId="13" xfId="0" applyNumberFormat="1" applyFill="1" applyBorder="1"/>
    <xf numFmtId="1" fontId="0" fillId="7" borderId="14" xfId="0" applyNumberFormat="1" applyFill="1" applyBorder="1"/>
    <xf numFmtId="1" fontId="0" fillId="7" borderId="15" xfId="0" applyNumberFormat="1" applyFill="1" applyBorder="1"/>
    <xf numFmtId="1" fontId="0" fillId="7" borderId="17" xfId="0" applyNumberFormat="1" applyFill="1" applyBorder="1"/>
    <xf numFmtId="1" fontId="0" fillId="7" borderId="19" xfId="0" applyNumberFormat="1" applyFill="1" applyBorder="1"/>
    <xf numFmtId="1" fontId="0" fillId="7" borderId="20" xfId="0" applyNumberFormat="1" applyFill="1" applyBorder="1"/>
    <xf numFmtId="164" fontId="0" fillId="0" borderId="33" xfId="0" applyNumberFormat="1" applyFill="1" applyBorder="1"/>
    <xf numFmtId="164" fontId="0" fillId="0" borderId="32" xfId="0" applyNumberFormat="1" applyFill="1" applyBorder="1"/>
    <xf numFmtId="164" fontId="0" fillId="0" borderId="22" xfId="0" applyNumberFormat="1" applyFill="1" applyBorder="1"/>
    <xf numFmtId="164" fontId="0" fillId="0" borderId="5" xfId="0" applyNumberFormat="1" applyBorder="1"/>
    <xf numFmtId="1" fontId="0" fillId="0" borderId="5" xfId="0" applyNumberFormat="1" applyBorder="1" applyAlignment="1">
      <alignment horizontal="center"/>
    </xf>
    <xf numFmtId="1" fontId="0" fillId="3" borderId="5" xfId="0" applyNumberFormat="1" applyFill="1" applyBorder="1"/>
    <xf numFmtId="1" fontId="0" fillId="0" borderId="5" xfId="0" applyNumberFormat="1" applyBorder="1"/>
    <xf numFmtId="2" fontId="0" fillId="0" borderId="5" xfId="0" applyNumberFormat="1" applyBorder="1"/>
    <xf numFmtId="2" fontId="0" fillId="10" borderId="5" xfId="0" applyNumberFormat="1" applyFill="1" applyBorder="1"/>
    <xf numFmtId="164" fontId="0" fillId="0" borderId="1" xfId="0" applyNumberFormat="1" applyFill="1" applyBorder="1" applyAlignment="1">
      <alignment horizontal="right"/>
    </xf>
    <xf numFmtId="1" fontId="0" fillId="7" borderId="10" xfId="0" applyNumberFormat="1" applyFill="1" applyBorder="1"/>
    <xf numFmtId="1" fontId="0" fillId="3" borderId="7" xfId="0" applyNumberFormat="1" applyFill="1" applyBorder="1"/>
    <xf numFmtId="1" fontId="0" fillId="0" borderId="7" xfId="0" applyNumberFormat="1" applyBorder="1"/>
    <xf numFmtId="2" fontId="0" fillId="0" borderId="7" xfId="0" applyNumberFormat="1" applyBorder="1"/>
    <xf numFmtId="2" fontId="0" fillId="0" borderId="35" xfId="0" applyNumberFormat="1" applyBorder="1"/>
    <xf numFmtId="1" fontId="0" fillId="0" borderId="9" xfId="0" applyNumberFormat="1" applyBorder="1"/>
    <xf numFmtId="1" fontId="0" fillId="3" borderId="9" xfId="0" applyNumberFormat="1" applyFill="1" applyBorder="1"/>
    <xf numFmtId="2" fontId="0" fillId="0" borderId="9" xfId="0" applyNumberFormat="1" applyBorder="1"/>
    <xf numFmtId="2" fontId="0" fillId="4" borderId="9" xfId="0" applyNumberFormat="1" applyFill="1" applyBorder="1"/>
    <xf numFmtId="2" fontId="0" fillId="0" borderId="4" xfId="0" applyNumberFormat="1" applyBorder="1"/>
    <xf numFmtId="1" fontId="0" fillId="3" borderId="16" xfId="0" applyNumberFormat="1" applyFill="1" applyBorder="1" applyAlignment="1">
      <alignment horizontal="right"/>
    </xf>
    <xf numFmtId="1" fontId="0" fillId="0" borderId="17" xfId="0" applyNumberFormat="1" applyBorder="1"/>
    <xf numFmtId="1" fontId="0" fillId="0" borderId="16" xfId="0" applyNumberFormat="1" applyBorder="1" applyAlignment="1">
      <alignment horizontal="right"/>
    </xf>
    <xf numFmtId="1" fontId="0" fillId="3" borderId="17" xfId="0" applyNumberFormat="1" applyFill="1" applyBorder="1"/>
    <xf numFmtId="2" fontId="0" fillId="0" borderId="16" xfId="0" applyNumberFormat="1" applyBorder="1" applyAlignment="1">
      <alignment horizontal="right"/>
    </xf>
    <xf numFmtId="2" fontId="0" fillId="0" borderId="17" xfId="0" applyNumberFormat="1" applyBorder="1"/>
    <xf numFmtId="1" fontId="0" fillId="7" borderId="24" xfId="0" applyNumberFormat="1" applyFill="1" applyBorder="1" applyAlignment="1">
      <alignment horizontal="right"/>
    </xf>
    <xf numFmtId="1" fontId="0" fillId="7" borderId="25" xfId="0" applyNumberFormat="1" applyFill="1" applyBorder="1"/>
    <xf numFmtId="1" fontId="0" fillId="7" borderId="26" xfId="0" applyNumberFormat="1" applyFill="1" applyBorder="1"/>
    <xf numFmtId="1" fontId="0" fillId="6" borderId="13" xfId="0" applyNumberFormat="1" applyFill="1" applyBorder="1"/>
    <xf numFmtId="1" fontId="0" fillId="6" borderId="10" xfId="0" applyNumberFormat="1" applyFill="1" applyBorder="1"/>
    <xf numFmtId="1" fontId="0" fillId="6" borderId="24" xfId="0" applyNumberFormat="1" applyFill="1" applyBorder="1" applyAlignment="1">
      <alignment horizontal="right"/>
    </xf>
    <xf numFmtId="1" fontId="0" fillId="5" borderId="13" xfId="0" applyNumberFormat="1" applyFill="1" applyBorder="1"/>
    <xf numFmtId="1" fontId="0" fillId="5" borderId="10" xfId="0" applyNumberFormat="1" applyFill="1" applyBorder="1"/>
    <xf numFmtId="1" fontId="0" fillId="5" borderId="24" xfId="0" applyNumberFormat="1" applyFill="1" applyBorder="1" applyAlignment="1">
      <alignment horizontal="right"/>
    </xf>
    <xf numFmtId="2" fontId="0" fillId="0" borderId="17" xfId="0" applyNumberFormat="1" applyFill="1" applyBorder="1"/>
    <xf numFmtId="1" fontId="0" fillId="2" borderId="25" xfId="0" applyNumberFormat="1" applyFill="1" applyBorder="1"/>
    <xf numFmtId="1" fontId="0" fillId="2" borderId="34" xfId="0" applyNumberFormat="1" applyFill="1" applyBorder="1"/>
    <xf numFmtId="1" fontId="0" fillId="2" borderId="24" xfId="0" applyNumberFormat="1" applyFill="1" applyBorder="1"/>
    <xf numFmtId="1" fontId="0" fillId="2" borderId="25" xfId="0" applyNumberFormat="1" applyFill="1" applyBorder="1" applyAlignment="1">
      <alignment horizontal="right"/>
    </xf>
    <xf numFmtId="1" fontId="0" fillId="2" borderId="26" xfId="0" applyNumberFormat="1" applyFill="1" applyBorder="1"/>
    <xf numFmtId="2" fontId="0" fillId="9" borderId="34" xfId="0" applyNumberFormat="1" applyFill="1" applyBorder="1"/>
    <xf numFmtId="166" fontId="0" fillId="5" borderId="10" xfId="0" applyNumberFormat="1" applyFill="1" applyBorder="1"/>
    <xf numFmtId="2" fontId="0" fillId="9" borderId="36" xfId="0" applyNumberFormat="1" applyFill="1" applyBorder="1" applyAlignment="1">
      <alignment horizontal="right"/>
    </xf>
    <xf numFmtId="166" fontId="0" fillId="5" borderId="27" xfId="0" applyNumberFormat="1" applyFill="1" applyBorder="1" applyAlignment="1">
      <alignment horizontal="right"/>
    </xf>
    <xf numFmtId="166" fontId="0" fillId="6" borderId="10" xfId="0" applyNumberFormat="1" applyFill="1" applyBorder="1"/>
    <xf numFmtId="166" fontId="0" fillId="6" borderId="27" xfId="0" applyNumberFormat="1" applyFill="1" applyBorder="1" applyAlignment="1">
      <alignment horizontal="right"/>
    </xf>
    <xf numFmtId="166" fontId="0" fillId="6" borderId="5" xfId="0" applyNumberFormat="1" applyFill="1" applyBorder="1"/>
    <xf numFmtId="166" fontId="0" fillId="6" borderId="17" xfId="0" applyNumberFormat="1" applyFill="1" applyBorder="1"/>
    <xf numFmtId="166" fontId="0" fillId="6" borderId="16" xfId="0" applyNumberFormat="1" applyFill="1" applyBorder="1" applyAlignment="1">
      <alignment horizontal="right"/>
    </xf>
    <xf numFmtId="164" fontId="3" fillId="0" borderId="34" xfId="0" applyNumberFormat="1" applyFont="1" applyFill="1" applyBorder="1" applyAlignment="1">
      <alignment horizontal="center"/>
    </xf>
    <xf numFmtId="1" fontId="0" fillId="7" borderId="24" xfId="0" applyNumberFormat="1" applyFill="1" applyBorder="1"/>
    <xf numFmtId="1" fontId="0" fillId="7" borderId="34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1" fontId="0" fillId="0" borderId="7" xfId="0" applyNumberFormat="1" applyFill="1" applyBorder="1" applyAlignment="1">
      <alignment horizontal="center"/>
    </xf>
    <xf numFmtId="2" fontId="0" fillId="0" borderId="37" xfId="0" applyNumberFormat="1" applyFill="1" applyBorder="1"/>
    <xf numFmtId="2" fontId="2" fillId="0" borderId="8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38" xfId="0" applyNumberFormat="1" applyFon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9" xfId="0" applyNumberFormat="1" applyFill="1" applyBorder="1" applyAlignment="1">
      <alignment horizontal="center"/>
    </xf>
    <xf numFmtId="2" fontId="3" fillId="0" borderId="9" xfId="0" applyNumberFormat="1" applyFont="1" applyFill="1" applyBorder="1"/>
    <xf numFmtId="2" fontId="0" fillId="3" borderId="20" xfId="0" applyNumberFormat="1" applyFill="1" applyBorder="1"/>
    <xf numFmtId="2" fontId="0" fillId="8" borderId="14" xfId="0" applyNumberFormat="1" applyFill="1" applyBorder="1"/>
    <xf numFmtId="2" fontId="0" fillId="8" borderId="15" xfId="0" applyNumberFormat="1" applyFill="1" applyBorder="1"/>
    <xf numFmtId="165" fontId="0" fillId="0" borderId="0" xfId="0" applyNumberFormat="1" applyFill="1" applyBorder="1"/>
    <xf numFmtId="166" fontId="0" fillId="5" borderId="39" xfId="0" applyNumberFormat="1" applyFill="1" applyBorder="1"/>
    <xf numFmtId="166" fontId="0" fillId="5" borderId="12" xfId="0" applyNumberFormat="1" applyFill="1" applyBorder="1"/>
    <xf numFmtId="166" fontId="0" fillId="5" borderId="41" xfId="0" applyNumberFormat="1" applyFill="1" applyBorder="1" applyAlignment="1">
      <alignment horizontal="right"/>
    </xf>
    <xf numFmtId="166" fontId="0" fillId="5" borderId="21" xfId="0" applyNumberFormat="1" applyFill="1" applyBorder="1"/>
    <xf numFmtId="2" fontId="0" fillId="9" borderId="24" xfId="0" applyNumberFormat="1" applyFill="1" applyBorder="1"/>
    <xf numFmtId="1" fontId="0" fillId="7" borderId="7" xfId="0" applyNumberFormat="1" applyFill="1" applyBorder="1"/>
    <xf numFmtId="1" fontId="0" fillId="7" borderId="22" xfId="0" applyNumberFormat="1" applyFill="1" applyBorder="1"/>
    <xf numFmtId="1" fontId="0" fillId="3" borderId="10" xfId="0" applyNumberFormat="1" applyFill="1" applyBorder="1"/>
    <xf numFmtId="1" fontId="0" fillId="4" borderId="7" xfId="0" applyNumberFormat="1" applyFill="1" applyBorder="1"/>
    <xf numFmtId="1" fontId="0" fillId="8" borderId="22" xfId="0" applyNumberFormat="1" applyFill="1" applyBorder="1"/>
    <xf numFmtId="1" fontId="0" fillId="2" borderId="7" xfId="0" applyNumberFormat="1" applyFill="1" applyBorder="1"/>
    <xf numFmtId="1" fontId="0" fillId="5" borderId="22" xfId="0" applyNumberFormat="1" applyFill="1" applyBorder="1"/>
    <xf numFmtId="2" fontId="0" fillId="6" borderId="10" xfId="0" applyNumberFormat="1" applyFill="1" applyBorder="1"/>
    <xf numFmtId="2" fontId="0" fillId="2" borderId="7" xfId="0" applyNumberFormat="1" applyFill="1" applyBorder="1"/>
    <xf numFmtId="2" fontId="0" fillId="5" borderId="22" xfId="0" applyNumberFormat="1" applyFill="1" applyBorder="1"/>
    <xf numFmtId="1" fontId="1" fillId="0" borderId="23" xfId="0" applyNumberFormat="1" applyFont="1" applyFill="1" applyBorder="1" applyAlignment="1">
      <alignment horizontal="center"/>
    </xf>
    <xf numFmtId="1" fontId="1" fillId="0" borderId="10" xfId="0" applyNumberFormat="1" applyFont="1" applyFill="1" applyBorder="1" applyAlignment="1">
      <alignment horizontal="center"/>
    </xf>
    <xf numFmtId="1" fontId="1" fillId="0" borderId="42" xfId="0" applyNumberFormat="1" applyFont="1" applyFill="1" applyBorder="1" applyAlignment="1">
      <alignment horizontal="center"/>
    </xf>
    <xf numFmtId="164" fontId="0" fillId="0" borderId="28" xfId="0" applyNumberFormat="1" applyFill="1" applyBorder="1"/>
    <xf numFmtId="164" fontId="0" fillId="0" borderId="43" xfId="0" applyNumberFormat="1" applyFill="1" applyBorder="1"/>
    <xf numFmtId="1" fontId="0" fillId="7" borderId="16" xfId="0" applyNumberFormat="1" applyFill="1" applyBorder="1"/>
    <xf numFmtId="1" fontId="0" fillId="7" borderId="18" xfId="0" applyNumberFormat="1" applyFill="1" applyBorder="1"/>
    <xf numFmtId="2" fontId="0" fillId="0" borderId="44" xfId="0" applyNumberFormat="1" applyFill="1" applyBorder="1"/>
    <xf numFmtId="2" fontId="0" fillId="0" borderId="45" xfId="0" applyNumberFormat="1" applyFill="1" applyBorder="1"/>
    <xf numFmtId="1" fontId="0" fillId="3" borderId="13" xfId="0" applyNumberFormat="1" applyFill="1" applyBorder="1"/>
    <xf numFmtId="1" fontId="0" fillId="4" borderId="16" xfId="0" applyNumberFormat="1" applyFill="1" applyBorder="1"/>
    <xf numFmtId="1" fontId="0" fillId="8" borderId="18" xfId="0" applyNumberFormat="1" applyFill="1" applyBorder="1"/>
    <xf numFmtId="2" fontId="0" fillId="3" borderId="13" xfId="0" applyNumberFormat="1" applyFill="1" applyBorder="1"/>
    <xf numFmtId="2" fontId="0" fillId="4" borderId="16" xfId="0" applyNumberFormat="1" applyFill="1" applyBorder="1"/>
    <xf numFmtId="2" fontId="0" fillId="8" borderId="18" xfId="0" applyNumberFormat="1" applyFill="1" applyBorder="1"/>
    <xf numFmtId="165" fontId="0" fillId="0" borderId="44" xfId="0" applyNumberFormat="1" applyFill="1" applyBorder="1"/>
    <xf numFmtId="165" fontId="0" fillId="0" borderId="45" xfId="0" applyNumberFormat="1" applyFill="1" applyBorder="1"/>
    <xf numFmtId="164" fontId="0" fillId="0" borderId="44" xfId="0" applyNumberFormat="1" applyFill="1" applyBorder="1"/>
    <xf numFmtId="164" fontId="0" fillId="0" borderId="45" xfId="0" applyNumberFormat="1" applyFill="1" applyBorder="1"/>
    <xf numFmtId="1" fontId="0" fillId="2" borderId="16" xfId="0" applyNumberFormat="1" applyFill="1" applyBorder="1"/>
    <xf numFmtId="1" fontId="0" fillId="5" borderId="18" xfId="0" applyNumberFormat="1" applyFill="1" applyBorder="1"/>
    <xf numFmtId="2" fontId="0" fillId="6" borderId="13" xfId="0" applyNumberFormat="1" applyFill="1" applyBorder="1"/>
    <xf numFmtId="2" fontId="0" fillId="2" borderId="16" xfId="0" applyNumberFormat="1" applyFill="1" applyBorder="1"/>
    <xf numFmtId="2" fontId="0" fillId="5" borderId="18" xfId="0" applyNumberFormat="1" applyFill="1" applyBorder="1"/>
    <xf numFmtId="166" fontId="0" fillId="5" borderId="46" xfId="0" applyNumberFormat="1" applyFill="1" applyBorder="1"/>
    <xf numFmtId="166" fontId="0" fillId="5" borderId="16" xfId="0" applyNumberFormat="1" applyFill="1" applyBorder="1"/>
    <xf numFmtId="166" fontId="0" fillId="6" borderId="16" xfId="0" applyNumberFormat="1" applyFill="1" applyBorder="1"/>
    <xf numFmtId="1" fontId="0" fillId="6" borderId="24" xfId="0" applyNumberFormat="1" applyFill="1" applyBorder="1"/>
    <xf numFmtId="1" fontId="0" fillId="5" borderId="24" xfId="0" applyNumberFormat="1" applyFill="1" applyBorder="1"/>
    <xf numFmtId="1" fontId="0" fillId="0" borderId="47" xfId="0" applyNumberFormat="1" applyBorder="1"/>
    <xf numFmtId="1" fontId="0" fillId="3" borderId="47" xfId="0" applyNumberFormat="1" applyFill="1" applyBorder="1"/>
    <xf numFmtId="2" fontId="0" fillId="0" borderId="47" xfId="0" applyNumberFormat="1" applyBorder="1"/>
    <xf numFmtId="2" fontId="0" fillId="0" borderId="47" xfId="0" applyNumberFormat="1" applyFill="1" applyBorder="1"/>
    <xf numFmtId="2" fontId="0" fillId="4" borderId="47" xfId="0" applyNumberFormat="1" applyFill="1" applyBorder="1"/>
    <xf numFmtId="2" fontId="0" fillId="11" borderId="17" xfId="0" applyNumberFormat="1" applyFill="1" applyBorder="1"/>
    <xf numFmtId="2" fontId="0" fillId="8" borderId="13" xfId="0" applyNumberFormat="1" applyFill="1" applyBorder="1"/>
    <xf numFmtId="166" fontId="0" fillId="5" borderId="48" xfId="0" applyNumberFormat="1" applyFill="1" applyBorder="1"/>
    <xf numFmtId="166" fontId="0" fillId="6" borderId="47" xfId="0" applyNumberFormat="1" applyFill="1" applyBorder="1"/>
    <xf numFmtId="1" fontId="0" fillId="0" borderId="16" xfId="0" applyNumberFormat="1" applyBorder="1"/>
    <xf numFmtId="1" fontId="0" fillId="3" borderId="16" xfId="0" applyNumberFormat="1" applyFill="1" applyBorder="1"/>
    <xf numFmtId="2" fontId="0" fillId="0" borderId="16" xfId="0" applyNumberFormat="1" applyBorder="1"/>
    <xf numFmtId="2" fontId="0" fillId="11" borderId="16" xfId="0" applyNumberFormat="1" applyFill="1" applyBorder="1"/>
    <xf numFmtId="164" fontId="1" fillId="0" borderId="22" xfId="0" applyNumberFormat="1" applyFont="1" applyFill="1" applyBorder="1" applyAlignment="1">
      <alignment horizontal="left"/>
    </xf>
    <xf numFmtId="164" fontId="3" fillId="0" borderId="7" xfId="0" applyNumberFormat="1" applyFont="1" applyFill="1" applyBorder="1" applyAlignment="1">
      <alignment horizontal="center"/>
    </xf>
    <xf numFmtId="2" fontId="3" fillId="0" borderId="22" xfId="0" applyNumberFormat="1" applyFont="1" applyFill="1" applyBorder="1" applyAlignment="1">
      <alignment horizontal="center"/>
    </xf>
    <xf numFmtId="2" fontId="3" fillId="0" borderId="7" xfId="0" applyNumberFormat="1" applyFont="1" applyFill="1" applyBorder="1" applyAlignment="1">
      <alignment horizontal="center"/>
    </xf>
    <xf numFmtId="164" fontId="0" fillId="0" borderId="7" xfId="0" applyNumberFormat="1" applyBorder="1"/>
    <xf numFmtId="164" fontId="3" fillId="0" borderId="22" xfId="0" applyNumberFormat="1" applyFont="1" applyFill="1" applyBorder="1" applyAlignment="1">
      <alignment horizontal="center"/>
    </xf>
    <xf numFmtId="1" fontId="1" fillId="0" borderId="49" xfId="0" applyNumberFormat="1" applyFont="1" applyFill="1" applyBorder="1" applyAlignment="1">
      <alignment horizontal="center"/>
    </xf>
    <xf numFmtId="2" fontId="0" fillId="0" borderId="13" xfId="0" applyNumberFormat="1" applyFill="1" applyBorder="1"/>
    <xf numFmtId="2" fontId="0" fillId="0" borderId="16" xfId="0" applyNumberFormat="1" applyFill="1" applyBorder="1"/>
    <xf numFmtId="166" fontId="0" fillId="5" borderId="13" xfId="0" applyNumberFormat="1" applyFill="1" applyBorder="1"/>
    <xf numFmtId="166" fontId="0" fillId="6" borderId="13" xfId="0" applyNumberFormat="1" applyFill="1" applyBorder="1"/>
    <xf numFmtId="2" fontId="0" fillId="10" borderId="17" xfId="0" applyNumberFormat="1" applyFill="1" applyBorder="1"/>
    <xf numFmtId="2" fontId="0" fillId="0" borderId="50" xfId="0" applyNumberFormat="1" applyBorder="1"/>
    <xf numFmtId="164" fontId="0" fillId="0" borderId="51" xfId="0" applyNumberFormat="1" applyFill="1" applyBorder="1"/>
    <xf numFmtId="2" fontId="0" fillId="0" borderId="10" xfId="0" applyNumberFormat="1" applyFill="1" applyBorder="1"/>
    <xf numFmtId="2" fontId="0" fillId="0" borderId="7" xfId="0" applyNumberFormat="1" applyFill="1" applyBorder="1"/>
    <xf numFmtId="2" fontId="0" fillId="0" borderId="22" xfId="0" applyNumberFormat="1" applyFill="1" applyBorder="1"/>
    <xf numFmtId="164" fontId="0" fillId="0" borderId="28" xfId="0" applyNumberFormat="1" applyFill="1" applyBorder="1" applyAlignment="1">
      <alignment horizontal="right"/>
    </xf>
    <xf numFmtId="1" fontId="0" fillId="7" borderId="13" xfId="0" applyNumberFormat="1" applyFill="1" applyBorder="1" applyAlignment="1">
      <alignment horizontal="right"/>
    </xf>
    <xf numFmtId="1" fontId="0" fillId="7" borderId="16" xfId="0" applyNumberFormat="1" applyFill="1" applyBorder="1" applyAlignment="1">
      <alignment horizontal="right"/>
    </xf>
    <xf numFmtId="1" fontId="0" fillId="7" borderId="18" xfId="0" applyNumberFormat="1" applyFill="1" applyBorder="1" applyAlignment="1">
      <alignment horizontal="right"/>
    </xf>
    <xf numFmtId="1" fontId="0" fillId="3" borderId="13" xfId="0" applyNumberFormat="1" applyFill="1" applyBorder="1" applyAlignment="1">
      <alignment horizontal="right"/>
    </xf>
    <xf numFmtId="1" fontId="0" fillId="4" borderId="16" xfId="0" applyNumberFormat="1" applyFill="1" applyBorder="1" applyAlignment="1">
      <alignment horizontal="right"/>
    </xf>
    <xf numFmtId="1" fontId="0" fillId="8" borderId="18" xfId="0" applyNumberFormat="1" applyFill="1" applyBorder="1" applyAlignment="1">
      <alignment horizontal="right"/>
    </xf>
    <xf numFmtId="2" fontId="0" fillId="0" borderId="13" xfId="0" applyNumberFormat="1" applyFill="1" applyBorder="1" applyAlignment="1">
      <alignment horizontal="right"/>
    </xf>
    <xf numFmtId="2" fontId="0" fillId="0" borderId="16" xfId="0" applyNumberFormat="1" applyFill="1" applyBorder="1" applyAlignment="1">
      <alignment horizontal="right"/>
    </xf>
    <xf numFmtId="2" fontId="0" fillId="0" borderId="18" xfId="0" applyNumberFormat="1" applyFill="1" applyBorder="1" applyAlignment="1">
      <alignment horizontal="right"/>
    </xf>
    <xf numFmtId="1" fontId="0" fillId="6" borderId="13" xfId="0" applyNumberFormat="1" applyFill="1" applyBorder="1" applyAlignment="1">
      <alignment horizontal="right"/>
    </xf>
    <xf numFmtId="1" fontId="0" fillId="2" borderId="16" xfId="0" applyNumberFormat="1" applyFill="1" applyBorder="1" applyAlignment="1">
      <alignment horizontal="right"/>
    </xf>
    <xf numFmtId="1" fontId="0" fillId="5" borderId="18" xfId="0" applyNumberFormat="1" applyFill="1" applyBorder="1" applyAlignment="1">
      <alignment horizontal="right"/>
    </xf>
    <xf numFmtId="2" fontId="0" fillId="6" borderId="13" xfId="0" applyNumberFormat="1" applyFill="1" applyBorder="1" applyAlignment="1">
      <alignment horizontal="right"/>
    </xf>
    <xf numFmtId="2" fontId="0" fillId="2" borderId="16" xfId="0" applyNumberFormat="1" applyFill="1" applyBorder="1" applyAlignment="1">
      <alignment horizontal="right"/>
    </xf>
    <xf numFmtId="2" fontId="0" fillId="5" borderId="18" xfId="0" applyNumberFormat="1" applyFill="1" applyBorder="1" applyAlignment="1">
      <alignment horizontal="right"/>
    </xf>
    <xf numFmtId="2" fontId="0" fillId="9" borderId="36" xfId="0" applyNumberFormat="1" applyFill="1" applyBorder="1"/>
    <xf numFmtId="166" fontId="0" fillId="5" borderId="41" xfId="0" applyNumberFormat="1" applyFill="1" applyBorder="1"/>
    <xf numFmtId="166" fontId="0" fillId="5" borderId="23" xfId="0" applyNumberFormat="1" applyFill="1" applyBorder="1"/>
    <xf numFmtId="166" fontId="0" fillId="6" borderId="23" xfId="0" applyNumberFormat="1" applyFill="1" applyBorder="1"/>
    <xf numFmtId="2" fontId="0" fillId="0" borderId="44" xfId="0" applyNumberFormat="1" applyFill="1" applyBorder="1" applyAlignment="1">
      <alignment horizontal="right"/>
    </xf>
    <xf numFmtId="1" fontId="0" fillId="0" borderId="13" xfId="0" applyNumberFormat="1" applyFill="1" applyBorder="1"/>
    <xf numFmtId="1" fontId="0" fillId="0" borderId="10" xfId="0" applyNumberFormat="1" applyFill="1" applyBorder="1"/>
    <xf numFmtId="1" fontId="0" fillId="0" borderId="13" xfId="0" applyNumberFormat="1" applyFill="1" applyBorder="1" applyAlignment="1">
      <alignment horizontal="right"/>
    </xf>
    <xf numFmtId="1" fontId="0" fillId="0" borderId="14" xfId="0" applyNumberFormat="1" applyFill="1" applyBorder="1"/>
    <xf numFmtId="1" fontId="0" fillId="0" borderId="16" xfId="0" applyNumberFormat="1" applyFill="1" applyBorder="1"/>
    <xf numFmtId="1" fontId="0" fillId="0" borderId="7" xfId="0" applyNumberFormat="1" applyFill="1" applyBorder="1"/>
    <xf numFmtId="1" fontId="0" fillId="0" borderId="16" xfId="0" applyNumberFormat="1" applyFill="1" applyBorder="1" applyAlignment="1">
      <alignment horizontal="right"/>
    </xf>
    <xf numFmtId="1" fontId="0" fillId="0" borderId="5" xfId="0" applyNumberFormat="1" applyFill="1" applyBorder="1"/>
    <xf numFmtId="1" fontId="0" fillId="0" borderId="18" xfId="0" applyNumberFormat="1" applyFill="1" applyBorder="1"/>
    <xf numFmtId="1" fontId="0" fillId="0" borderId="22" xfId="0" applyNumberFormat="1" applyFill="1" applyBorder="1"/>
    <xf numFmtId="1" fontId="0" fillId="0" borderId="18" xfId="0" applyNumberFormat="1" applyFill="1" applyBorder="1" applyAlignment="1">
      <alignment horizontal="right"/>
    </xf>
    <xf numFmtId="1" fontId="0" fillId="0" borderId="19" xfId="0" applyNumberFormat="1" applyFill="1" applyBorder="1"/>
    <xf numFmtId="1" fontId="1" fillId="0" borderId="52" xfId="0" applyNumberFormat="1" applyFont="1" applyFill="1" applyBorder="1" applyAlignment="1">
      <alignment horizontal="center"/>
    </xf>
    <xf numFmtId="164" fontId="0" fillId="0" borderId="53" xfId="0" applyNumberFormat="1" applyFill="1" applyBorder="1"/>
    <xf numFmtId="1" fontId="0" fillId="7" borderId="52" xfId="0" applyNumberFormat="1" applyFill="1" applyBorder="1"/>
    <xf numFmtId="1" fontId="0" fillId="7" borderId="47" xfId="0" applyNumberFormat="1" applyFill="1" applyBorder="1"/>
    <xf numFmtId="1" fontId="0" fillId="7" borderId="53" xfId="0" applyNumberFormat="1" applyFill="1" applyBorder="1"/>
    <xf numFmtId="2" fontId="0" fillId="0" borderId="54" xfId="0" applyNumberFormat="1" applyFill="1" applyBorder="1"/>
    <xf numFmtId="1" fontId="0" fillId="3" borderId="52" xfId="0" applyNumberFormat="1" applyFill="1" applyBorder="1"/>
    <xf numFmtId="1" fontId="0" fillId="4" borderId="47" xfId="0" applyNumberFormat="1" applyFill="1" applyBorder="1"/>
    <xf numFmtId="1" fontId="0" fillId="8" borderId="53" xfId="0" applyNumberFormat="1" applyFill="1" applyBorder="1"/>
    <xf numFmtId="2" fontId="0" fillId="3" borderId="52" xfId="0" applyNumberFormat="1" applyFill="1" applyBorder="1"/>
    <xf numFmtId="2" fontId="0" fillId="8" borderId="53" xfId="0" applyNumberFormat="1" applyFill="1" applyBorder="1"/>
    <xf numFmtId="165" fontId="0" fillId="0" borderId="54" xfId="0" applyNumberFormat="1" applyFill="1" applyBorder="1"/>
    <xf numFmtId="2" fontId="0" fillId="5" borderId="52" xfId="0" applyNumberFormat="1" applyFill="1" applyBorder="1"/>
    <xf numFmtId="164" fontId="0" fillId="0" borderId="54" xfId="0" applyNumberFormat="1" applyFill="1" applyBorder="1"/>
    <xf numFmtId="1" fontId="0" fillId="6" borderId="52" xfId="0" applyNumberFormat="1" applyFill="1" applyBorder="1"/>
    <xf numFmtId="2" fontId="0" fillId="9" borderId="55" xfId="0" applyNumberFormat="1" applyFill="1" applyBorder="1"/>
    <xf numFmtId="166" fontId="0" fillId="5" borderId="47" xfId="0" applyNumberFormat="1" applyFill="1" applyBorder="1"/>
    <xf numFmtId="166" fontId="0" fillId="6" borderId="53" xfId="0" applyNumberFormat="1" applyFill="1" applyBorder="1"/>
    <xf numFmtId="1" fontId="0" fillId="3" borderId="52" xfId="1" applyNumberFormat="1" applyFont="1" applyFill="1" applyBorder="1"/>
    <xf numFmtId="1" fontId="0" fillId="3" borderId="13" xfId="1" applyNumberFormat="1" applyFont="1" applyFill="1" applyBorder="1"/>
    <xf numFmtId="1" fontId="0" fillId="3" borderId="14" xfId="1" applyNumberFormat="1" applyFont="1" applyFill="1" applyBorder="1"/>
    <xf numFmtId="1" fontId="0" fillId="3" borderId="15" xfId="1" applyNumberFormat="1" applyFont="1" applyFill="1" applyBorder="1"/>
    <xf numFmtId="2" fontId="0" fillId="8" borderId="52" xfId="1" applyNumberFormat="1" applyFont="1" applyFill="1" applyBorder="1"/>
    <xf numFmtId="2" fontId="0" fillId="8" borderId="13" xfId="1" applyNumberFormat="1" applyFont="1" applyFill="1" applyBorder="1"/>
    <xf numFmtId="2" fontId="0" fillId="8" borderId="14" xfId="1" applyNumberFormat="1" applyFont="1" applyFill="1" applyBorder="1"/>
    <xf numFmtId="2" fontId="0" fillId="8" borderId="15" xfId="1" applyNumberFormat="1" applyFont="1" applyFill="1" applyBorder="1"/>
    <xf numFmtId="1" fontId="0" fillId="6" borderId="13" xfId="1" applyNumberFormat="1" applyFont="1" applyFill="1" applyBorder="1"/>
    <xf numFmtId="1" fontId="0" fillId="6" borderId="14" xfId="1" applyNumberFormat="1" applyFont="1" applyFill="1" applyBorder="1"/>
    <xf numFmtId="1" fontId="0" fillId="6" borderId="15" xfId="1" applyNumberFormat="1" applyFont="1" applyFill="1" applyBorder="1"/>
    <xf numFmtId="1" fontId="0" fillId="6" borderId="52" xfId="1" applyNumberFormat="1" applyFont="1" applyFill="1" applyBorder="1"/>
    <xf numFmtId="2" fontId="0" fillId="5" borderId="13" xfId="1" applyNumberFormat="1" applyFont="1" applyFill="1" applyBorder="1"/>
    <xf numFmtId="2" fontId="0" fillId="5" borderId="14" xfId="1" applyNumberFormat="1" applyFont="1" applyFill="1" applyBorder="1"/>
    <xf numFmtId="2" fontId="0" fillId="5" borderId="15" xfId="1" applyNumberFormat="1" applyFont="1" applyFill="1" applyBorder="1"/>
    <xf numFmtId="2" fontId="0" fillId="5" borderId="52" xfId="1" applyNumberFormat="1" applyFont="1" applyFill="1" applyBorder="1"/>
    <xf numFmtId="167" fontId="0" fillId="12" borderId="13" xfId="1" applyNumberFormat="1" applyFont="1" applyFill="1" applyBorder="1"/>
    <xf numFmtId="167" fontId="0" fillId="12" borderId="14" xfId="1" applyNumberFormat="1" applyFont="1" applyFill="1" applyBorder="1"/>
    <xf numFmtId="167" fontId="0" fillId="12" borderId="15" xfId="1" applyNumberFormat="1" applyFont="1" applyFill="1" applyBorder="1"/>
    <xf numFmtId="167" fontId="0" fillId="12" borderId="52" xfId="1" applyNumberFormat="1" applyFont="1" applyFill="1" applyBorder="1"/>
    <xf numFmtId="2" fontId="0" fillId="12" borderId="52" xfId="0" applyNumberFormat="1" applyFill="1" applyBorder="1"/>
    <xf numFmtId="164" fontId="0" fillId="13" borderId="52" xfId="0" applyNumberFormat="1" applyFill="1" applyBorder="1"/>
    <xf numFmtId="167" fontId="0" fillId="13" borderId="13" xfId="1" applyNumberFormat="1" applyFont="1" applyFill="1" applyBorder="1"/>
    <xf numFmtId="167" fontId="0" fillId="13" borderId="14" xfId="1" applyNumberFormat="1" applyFont="1" applyFill="1" applyBorder="1"/>
    <xf numFmtId="167" fontId="0" fillId="13" borderId="15" xfId="1" applyNumberFormat="1" applyFont="1" applyFill="1" applyBorder="1"/>
    <xf numFmtId="167" fontId="0" fillId="13" borderId="52" xfId="1" applyNumberFormat="1" applyFont="1" applyFill="1" applyBorder="1"/>
    <xf numFmtId="2" fontId="2" fillId="0" borderId="10" xfId="0" applyNumberFormat="1" applyFont="1" applyFill="1" applyBorder="1" applyAlignment="1">
      <alignment horizontal="center"/>
    </xf>
    <xf numFmtId="166" fontId="0" fillId="6" borderId="24" xfId="0" applyNumberFormat="1" applyFill="1" applyBorder="1"/>
    <xf numFmtId="166" fontId="0" fillId="6" borderId="34" xfId="0" applyNumberFormat="1" applyFill="1" applyBorder="1"/>
    <xf numFmtId="166" fontId="0" fillId="6" borderId="36" xfId="0" applyNumberFormat="1" applyFill="1" applyBorder="1"/>
    <xf numFmtId="166" fontId="0" fillId="6" borderId="28" xfId="0" applyNumberFormat="1" applyFill="1" applyBorder="1" applyAlignment="1">
      <alignment horizontal="right"/>
    </xf>
    <xf numFmtId="166" fontId="0" fillId="6" borderId="19" xfId="0" applyNumberFormat="1" applyFill="1" applyBorder="1"/>
    <xf numFmtId="2" fontId="3" fillId="0" borderId="56" xfId="0" applyNumberFormat="1" applyFont="1" applyFill="1" applyBorder="1" applyAlignment="1">
      <alignment horizontal="center"/>
    </xf>
    <xf numFmtId="166" fontId="0" fillId="6" borderId="18" xfId="0" applyNumberFormat="1" applyFill="1" applyBorder="1"/>
    <xf numFmtId="166" fontId="0" fillId="6" borderId="20" xfId="0" applyNumberFormat="1" applyFill="1" applyBorder="1"/>
    <xf numFmtId="166" fontId="0" fillId="5" borderId="7" xfId="0" applyNumberFormat="1" applyFill="1" applyBorder="1"/>
    <xf numFmtId="166" fontId="0" fillId="6" borderId="7" xfId="0" applyNumberFormat="1" applyFill="1" applyBorder="1"/>
    <xf numFmtId="166" fontId="0" fillId="5" borderId="37" xfId="0" applyNumberFormat="1" applyFill="1" applyBorder="1"/>
    <xf numFmtId="166" fontId="0" fillId="5" borderId="40" xfId="0" applyNumberFormat="1" applyFill="1" applyBorder="1"/>
    <xf numFmtId="166" fontId="0" fillId="6" borderId="40" xfId="0" applyNumberFormat="1" applyFill="1" applyBorder="1"/>
    <xf numFmtId="2" fontId="0" fillId="9" borderId="57" xfId="0" applyNumberFormat="1" applyFill="1" applyBorder="1"/>
    <xf numFmtId="2" fontId="0" fillId="9" borderId="58" xfId="0" applyNumberFormat="1" applyFill="1" applyBorder="1"/>
    <xf numFmtId="166" fontId="0" fillId="5" borderId="15" xfId="0" applyNumberFormat="1" applyFill="1" applyBorder="1"/>
    <xf numFmtId="2" fontId="0" fillId="3" borderId="19" xfId="0" applyNumberFormat="1" applyFill="1" applyBorder="1"/>
    <xf numFmtId="1" fontId="2" fillId="0" borderId="7" xfId="0" applyNumberFormat="1" applyFont="1" applyFill="1" applyBorder="1" applyAlignment="1">
      <alignment horizontal="center"/>
    </xf>
    <xf numFmtId="1" fontId="2" fillId="0" borderId="40" xfId="0" applyNumberFormat="1" applyFont="1" applyFill="1" applyBorder="1" applyAlignment="1">
      <alignment horizontal="center"/>
    </xf>
    <xf numFmtId="1" fontId="2" fillId="0" borderId="35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2" fontId="0" fillId="8" borderId="48" xfId="1" applyNumberFormat="1" applyFont="1" applyFill="1" applyBorder="1"/>
    <xf numFmtId="2" fontId="0" fillId="8" borderId="41" xfId="1" applyNumberFormat="1" applyFont="1" applyFill="1" applyBorder="1"/>
    <xf numFmtId="2" fontId="0" fillId="8" borderId="39" xfId="1" applyNumberFormat="1" applyFont="1" applyFill="1" applyBorder="1"/>
    <xf numFmtId="2" fontId="0" fillId="8" borderId="59" xfId="1" applyNumberFormat="1" applyFont="1" applyFill="1" applyBorder="1"/>
    <xf numFmtId="1" fontId="0" fillId="3" borderId="55" xfId="1" applyNumberFormat="1" applyFont="1" applyFill="1" applyBorder="1"/>
    <xf numFmtId="1" fontId="0" fillId="3" borderId="24" xfId="1" applyNumberFormat="1" applyFont="1" applyFill="1" applyBorder="1"/>
    <xf numFmtId="1" fontId="0" fillId="3" borderId="25" xfId="1" applyNumberFormat="1" applyFont="1" applyFill="1" applyBorder="1"/>
    <xf numFmtId="1" fontId="0" fillId="3" borderId="26" xfId="1" applyNumberFormat="1" applyFont="1" applyFill="1" applyBorder="1"/>
    <xf numFmtId="1" fontId="0" fillId="0" borderId="52" xfId="0" applyNumberFormat="1" applyFill="1" applyBorder="1"/>
    <xf numFmtId="1" fontId="0" fillId="0" borderId="13" xfId="1" applyNumberFormat="1" applyFont="1" applyFill="1" applyBorder="1"/>
    <xf numFmtId="2" fontId="0" fillId="0" borderId="52" xfId="0" applyNumberFormat="1" applyFill="1" applyBorder="1"/>
    <xf numFmtId="2" fontId="0" fillId="0" borderId="13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7F57"/>
      <color rgb="FFFF5757"/>
      <color rgb="FF57FFCF"/>
      <color rgb="FF7DFFE3"/>
      <color rgb="FF00FFCC"/>
      <color rgb="FF00FFFF"/>
      <color rgb="FFA7B4FF"/>
      <color rgb="FF9FEFFF"/>
      <color rgb="FFD5F8FF"/>
      <color rgb="FFFF97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6"/>
  <sheetViews>
    <sheetView zoomScale="85" zoomScaleNormal="85" workbookViewId="0">
      <selection activeCell="G18" sqref="G18"/>
    </sheetView>
  </sheetViews>
  <sheetFormatPr defaultRowHeight="14.4" x14ac:dyDescent="0.3"/>
  <cols>
    <col min="1" max="1" width="11.6640625" style="20" bestFit="1" customWidth="1"/>
    <col min="2" max="2" width="11.5546875" style="68" bestFit="1" customWidth="1"/>
    <col min="3" max="3" width="14.77734375" style="21" bestFit="1" customWidth="1"/>
    <col min="4" max="4" width="12.21875" style="6" bestFit="1" customWidth="1"/>
    <col min="5" max="5" width="9.5546875" style="7" bestFit="1" customWidth="1"/>
    <col min="6" max="6" width="9.5546875" style="9" bestFit="1" customWidth="1"/>
    <col min="7" max="8" width="9.5546875" style="6" bestFit="1" customWidth="1"/>
    <col min="9" max="11" width="10.5546875" style="6" bestFit="1" customWidth="1"/>
    <col min="12" max="12" width="10.5546875" style="13" bestFit="1" customWidth="1"/>
    <col min="13" max="15" width="10.5546875" style="6" bestFit="1" customWidth="1"/>
    <col min="16" max="16" width="8.88671875" style="6"/>
    <col min="17" max="17" width="10.6640625" style="6" bestFit="1" customWidth="1"/>
    <col min="19" max="16384" width="8.88671875" style="6"/>
  </cols>
  <sheetData>
    <row r="1" spans="1:24" s="2" customFormat="1" ht="15" thickBot="1" x14ac:dyDescent="0.35">
      <c r="A1" s="15"/>
      <c r="B1" s="66"/>
      <c r="C1" s="22"/>
      <c r="E1" s="25"/>
      <c r="F1" s="3"/>
      <c r="L1" s="25"/>
    </row>
    <row r="2" spans="1:24" s="11" customFormat="1" x14ac:dyDescent="0.3">
      <c r="A2" s="14"/>
      <c r="B2" s="67"/>
      <c r="C2" s="24" t="s">
        <v>0</v>
      </c>
      <c r="D2" s="16"/>
      <c r="E2" s="171" t="s">
        <v>3</v>
      </c>
      <c r="F2" s="219" t="s">
        <v>2</v>
      </c>
      <c r="G2" s="171">
        <v>1</v>
      </c>
      <c r="H2" s="219">
        <v>2</v>
      </c>
      <c r="I2" s="219">
        <v>3</v>
      </c>
      <c r="J2" s="219">
        <v>4</v>
      </c>
      <c r="K2" s="173">
        <v>5</v>
      </c>
      <c r="L2" s="171">
        <v>6</v>
      </c>
      <c r="M2" s="172">
        <v>7</v>
      </c>
      <c r="N2" s="173">
        <v>8</v>
      </c>
      <c r="O2" s="171">
        <v>9</v>
      </c>
      <c r="P2" s="173">
        <v>10</v>
      </c>
      <c r="Q2" s="263" t="s">
        <v>49</v>
      </c>
      <c r="S2" s="10"/>
      <c r="T2" s="10"/>
      <c r="U2" s="10"/>
      <c r="V2" s="10"/>
      <c r="W2" s="10"/>
      <c r="X2" s="10"/>
    </row>
    <row r="3" spans="1:24" ht="15" thickBot="1" x14ac:dyDescent="0.35">
      <c r="A3" s="14"/>
      <c r="B3" s="63" t="s">
        <v>1</v>
      </c>
      <c r="C3" s="23" t="s">
        <v>4</v>
      </c>
      <c r="D3" s="213" t="s">
        <v>5</v>
      </c>
      <c r="E3" s="174"/>
      <c r="F3" s="88"/>
      <c r="G3" s="230"/>
      <c r="H3" s="88"/>
      <c r="I3" s="88"/>
      <c r="J3" s="88"/>
      <c r="K3" s="175"/>
      <c r="L3" s="174"/>
      <c r="M3" s="90"/>
      <c r="N3" s="175"/>
      <c r="O3" s="174"/>
      <c r="P3" s="175"/>
      <c r="Q3" s="264"/>
    </row>
    <row r="4" spans="1:24" x14ac:dyDescent="0.3">
      <c r="A4" s="143">
        <v>1</v>
      </c>
      <c r="B4" s="64" t="s">
        <v>36</v>
      </c>
      <c r="C4" s="36" t="s">
        <v>35</v>
      </c>
      <c r="D4" s="37" t="s">
        <v>6</v>
      </c>
      <c r="E4" s="82">
        <f t="shared" ref="E4:F6" si="0">F4/1.3</f>
        <v>-8.8757396449704142</v>
      </c>
      <c r="F4" s="98">
        <f t="shared" si="0"/>
        <v>-11.538461538461538</v>
      </c>
      <c r="G4" s="231">
        <v>-15</v>
      </c>
      <c r="H4" s="83">
        <f t="shared" ref="H4:I6" si="1">G4*1.3</f>
        <v>-19.5</v>
      </c>
      <c r="I4" s="83">
        <f t="shared" si="1"/>
        <v>-25.35</v>
      </c>
      <c r="J4" s="83">
        <f t="shared" ref="J4:K6" si="2">I4*1.3</f>
        <v>-32.955000000000005</v>
      </c>
      <c r="K4" s="84">
        <f t="shared" si="2"/>
        <v>-42.841500000000011</v>
      </c>
      <c r="L4" s="82">
        <f>K4*1.35</f>
        <v>-57.836025000000021</v>
      </c>
      <c r="M4" s="83">
        <f>L4*1.4</f>
        <v>-80.970435000000023</v>
      </c>
      <c r="N4" s="84">
        <f t="shared" ref="N4:N6" si="3">M4*1.45</f>
        <v>-117.40713075000004</v>
      </c>
      <c r="O4" s="82">
        <f>Q4*1.5</f>
        <v>-255.36050938125007</v>
      </c>
      <c r="P4" s="84">
        <f>O4*1.55</f>
        <v>-395.8087895409376</v>
      </c>
      <c r="Q4" s="265">
        <f>N4*1.45</f>
        <v>-170.24033958750005</v>
      </c>
    </row>
    <row r="5" spans="1:24" x14ac:dyDescent="0.3">
      <c r="A5" s="149">
        <v>1</v>
      </c>
      <c r="C5" s="38" t="s">
        <v>35</v>
      </c>
      <c r="D5" s="214" t="s">
        <v>7</v>
      </c>
      <c r="E5" s="176">
        <f t="shared" si="0"/>
        <v>-17.751479289940828</v>
      </c>
      <c r="F5" s="161">
        <f t="shared" si="0"/>
        <v>-23.076923076923077</v>
      </c>
      <c r="G5" s="232">
        <f>G4*2</f>
        <v>-30</v>
      </c>
      <c r="H5" s="30">
        <f t="shared" si="1"/>
        <v>-39</v>
      </c>
      <c r="I5" s="30">
        <f t="shared" si="1"/>
        <v>-50.7</v>
      </c>
      <c r="J5" s="30">
        <f t="shared" si="2"/>
        <v>-65.910000000000011</v>
      </c>
      <c r="K5" s="85">
        <f t="shared" si="2"/>
        <v>-85.683000000000021</v>
      </c>
      <c r="L5" s="176">
        <f>K5*1.35</f>
        <v>-115.67205000000004</v>
      </c>
      <c r="M5" s="30">
        <f>L5*1.4</f>
        <v>-161.94087000000005</v>
      </c>
      <c r="N5" s="85">
        <f t="shared" si="3"/>
        <v>-234.81426150000007</v>
      </c>
      <c r="O5" s="176">
        <f>Q5*1.5</f>
        <v>-510.72101876250014</v>
      </c>
      <c r="P5" s="85">
        <f>O5*1.55</f>
        <v>-791.61757908187519</v>
      </c>
      <c r="Q5" s="266">
        <f>N5*1.45</f>
        <v>-340.48067917500009</v>
      </c>
    </row>
    <row r="6" spans="1:24" s="1" customFormat="1" ht="15" thickBot="1" x14ac:dyDescent="0.35">
      <c r="A6" s="17">
        <v>1</v>
      </c>
      <c r="B6" s="144"/>
      <c r="C6" s="39" t="s">
        <v>35</v>
      </c>
      <c r="D6" s="215" t="s">
        <v>8</v>
      </c>
      <c r="E6" s="177">
        <f t="shared" si="0"/>
        <v>-35.502958579881657</v>
      </c>
      <c r="F6" s="162">
        <f t="shared" si="0"/>
        <v>-46.153846153846153</v>
      </c>
      <c r="G6" s="233">
        <f>G4*4</f>
        <v>-60</v>
      </c>
      <c r="H6" s="86">
        <f t="shared" si="1"/>
        <v>-78</v>
      </c>
      <c r="I6" s="86">
        <f t="shared" si="1"/>
        <v>-101.4</v>
      </c>
      <c r="J6" s="86">
        <f t="shared" si="2"/>
        <v>-131.82000000000002</v>
      </c>
      <c r="K6" s="87">
        <f t="shared" si="2"/>
        <v>-171.36600000000004</v>
      </c>
      <c r="L6" s="177">
        <f>K6*1.35</f>
        <v>-231.34410000000008</v>
      </c>
      <c r="M6" s="86">
        <f>L6*1.4</f>
        <v>-323.88174000000009</v>
      </c>
      <c r="N6" s="87">
        <f t="shared" si="3"/>
        <v>-469.62852300000014</v>
      </c>
      <c r="O6" s="177">
        <f>Q6*1.5</f>
        <v>-1021.4420375250003</v>
      </c>
      <c r="P6" s="87">
        <f>O6*1.55</f>
        <v>-1583.2351581637504</v>
      </c>
      <c r="Q6" s="267">
        <f>N6*1.45</f>
        <v>-680.96135835000018</v>
      </c>
    </row>
    <row r="7" spans="1:24" s="1" customFormat="1" ht="15" thickBot="1" x14ac:dyDescent="0.35">
      <c r="A7" s="17">
        <v>1</v>
      </c>
      <c r="E7" s="178"/>
      <c r="F7" s="141"/>
      <c r="G7" s="178"/>
      <c r="H7" s="141"/>
      <c r="I7" s="141"/>
      <c r="J7" s="141"/>
      <c r="K7" s="179"/>
      <c r="L7" s="178"/>
      <c r="M7" s="141"/>
      <c r="N7" s="179"/>
      <c r="O7" s="178"/>
      <c r="P7" s="179"/>
      <c r="Q7" s="268"/>
    </row>
    <row r="8" spans="1:24" s="1" customFormat="1" x14ac:dyDescent="0.3">
      <c r="A8" s="17">
        <v>1</v>
      </c>
      <c r="B8" s="145" t="s">
        <v>48</v>
      </c>
      <c r="C8" s="36" t="s">
        <v>45</v>
      </c>
      <c r="D8" s="37" t="s">
        <v>6</v>
      </c>
      <c r="E8" s="251">
        <f t="shared" ref="E8" si="4">F8/1.3</f>
        <v>29.585798816568044</v>
      </c>
      <c r="F8" s="252">
        <f t="shared" ref="F8:F13" si="5">G8/1.3</f>
        <v>38.46153846153846</v>
      </c>
      <c r="G8" s="253">
        <v>50</v>
      </c>
      <c r="H8" s="254">
        <f t="shared" ref="H8:H13" si="6">G8*1.3</f>
        <v>65</v>
      </c>
      <c r="I8" s="31">
        <f t="shared" ref="I8:I13" si="7">H8*1.3</f>
        <v>84.5</v>
      </c>
      <c r="J8" s="31">
        <f t="shared" ref="J8:K13" si="8">I8*1.3</f>
        <v>109.85000000000001</v>
      </c>
      <c r="K8" s="32">
        <f t="shared" si="8"/>
        <v>142.80500000000001</v>
      </c>
      <c r="L8" s="180">
        <f>K8*1.35</f>
        <v>192.78675000000001</v>
      </c>
      <c r="M8" s="31">
        <f t="shared" ref="M8:M13" si="9">L8*1.4</f>
        <v>269.90145000000001</v>
      </c>
      <c r="N8" s="32">
        <f t="shared" ref="N8:N13" si="10">M8*1.45</f>
        <v>391.3571025</v>
      </c>
      <c r="O8" s="180">
        <f>Q8*1.5</f>
        <v>851.20169793750006</v>
      </c>
      <c r="P8" s="32">
        <f t="shared" ref="P8:P13" si="11">O8*1.55</f>
        <v>1319.3626318031252</v>
      </c>
      <c r="Q8" s="269">
        <f t="shared" ref="Q8:Q13" si="12">N8*1.45</f>
        <v>567.467798625</v>
      </c>
    </row>
    <row r="9" spans="1:24" s="1" customFormat="1" x14ac:dyDescent="0.3">
      <c r="A9" s="17">
        <v>1</v>
      </c>
      <c r="B9" s="146"/>
      <c r="C9" s="38" t="s">
        <v>45</v>
      </c>
      <c r="D9" s="214" t="s">
        <v>7</v>
      </c>
      <c r="E9" s="255">
        <f>F9/1.3</f>
        <v>73.964497041420117</v>
      </c>
      <c r="F9" s="256">
        <f t="shared" si="5"/>
        <v>96.153846153846146</v>
      </c>
      <c r="G9" s="257">
        <f>G8*2.5</f>
        <v>125</v>
      </c>
      <c r="H9" s="258">
        <f t="shared" si="6"/>
        <v>162.5</v>
      </c>
      <c r="I9" s="27">
        <f t="shared" si="7"/>
        <v>211.25</v>
      </c>
      <c r="J9" s="27">
        <f t="shared" si="8"/>
        <v>274.625</v>
      </c>
      <c r="K9" s="33">
        <f t="shared" si="8"/>
        <v>357.01249999999999</v>
      </c>
      <c r="L9" s="181">
        <f>K9*1.35</f>
        <v>481.96687500000002</v>
      </c>
      <c r="M9" s="27">
        <f t="shared" si="9"/>
        <v>674.75362499999994</v>
      </c>
      <c r="N9" s="33">
        <f t="shared" si="10"/>
        <v>978.39275624999993</v>
      </c>
      <c r="O9" s="181">
        <f>Q9*1.5</f>
        <v>2128.0042448437498</v>
      </c>
      <c r="P9" s="33">
        <f t="shared" si="11"/>
        <v>3298.4065795078122</v>
      </c>
      <c r="Q9" s="270">
        <f t="shared" si="12"/>
        <v>1418.6694965624999</v>
      </c>
    </row>
    <row r="10" spans="1:24" ht="15" thickBot="1" x14ac:dyDescent="0.35">
      <c r="A10" s="17">
        <v>1</v>
      </c>
      <c r="B10" s="146"/>
      <c r="C10" s="39" t="s">
        <v>45</v>
      </c>
      <c r="D10" s="215" t="s">
        <v>8</v>
      </c>
      <c r="E10" s="259">
        <f t="shared" ref="E10:E13" si="13">F10/1.3</f>
        <v>184.91124260355028</v>
      </c>
      <c r="F10" s="260">
        <f t="shared" si="5"/>
        <v>240.38461538461539</v>
      </c>
      <c r="G10" s="261">
        <f>G8*6.25</f>
        <v>312.5</v>
      </c>
      <c r="H10" s="262">
        <f t="shared" si="6"/>
        <v>406.25</v>
      </c>
      <c r="I10" s="34">
        <f t="shared" si="7"/>
        <v>528.125</v>
      </c>
      <c r="J10" s="34">
        <f t="shared" si="8"/>
        <v>686.5625</v>
      </c>
      <c r="K10" s="35">
        <f t="shared" si="8"/>
        <v>892.53125</v>
      </c>
      <c r="L10" s="182">
        <f>K10*1.35</f>
        <v>1204.9171875000002</v>
      </c>
      <c r="M10" s="34">
        <f t="shared" si="9"/>
        <v>1686.8840625000003</v>
      </c>
      <c r="N10" s="35">
        <f t="shared" si="10"/>
        <v>2445.9818906250002</v>
      </c>
      <c r="O10" s="182">
        <f>Q10*1.5</f>
        <v>5320.0106121093759</v>
      </c>
      <c r="P10" s="35">
        <f t="shared" si="11"/>
        <v>8246.0164487695329</v>
      </c>
      <c r="Q10" s="271">
        <f t="shared" si="12"/>
        <v>3546.6737414062504</v>
      </c>
    </row>
    <row r="11" spans="1:24" x14ac:dyDescent="0.3">
      <c r="A11" s="17">
        <v>1</v>
      </c>
      <c r="B11" s="146"/>
      <c r="C11" s="36" t="s">
        <v>46</v>
      </c>
      <c r="D11" s="37" t="s">
        <v>6</v>
      </c>
      <c r="E11" s="220">
        <f t="shared" si="13"/>
        <v>2.9585798816568049E-2</v>
      </c>
      <c r="F11" s="227">
        <f t="shared" si="5"/>
        <v>3.8461538461538464E-2</v>
      </c>
      <c r="G11" s="237">
        <f>G8/500/2</f>
        <v>0.05</v>
      </c>
      <c r="H11" s="58">
        <f t="shared" si="6"/>
        <v>6.5000000000000002E-2</v>
      </c>
      <c r="I11" s="46">
        <f t="shared" si="7"/>
        <v>8.4500000000000006E-2</v>
      </c>
      <c r="J11" s="46">
        <f t="shared" si="8"/>
        <v>0.10985000000000002</v>
      </c>
      <c r="K11" s="47">
        <f t="shared" si="8"/>
        <v>0.14280500000000002</v>
      </c>
      <c r="L11" s="183">
        <f>L8/375/2</f>
        <v>0.25704900000000003</v>
      </c>
      <c r="M11" s="46">
        <f t="shared" si="9"/>
        <v>0.35986860000000004</v>
      </c>
      <c r="N11" s="47">
        <f t="shared" si="10"/>
        <v>0.52180947</v>
      </c>
      <c r="O11" s="183">
        <f>O8/250/2</f>
        <v>1.7024033958750002</v>
      </c>
      <c r="P11" s="47">
        <f t="shared" si="11"/>
        <v>2.6387252636062506</v>
      </c>
      <c r="Q11" s="272">
        <f t="shared" si="12"/>
        <v>0.75662373149999995</v>
      </c>
    </row>
    <row r="12" spans="1:24" x14ac:dyDescent="0.3">
      <c r="A12" s="17">
        <v>1</v>
      </c>
      <c r="B12" s="146"/>
      <c r="C12" s="38" t="s">
        <v>46</v>
      </c>
      <c r="D12" s="214" t="s">
        <v>7</v>
      </c>
      <c r="E12" s="221">
        <f t="shared" si="13"/>
        <v>7.3964497041420108E-2</v>
      </c>
      <c r="F12" s="228">
        <f t="shared" si="5"/>
        <v>9.6153846153846145E-2</v>
      </c>
      <c r="G12" s="238">
        <f>G11*2.5</f>
        <v>0.125</v>
      </c>
      <c r="H12" s="26">
        <f t="shared" si="6"/>
        <v>0.16250000000000001</v>
      </c>
      <c r="I12" s="48">
        <f t="shared" si="7"/>
        <v>0.21125000000000002</v>
      </c>
      <c r="J12" s="48">
        <f t="shared" si="8"/>
        <v>0.27462500000000006</v>
      </c>
      <c r="K12" s="49">
        <f t="shared" si="8"/>
        <v>0.35701250000000012</v>
      </c>
      <c r="L12" s="184">
        <f>L11*2.5</f>
        <v>0.6426225000000001</v>
      </c>
      <c r="M12" s="48">
        <f t="shared" si="9"/>
        <v>0.89967150000000007</v>
      </c>
      <c r="N12" s="49">
        <f t="shared" si="10"/>
        <v>1.304523675</v>
      </c>
      <c r="O12" s="184">
        <f>O11*2.5</f>
        <v>4.2560084896875008</v>
      </c>
      <c r="P12" s="49">
        <f t="shared" si="11"/>
        <v>6.5968131590156265</v>
      </c>
      <c r="Q12" s="204">
        <f t="shared" si="12"/>
        <v>1.8915593287499999</v>
      </c>
    </row>
    <row r="13" spans="1:24" s="1" customFormat="1" ht="15" thickBot="1" x14ac:dyDescent="0.35">
      <c r="A13" s="17">
        <v>1</v>
      </c>
      <c r="B13" s="147"/>
      <c r="C13" s="39" t="s">
        <v>46</v>
      </c>
      <c r="D13" s="215" t="s">
        <v>8</v>
      </c>
      <c r="E13" s="39">
        <f t="shared" si="13"/>
        <v>0.18491124260355027</v>
      </c>
      <c r="F13" s="229">
        <f t="shared" si="5"/>
        <v>0.24038461538461536</v>
      </c>
      <c r="G13" s="239">
        <f>G11*6.25</f>
        <v>0.3125</v>
      </c>
      <c r="H13" s="59">
        <f t="shared" si="6"/>
        <v>0.40625</v>
      </c>
      <c r="I13" s="50">
        <f t="shared" si="7"/>
        <v>0.52812500000000007</v>
      </c>
      <c r="J13" s="50">
        <f t="shared" si="8"/>
        <v>0.68656250000000008</v>
      </c>
      <c r="K13" s="51">
        <f t="shared" si="8"/>
        <v>0.89253125000000011</v>
      </c>
      <c r="L13" s="185">
        <f>L11*6.25</f>
        <v>1.6065562500000001</v>
      </c>
      <c r="M13" s="50">
        <f t="shared" si="9"/>
        <v>2.24917875</v>
      </c>
      <c r="N13" s="51">
        <f t="shared" si="10"/>
        <v>3.2613091874999998</v>
      </c>
      <c r="O13" s="185">
        <f>O11*6.25</f>
        <v>10.640021224218751</v>
      </c>
      <c r="P13" s="51">
        <f t="shared" si="11"/>
        <v>16.492032897539065</v>
      </c>
      <c r="Q13" s="273">
        <f t="shared" si="12"/>
        <v>4.7288983218749996</v>
      </c>
    </row>
    <row r="14" spans="1:24" s="12" customFormat="1" ht="15" thickBot="1" x14ac:dyDescent="0.35">
      <c r="A14" s="17">
        <v>1</v>
      </c>
      <c r="E14" s="186"/>
      <c r="F14" s="155"/>
      <c r="G14" s="186"/>
      <c r="H14" s="155"/>
      <c r="I14" s="155"/>
      <c r="J14" s="155"/>
      <c r="K14" s="187"/>
      <c r="L14" s="186"/>
      <c r="M14" s="155"/>
      <c r="N14" s="187"/>
      <c r="O14" s="186"/>
      <c r="P14" s="187"/>
      <c r="Q14" s="274"/>
    </row>
    <row r="15" spans="1:24" x14ac:dyDescent="0.3">
      <c r="A15" s="17">
        <v>1</v>
      </c>
      <c r="B15" s="145" t="s">
        <v>10</v>
      </c>
      <c r="C15" s="36" t="s">
        <v>9</v>
      </c>
      <c r="D15" s="37" t="s">
        <v>6</v>
      </c>
      <c r="E15" s="180">
        <f t="shared" ref="E15:F20" si="14">F15/1.3</f>
        <v>29.585798816568044</v>
      </c>
      <c r="F15" s="163">
        <f t="shared" si="14"/>
        <v>38.46153846153846</v>
      </c>
      <c r="G15" s="234">
        <v>50</v>
      </c>
      <c r="H15" s="31">
        <f t="shared" ref="H15:I20" si="15">G15*1.3</f>
        <v>65</v>
      </c>
      <c r="I15" s="31">
        <f t="shared" si="15"/>
        <v>84.5</v>
      </c>
      <c r="J15" s="31">
        <f t="shared" ref="J15:K20" si="16">I15*1.3</f>
        <v>109.85000000000001</v>
      </c>
      <c r="K15" s="32">
        <f t="shared" si="16"/>
        <v>142.80500000000001</v>
      </c>
      <c r="L15" s="180">
        <f>K15*1.35</f>
        <v>192.78675000000001</v>
      </c>
      <c r="M15" s="31">
        <f t="shared" ref="M15:M20" si="17">L15*1.4</f>
        <v>269.90145000000001</v>
      </c>
      <c r="N15" s="32">
        <f t="shared" ref="N15:N20" si="18">M15*1.45</f>
        <v>391.3571025</v>
      </c>
      <c r="O15" s="180">
        <f>Q15*1.5</f>
        <v>851.20169793750006</v>
      </c>
      <c r="P15" s="32">
        <f t="shared" ref="P15:P20" si="19">O15*1.55</f>
        <v>1319.3626318031252</v>
      </c>
      <c r="Q15" s="269">
        <f t="shared" ref="Q15:Q20" si="20">N15*1.45</f>
        <v>567.467798625</v>
      </c>
    </row>
    <row r="16" spans="1:24" x14ac:dyDescent="0.3">
      <c r="A16" s="17">
        <v>1</v>
      </c>
      <c r="B16" s="146"/>
      <c r="C16" s="38" t="s">
        <v>9</v>
      </c>
      <c r="D16" s="214" t="s">
        <v>7</v>
      </c>
      <c r="E16" s="181">
        <f>F16/1.3</f>
        <v>73.964497041420117</v>
      </c>
      <c r="F16" s="164">
        <f t="shared" si="14"/>
        <v>96.153846153846146</v>
      </c>
      <c r="G16" s="235">
        <f>G15*2.5</f>
        <v>125</v>
      </c>
      <c r="H16" s="27">
        <f t="shared" si="15"/>
        <v>162.5</v>
      </c>
      <c r="I16" s="27">
        <f t="shared" si="15"/>
        <v>211.25</v>
      </c>
      <c r="J16" s="27">
        <f t="shared" si="16"/>
        <v>274.625</v>
      </c>
      <c r="K16" s="33">
        <f t="shared" si="16"/>
        <v>357.01249999999999</v>
      </c>
      <c r="L16" s="181">
        <f>K16*1.35</f>
        <v>481.96687500000002</v>
      </c>
      <c r="M16" s="27">
        <f t="shared" si="17"/>
        <v>674.75362499999994</v>
      </c>
      <c r="N16" s="33">
        <f t="shared" si="18"/>
        <v>978.39275624999993</v>
      </c>
      <c r="O16" s="181">
        <f>Q16*1.5</f>
        <v>2128.0042448437498</v>
      </c>
      <c r="P16" s="33">
        <f t="shared" si="19"/>
        <v>3298.4065795078122</v>
      </c>
      <c r="Q16" s="270">
        <f t="shared" si="20"/>
        <v>1418.6694965624999</v>
      </c>
    </row>
    <row r="17" spans="1:17" ht="15" thickBot="1" x14ac:dyDescent="0.35">
      <c r="A17" s="17">
        <v>1</v>
      </c>
      <c r="B17" s="146"/>
      <c r="C17" s="39" t="s">
        <v>9</v>
      </c>
      <c r="D17" s="215" t="s">
        <v>8</v>
      </c>
      <c r="E17" s="182">
        <f t="shared" si="14"/>
        <v>184.91124260355028</v>
      </c>
      <c r="F17" s="165">
        <f t="shared" si="14"/>
        <v>240.38461538461539</v>
      </c>
      <c r="G17" s="236">
        <f>G15*6.25</f>
        <v>312.5</v>
      </c>
      <c r="H17" s="34">
        <f t="shared" si="15"/>
        <v>406.25</v>
      </c>
      <c r="I17" s="34">
        <f t="shared" si="15"/>
        <v>528.125</v>
      </c>
      <c r="J17" s="34">
        <f t="shared" si="16"/>
        <v>686.5625</v>
      </c>
      <c r="K17" s="35">
        <f t="shared" si="16"/>
        <v>892.53125</v>
      </c>
      <c r="L17" s="182">
        <f>K17*1.35</f>
        <v>1204.9171875000002</v>
      </c>
      <c r="M17" s="34">
        <f t="shared" si="17"/>
        <v>1686.8840625000003</v>
      </c>
      <c r="N17" s="35">
        <f t="shared" si="18"/>
        <v>2445.9818906250002</v>
      </c>
      <c r="O17" s="182">
        <f>Q17*1.5</f>
        <v>5320.0106121093759</v>
      </c>
      <c r="P17" s="35">
        <f t="shared" si="19"/>
        <v>8246.0164487695329</v>
      </c>
      <c r="Q17" s="271">
        <f t="shared" si="20"/>
        <v>3546.6737414062504</v>
      </c>
    </row>
    <row r="18" spans="1:17" x14ac:dyDescent="0.3">
      <c r="A18" s="17">
        <v>1</v>
      </c>
      <c r="B18" s="146"/>
      <c r="C18" s="36" t="s">
        <v>11</v>
      </c>
      <c r="D18" s="37" t="s">
        <v>6</v>
      </c>
      <c r="E18" s="220">
        <f t="shared" si="14"/>
        <v>5.9171597633136098E-2</v>
      </c>
      <c r="F18" s="227">
        <f t="shared" si="14"/>
        <v>7.6923076923076927E-2</v>
      </c>
      <c r="G18" s="237">
        <f>G15/500</f>
        <v>0.1</v>
      </c>
      <c r="H18" s="58">
        <f t="shared" si="15"/>
        <v>0.13</v>
      </c>
      <c r="I18" s="46">
        <f t="shared" si="15"/>
        <v>0.16900000000000001</v>
      </c>
      <c r="J18" s="46">
        <f t="shared" si="16"/>
        <v>0.21970000000000003</v>
      </c>
      <c r="K18" s="47">
        <f t="shared" si="16"/>
        <v>0.28561000000000003</v>
      </c>
      <c r="L18" s="183">
        <f>L15/375</f>
        <v>0.51409800000000005</v>
      </c>
      <c r="M18" s="46">
        <f t="shared" si="17"/>
        <v>0.71973720000000008</v>
      </c>
      <c r="N18" s="47">
        <f t="shared" si="18"/>
        <v>1.04361894</v>
      </c>
      <c r="O18" s="183">
        <f>O15/250</f>
        <v>3.4048067917500004</v>
      </c>
      <c r="P18" s="47">
        <f t="shared" si="19"/>
        <v>5.2774505272125012</v>
      </c>
      <c r="Q18" s="272">
        <f t="shared" si="20"/>
        <v>1.5132474629999999</v>
      </c>
    </row>
    <row r="19" spans="1:17" x14ac:dyDescent="0.3">
      <c r="A19" s="17">
        <v>1</v>
      </c>
      <c r="B19" s="146"/>
      <c r="C19" s="38" t="s">
        <v>11</v>
      </c>
      <c r="D19" s="214" t="s">
        <v>7</v>
      </c>
      <c r="E19" s="221">
        <f t="shared" si="14"/>
        <v>0.14792899408284022</v>
      </c>
      <c r="F19" s="228">
        <f t="shared" si="14"/>
        <v>0.19230769230769229</v>
      </c>
      <c r="G19" s="238">
        <f>G18*2.5</f>
        <v>0.25</v>
      </c>
      <c r="H19" s="26">
        <f t="shared" si="15"/>
        <v>0.32500000000000001</v>
      </c>
      <c r="I19" s="48">
        <f t="shared" si="15"/>
        <v>0.42250000000000004</v>
      </c>
      <c r="J19" s="48">
        <f t="shared" si="16"/>
        <v>0.54925000000000013</v>
      </c>
      <c r="K19" s="49">
        <f t="shared" si="16"/>
        <v>0.71402500000000024</v>
      </c>
      <c r="L19" s="184">
        <f>L18*2.5</f>
        <v>1.2852450000000002</v>
      </c>
      <c r="M19" s="48">
        <f t="shared" si="17"/>
        <v>1.7993430000000001</v>
      </c>
      <c r="N19" s="49">
        <f t="shared" si="18"/>
        <v>2.60904735</v>
      </c>
      <c r="O19" s="184">
        <f>O18*2.5</f>
        <v>8.5120169793750016</v>
      </c>
      <c r="P19" s="49">
        <f t="shared" si="19"/>
        <v>13.193626318031253</v>
      </c>
      <c r="Q19" s="204">
        <f t="shared" si="20"/>
        <v>3.7831186574999998</v>
      </c>
    </row>
    <row r="20" spans="1:17" ht="15" thickBot="1" x14ac:dyDescent="0.35">
      <c r="A20" s="17">
        <v>1</v>
      </c>
      <c r="B20" s="147"/>
      <c r="C20" s="39" t="s">
        <v>11</v>
      </c>
      <c r="D20" s="215" t="s">
        <v>8</v>
      </c>
      <c r="E20" s="39">
        <f t="shared" si="14"/>
        <v>0.36982248520710054</v>
      </c>
      <c r="F20" s="229">
        <f t="shared" si="14"/>
        <v>0.48076923076923073</v>
      </c>
      <c r="G20" s="239">
        <f>G18*6.25</f>
        <v>0.625</v>
      </c>
      <c r="H20" s="59">
        <f t="shared" si="15"/>
        <v>0.8125</v>
      </c>
      <c r="I20" s="50">
        <f t="shared" si="15"/>
        <v>1.0562500000000001</v>
      </c>
      <c r="J20" s="50">
        <f t="shared" si="16"/>
        <v>1.3731250000000002</v>
      </c>
      <c r="K20" s="51">
        <f t="shared" si="16"/>
        <v>1.7850625000000002</v>
      </c>
      <c r="L20" s="185">
        <f>L18*6.25</f>
        <v>3.2131125000000003</v>
      </c>
      <c r="M20" s="50">
        <f t="shared" si="17"/>
        <v>4.4983575</v>
      </c>
      <c r="N20" s="51">
        <f t="shared" si="18"/>
        <v>6.5226183749999995</v>
      </c>
      <c r="O20" s="185">
        <f>O18*6.25</f>
        <v>21.280042448437502</v>
      </c>
      <c r="P20" s="51">
        <f t="shared" si="19"/>
        <v>32.984065795078131</v>
      </c>
      <c r="Q20" s="273">
        <f t="shared" si="20"/>
        <v>9.4577966437499992</v>
      </c>
    </row>
    <row r="21" spans="1:17" s="1" customFormat="1" ht="15" thickBot="1" x14ac:dyDescent="0.35">
      <c r="A21" s="17">
        <v>1</v>
      </c>
      <c r="B21" s="68"/>
      <c r="C21" s="6"/>
      <c r="D21" s="6"/>
      <c r="E21" s="188"/>
      <c r="F21" s="4"/>
      <c r="G21" s="188"/>
      <c r="H21" s="4"/>
      <c r="I21" s="4"/>
      <c r="J21" s="4"/>
      <c r="K21" s="189"/>
      <c r="L21" s="188"/>
      <c r="M21" s="4"/>
      <c r="N21" s="189"/>
      <c r="O21" s="188"/>
      <c r="P21" s="189"/>
      <c r="Q21" s="189"/>
    </row>
    <row r="22" spans="1:17" s="1" customFormat="1" x14ac:dyDescent="0.3">
      <c r="A22" s="17">
        <v>1</v>
      </c>
      <c r="B22" s="145" t="s">
        <v>12</v>
      </c>
      <c r="C22" s="36" t="s">
        <v>13</v>
      </c>
      <c r="D22" s="37" t="s">
        <v>6</v>
      </c>
      <c r="E22" s="117">
        <f t="shared" ref="E22:F24" si="21">F22/1.3</f>
        <v>29.585798816568044</v>
      </c>
      <c r="F22" s="118">
        <f t="shared" si="21"/>
        <v>38.46153846153846</v>
      </c>
      <c r="G22" s="240">
        <v>50</v>
      </c>
      <c r="H22" s="41">
        <f t="shared" ref="H22:I24" si="22">G22*1.3</f>
        <v>65</v>
      </c>
      <c r="I22" s="41">
        <f t="shared" si="22"/>
        <v>84.5</v>
      </c>
      <c r="J22" s="41">
        <f t="shared" ref="J22:K27" si="23">I22*1.3</f>
        <v>109.85000000000001</v>
      </c>
      <c r="K22" s="42">
        <f t="shared" si="23"/>
        <v>142.80500000000001</v>
      </c>
      <c r="L22" s="117">
        <f>K22*1.35</f>
        <v>192.78675000000001</v>
      </c>
      <c r="M22" s="41">
        <f t="shared" ref="M22:M27" si="24">L22*1.4</f>
        <v>269.90145000000001</v>
      </c>
      <c r="N22" s="42">
        <f t="shared" ref="N22:N27" si="25">M22*1.45</f>
        <v>391.3571025</v>
      </c>
      <c r="O22" s="117">
        <f>Q22*1.5</f>
        <v>851.20169793750006</v>
      </c>
      <c r="P22" s="42">
        <f t="shared" ref="P22:P27" si="26">O22*1.55</f>
        <v>1319.3626318031252</v>
      </c>
      <c r="Q22" s="42">
        <f t="shared" ref="Q22:Q27" si="27">N22*1.45</f>
        <v>567.467798625</v>
      </c>
    </row>
    <row r="23" spans="1:17" s="1" customFormat="1" x14ac:dyDescent="0.3">
      <c r="A23" s="17">
        <v>1</v>
      </c>
      <c r="B23" s="68"/>
      <c r="C23" s="38" t="s">
        <v>13</v>
      </c>
      <c r="D23" s="214" t="s">
        <v>7</v>
      </c>
      <c r="E23" s="190">
        <f t="shared" si="21"/>
        <v>73.964497041420117</v>
      </c>
      <c r="F23" s="166">
        <f t="shared" si="21"/>
        <v>96.153846153846146</v>
      </c>
      <c r="G23" s="241">
        <f>G22*2.5</f>
        <v>125</v>
      </c>
      <c r="H23" s="28">
        <f t="shared" si="22"/>
        <v>162.5</v>
      </c>
      <c r="I23" s="28">
        <f t="shared" si="22"/>
        <v>211.25</v>
      </c>
      <c r="J23" s="28">
        <f t="shared" si="23"/>
        <v>274.625</v>
      </c>
      <c r="K23" s="43">
        <f t="shared" si="23"/>
        <v>357.01249999999999</v>
      </c>
      <c r="L23" s="190">
        <f>K23*1.35</f>
        <v>481.96687500000002</v>
      </c>
      <c r="M23" s="28">
        <f t="shared" si="24"/>
        <v>674.75362499999994</v>
      </c>
      <c r="N23" s="43">
        <f t="shared" si="25"/>
        <v>978.39275624999993</v>
      </c>
      <c r="O23" s="190">
        <f>Q23*1.5</f>
        <v>2128.0042448437498</v>
      </c>
      <c r="P23" s="43">
        <f t="shared" si="26"/>
        <v>3298.4065795078122</v>
      </c>
      <c r="Q23" s="43">
        <f t="shared" si="27"/>
        <v>1418.6694965624999</v>
      </c>
    </row>
    <row r="24" spans="1:17" s="1" customFormat="1" ht="15" thickBot="1" x14ac:dyDescent="0.35">
      <c r="A24" s="17">
        <v>1</v>
      </c>
      <c r="C24" s="39" t="s">
        <v>13</v>
      </c>
      <c r="D24" s="215" t="s">
        <v>8</v>
      </c>
      <c r="E24" s="191">
        <f t="shared" si="21"/>
        <v>184.91124260355028</v>
      </c>
      <c r="F24" s="167">
        <f t="shared" si="21"/>
        <v>240.38461538461539</v>
      </c>
      <c r="G24" s="242">
        <f>G22*6.25</f>
        <v>312.5</v>
      </c>
      <c r="H24" s="44">
        <f t="shared" si="22"/>
        <v>406.25</v>
      </c>
      <c r="I24" s="44">
        <f t="shared" si="22"/>
        <v>528.125</v>
      </c>
      <c r="J24" s="44">
        <f t="shared" si="23"/>
        <v>686.5625</v>
      </c>
      <c r="K24" s="45">
        <f t="shared" si="23"/>
        <v>892.53125</v>
      </c>
      <c r="L24" s="191">
        <f>K24*1.35</f>
        <v>1204.9171875000002</v>
      </c>
      <c r="M24" s="44">
        <f t="shared" si="24"/>
        <v>1686.8840625000003</v>
      </c>
      <c r="N24" s="45">
        <f t="shared" si="25"/>
        <v>2445.9818906250002</v>
      </c>
      <c r="O24" s="191">
        <f>Q24*1.5</f>
        <v>5320.0106121093759</v>
      </c>
      <c r="P24" s="45">
        <f t="shared" si="26"/>
        <v>8246.0164487695329</v>
      </c>
      <c r="Q24" s="45">
        <f t="shared" si="27"/>
        <v>3546.6737414062504</v>
      </c>
    </row>
    <row r="25" spans="1:17" x14ac:dyDescent="0.3">
      <c r="A25" s="150">
        <v>1</v>
      </c>
      <c r="B25" s="12"/>
      <c r="C25" s="36" t="s">
        <v>14</v>
      </c>
      <c r="D25" s="37" t="s">
        <v>6</v>
      </c>
      <c r="E25" s="192">
        <f>F25/1.3</f>
        <v>0.29585798816568043</v>
      </c>
      <c r="F25" s="168">
        <f t="shared" ref="F25" si="28">G25/1.3</f>
        <v>0.38461538461538458</v>
      </c>
      <c r="G25" s="243">
        <f>G22/100</f>
        <v>0.5</v>
      </c>
      <c r="H25" s="52">
        <f t="shared" ref="H25:I25" si="29">G25*1.3</f>
        <v>0.65</v>
      </c>
      <c r="I25" s="52">
        <f t="shared" si="29"/>
        <v>0.84500000000000008</v>
      </c>
      <c r="J25" s="52">
        <f t="shared" si="23"/>
        <v>1.0985000000000003</v>
      </c>
      <c r="K25" s="53">
        <f t="shared" si="23"/>
        <v>1.4280500000000005</v>
      </c>
      <c r="L25" s="192">
        <f>L22/75</f>
        <v>2.5704899999999999</v>
      </c>
      <c r="M25" s="52">
        <f t="shared" si="24"/>
        <v>3.5986859999999998</v>
      </c>
      <c r="N25" s="53">
        <f t="shared" si="25"/>
        <v>5.2180947</v>
      </c>
      <c r="O25" s="192">
        <f>O22/50</f>
        <v>17.02403395875</v>
      </c>
      <c r="P25" s="53">
        <f t="shared" si="26"/>
        <v>26.387252636062499</v>
      </c>
      <c r="Q25" s="53">
        <f t="shared" si="27"/>
        <v>7.5662373149999995</v>
      </c>
    </row>
    <row r="26" spans="1:17" x14ac:dyDescent="0.3">
      <c r="A26" s="148">
        <v>2</v>
      </c>
      <c r="B26" s="29"/>
      <c r="C26" s="38" t="s">
        <v>14</v>
      </c>
      <c r="D26" s="214" t="s">
        <v>7</v>
      </c>
      <c r="E26" s="193">
        <f t="shared" ref="E26:F26" si="30">F26/1.3</f>
        <v>0.73964497041420108</v>
      </c>
      <c r="F26" s="169">
        <f t="shared" si="30"/>
        <v>0.96153846153846145</v>
      </c>
      <c r="G26" s="244">
        <f>G25*2.5</f>
        <v>1.25</v>
      </c>
      <c r="H26" s="54">
        <f t="shared" ref="H26:I26" si="31">G26*1.3</f>
        <v>1.625</v>
      </c>
      <c r="I26" s="54">
        <f t="shared" si="31"/>
        <v>2.1125000000000003</v>
      </c>
      <c r="J26" s="54">
        <f t="shared" si="23"/>
        <v>2.7462500000000003</v>
      </c>
      <c r="K26" s="55">
        <f t="shared" si="23"/>
        <v>3.5701250000000004</v>
      </c>
      <c r="L26" s="193">
        <f>L25*2.5</f>
        <v>6.4262249999999996</v>
      </c>
      <c r="M26" s="54">
        <f t="shared" si="24"/>
        <v>8.9967149999999982</v>
      </c>
      <c r="N26" s="55">
        <f t="shared" si="25"/>
        <v>13.045236749999997</v>
      </c>
      <c r="O26" s="193">
        <f>O25*2.5</f>
        <v>42.560084896874997</v>
      </c>
      <c r="P26" s="55">
        <f t="shared" si="26"/>
        <v>65.968131590156247</v>
      </c>
      <c r="Q26" s="55">
        <f t="shared" si="27"/>
        <v>18.915593287499995</v>
      </c>
    </row>
    <row r="27" spans="1:17" ht="15" thickBot="1" x14ac:dyDescent="0.35">
      <c r="A27" s="18">
        <v>2</v>
      </c>
      <c r="B27" s="76"/>
      <c r="C27" s="39" t="s">
        <v>14</v>
      </c>
      <c r="D27" s="215" t="s">
        <v>8</v>
      </c>
      <c r="E27" s="194">
        <f t="shared" ref="E27:F27" si="32">F27/1.3</f>
        <v>1.8491124260355027</v>
      </c>
      <c r="F27" s="170">
        <f t="shared" si="32"/>
        <v>2.4038461538461537</v>
      </c>
      <c r="G27" s="245">
        <f>G25*6.25</f>
        <v>3.125</v>
      </c>
      <c r="H27" s="56">
        <f t="shared" ref="H27:I27" si="33">G27*1.3</f>
        <v>4.0625</v>
      </c>
      <c r="I27" s="56">
        <f t="shared" si="33"/>
        <v>5.28125</v>
      </c>
      <c r="J27" s="56">
        <f t="shared" si="23"/>
        <v>6.8656250000000005</v>
      </c>
      <c r="K27" s="57">
        <f t="shared" si="23"/>
        <v>8.9253125000000004</v>
      </c>
      <c r="L27" s="194">
        <f>L25*6.25</f>
        <v>16.065562499999999</v>
      </c>
      <c r="M27" s="56">
        <f t="shared" si="24"/>
        <v>22.491787499999997</v>
      </c>
      <c r="N27" s="57">
        <f t="shared" si="25"/>
        <v>32.613091874999995</v>
      </c>
      <c r="O27" s="194">
        <f>O25*6.25</f>
        <v>106.40021224218749</v>
      </c>
      <c r="P27" s="57">
        <f t="shared" si="26"/>
        <v>164.92032897539062</v>
      </c>
      <c r="Q27" s="57">
        <f t="shared" si="27"/>
        <v>47.288983218749991</v>
      </c>
    </row>
    <row r="28" spans="1:17" s="1" customFormat="1" ht="15" thickBot="1" x14ac:dyDescent="0.35">
      <c r="A28" s="14">
        <v>2</v>
      </c>
      <c r="B28" s="68"/>
      <c r="C28" s="21"/>
      <c r="D28" s="6"/>
      <c r="E28" s="188"/>
      <c r="F28" s="5"/>
      <c r="G28" s="188"/>
      <c r="H28" s="4"/>
      <c r="I28" s="4"/>
      <c r="J28" s="4"/>
      <c r="K28" s="189"/>
      <c r="L28" s="188"/>
      <c r="M28" s="4"/>
      <c r="N28" s="189"/>
      <c r="O28" s="188"/>
      <c r="P28" s="189"/>
      <c r="Q28" s="189"/>
    </row>
    <row r="29" spans="1:17" s="12" customFormat="1" ht="15" thickBot="1" x14ac:dyDescent="0.35">
      <c r="A29" s="14">
        <v>2</v>
      </c>
      <c r="B29" s="64" t="s">
        <v>27</v>
      </c>
      <c r="C29" s="60" t="s">
        <v>15</v>
      </c>
      <c r="D29" s="138" t="s">
        <v>16</v>
      </c>
      <c r="E29" s="160">
        <f t="shared" ref="E29" si="34">F29/1.3</f>
        <v>0.11379153390987709</v>
      </c>
      <c r="F29" s="129">
        <f>G29/1.3</f>
        <v>0.14792899408284022</v>
      </c>
      <c r="G29" s="246">
        <f>H29/1.3</f>
        <v>0.19230769230769229</v>
      </c>
      <c r="H29" s="131">
        <v>0.25</v>
      </c>
      <c r="I29" s="77">
        <f t="shared" ref="I29" si="35">H29*1.3</f>
        <v>0.32500000000000001</v>
      </c>
      <c r="J29" s="77">
        <f>I29*1.3</f>
        <v>0.42250000000000004</v>
      </c>
      <c r="K29" s="78">
        <f>J29*1.3</f>
        <v>0.54925000000000013</v>
      </c>
      <c r="L29" s="160">
        <f>K29*1.35</f>
        <v>0.74148750000000019</v>
      </c>
      <c r="M29" s="77">
        <f t="shared" ref="M29" si="36">L29*1.4</f>
        <v>1.0380825000000002</v>
      </c>
      <c r="N29" s="78">
        <f t="shared" ref="N29" si="37">M29*1.45</f>
        <v>1.5052196250000003</v>
      </c>
      <c r="O29" s="321">
        <f>Q29*1.5</f>
        <v>3.2738526843750004</v>
      </c>
      <c r="P29" s="322">
        <f t="shared" ref="P29" si="38">O29*1.55</f>
        <v>5.074471660781251</v>
      </c>
      <c r="Q29" s="78">
        <f>N29*1.45</f>
        <v>2.1825684562500003</v>
      </c>
    </row>
    <row r="30" spans="1:17" ht="15" thickBot="1" x14ac:dyDescent="0.35">
      <c r="A30" s="14">
        <v>2</v>
      </c>
      <c r="B30" s="74"/>
      <c r="C30" s="40" t="s">
        <v>17</v>
      </c>
      <c r="D30" s="37" t="s">
        <v>18</v>
      </c>
      <c r="E30" s="195">
        <v>-5</v>
      </c>
      <c r="F30" s="157">
        <v>-2</v>
      </c>
      <c r="G30" s="247">
        <v>0</v>
      </c>
      <c r="H30" s="158">
        <v>5</v>
      </c>
      <c r="I30" s="156">
        <f>H30*2</f>
        <v>10</v>
      </c>
      <c r="J30" s="156">
        <f t="shared" ref="J30:J41" si="39">H30*3</f>
        <v>15</v>
      </c>
      <c r="K30" s="159">
        <f t="shared" ref="K30:K41" si="40">H30*4</f>
        <v>20</v>
      </c>
      <c r="L30" s="195">
        <f t="shared" ref="L30:L41" si="41">H30*5</f>
        <v>25</v>
      </c>
      <c r="M30" s="156">
        <f t="shared" ref="M30:M41" si="42">H30*6</f>
        <v>30</v>
      </c>
      <c r="N30" s="157">
        <f t="shared" ref="N30:N41" si="43">H30*7</f>
        <v>35</v>
      </c>
      <c r="O30" s="222">
        <f t="shared" ref="O30:O41" si="44">H30*9</f>
        <v>45</v>
      </c>
      <c r="P30" s="323">
        <f t="shared" ref="P30:P41" si="45">H30*10</f>
        <v>50</v>
      </c>
      <c r="Q30" s="318">
        <f t="shared" ref="Q30:Q41" si="46">H30*8</f>
        <v>40</v>
      </c>
    </row>
    <row r="31" spans="1:17" ht="15" thickBot="1" x14ac:dyDescent="0.35">
      <c r="A31" s="14">
        <v>2</v>
      </c>
      <c r="B31" s="75">
        <v>0.8</v>
      </c>
      <c r="C31" s="71" t="s">
        <v>17</v>
      </c>
      <c r="D31" s="214" t="s">
        <v>19</v>
      </c>
      <c r="E31" s="222">
        <v>-5</v>
      </c>
      <c r="F31" s="130">
        <v>-2</v>
      </c>
      <c r="G31" s="248">
        <v>0</v>
      </c>
      <c r="H31" s="132">
        <f>H30*B31</f>
        <v>4</v>
      </c>
      <c r="I31" s="70">
        <f>H31*2</f>
        <v>8</v>
      </c>
      <c r="J31" s="70">
        <f t="shared" si="39"/>
        <v>12</v>
      </c>
      <c r="K31" s="72">
        <f t="shared" si="40"/>
        <v>16</v>
      </c>
      <c r="L31" s="196">
        <f t="shared" si="41"/>
        <v>20</v>
      </c>
      <c r="M31" s="70">
        <f t="shared" si="42"/>
        <v>24</v>
      </c>
      <c r="N31" s="316">
        <f t="shared" si="43"/>
        <v>28</v>
      </c>
      <c r="O31" s="196">
        <f t="shared" si="44"/>
        <v>36</v>
      </c>
      <c r="P31" s="72">
        <f t="shared" si="45"/>
        <v>40</v>
      </c>
      <c r="Q31" s="319">
        <f t="shared" si="46"/>
        <v>32</v>
      </c>
    </row>
    <row r="32" spans="1:17" ht="15" thickBot="1" x14ac:dyDescent="0.35">
      <c r="A32" s="14">
        <v>2</v>
      </c>
      <c r="B32" s="75">
        <v>0.6</v>
      </c>
      <c r="C32" s="71" t="s">
        <v>17</v>
      </c>
      <c r="D32" s="216" t="s">
        <v>20</v>
      </c>
      <c r="E32" s="223">
        <v>-5</v>
      </c>
      <c r="F32" s="133">
        <v>-2</v>
      </c>
      <c r="G32" s="249">
        <v>0</v>
      </c>
      <c r="H32" s="134">
        <f>H30*B32</f>
        <v>3</v>
      </c>
      <c r="I32" s="135">
        <f t="shared" ref="I32:I41" si="47">H32*2</f>
        <v>6</v>
      </c>
      <c r="J32" s="135">
        <f t="shared" si="39"/>
        <v>9</v>
      </c>
      <c r="K32" s="136">
        <f t="shared" si="40"/>
        <v>12</v>
      </c>
      <c r="L32" s="197">
        <f t="shared" si="41"/>
        <v>15</v>
      </c>
      <c r="M32" s="135">
        <f t="shared" si="42"/>
        <v>18</v>
      </c>
      <c r="N32" s="317">
        <f t="shared" si="43"/>
        <v>21</v>
      </c>
      <c r="O32" s="197">
        <f t="shared" si="44"/>
        <v>27</v>
      </c>
      <c r="P32" s="136">
        <f t="shared" si="45"/>
        <v>30</v>
      </c>
      <c r="Q32" s="320">
        <f t="shared" si="46"/>
        <v>24</v>
      </c>
    </row>
    <row r="33" spans="1:17" ht="15" thickBot="1" x14ac:dyDescent="0.35">
      <c r="A33" s="14">
        <v>2</v>
      </c>
      <c r="B33" s="75">
        <v>0.7</v>
      </c>
      <c r="C33" s="71" t="s">
        <v>17</v>
      </c>
      <c r="D33" s="216" t="s">
        <v>21</v>
      </c>
      <c r="E33" s="223">
        <v>-5</v>
      </c>
      <c r="F33" s="133">
        <v>-2</v>
      </c>
      <c r="G33" s="249">
        <v>0</v>
      </c>
      <c r="H33" s="134">
        <f>H30*B33</f>
        <v>3.5</v>
      </c>
      <c r="I33" s="135">
        <f t="shared" si="47"/>
        <v>7</v>
      </c>
      <c r="J33" s="135">
        <f t="shared" si="39"/>
        <v>10.5</v>
      </c>
      <c r="K33" s="136">
        <f t="shared" si="40"/>
        <v>14</v>
      </c>
      <c r="L33" s="197">
        <f t="shared" si="41"/>
        <v>17.5</v>
      </c>
      <c r="M33" s="135">
        <f t="shared" si="42"/>
        <v>21</v>
      </c>
      <c r="N33" s="317">
        <f t="shared" si="43"/>
        <v>24.5</v>
      </c>
      <c r="O33" s="197">
        <f t="shared" si="44"/>
        <v>31.5</v>
      </c>
      <c r="P33" s="136">
        <f t="shared" si="45"/>
        <v>35</v>
      </c>
      <c r="Q33" s="320">
        <f t="shared" si="46"/>
        <v>28</v>
      </c>
    </row>
    <row r="34" spans="1:17" ht="15" thickBot="1" x14ac:dyDescent="0.35">
      <c r="A34" s="14">
        <v>2</v>
      </c>
      <c r="B34" s="75">
        <v>0.5</v>
      </c>
      <c r="C34" s="71" t="s">
        <v>17</v>
      </c>
      <c r="D34" s="216" t="s">
        <v>22</v>
      </c>
      <c r="E34" s="222">
        <v>-5</v>
      </c>
      <c r="F34" s="130">
        <v>-2</v>
      </c>
      <c r="G34" s="248">
        <v>0</v>
      </c>
      <c r="H34" s="132">
        <f>H30*B34</f>
        <v>2.5</v>
      </c>
      <c r="I34" s="70">
        <f t="shared" si="47"/>
        <v>5</v>
      </c>
      <c r="J34" s="70">
        <f t="shared" si="39"/>
        <v>7.5</v>
      </c>
      <c r="K34" s="72">
        <f t="shared" si="40"/>
        <v>10</v>
      </c>
      <c r="L34" s="196">
        <f t="shared" si="41"/>
        <v>12.5</v>
      </c>
      <c r="M34" s="70">
        <f t="shared" si="42"/>
        <v>15</v>
      </c>
      <c r="N34" s="316">
        <f t="shared" si="43"/>
        <v>17.5</v>
      </c>
      <c r="O34" s="196">
        <f t="shared" si="44"/>
        <v>22.5</v>
      </c>
      <c r="P34" s="72">
        <f t="shared" si="45"/>
        <v>25</v>
      </c>
      <c r="Q34" s="318">
        <f t="shared" si="46"/>
        <v>20</v>
      </c>
    </row>
    <row r="35" spans="1:17" ht="15" thickBot="1" x14ac:dyDescent="0.35">
      <c r="A35" s="14">
        <v>2</v>
      </c>
      <c r="B35" s="75">
        <v>0.4</v>
      </c>
      <c r="C35" s="71" t="s">
        <v>17</v>
      </c>
      <c r="D35" s="216" t="s">
        <v>23</v>
      </c>
      <c r="E35" s="222">
        <v>-5</v>
      </c>
      <c r="F35" s="130">
        <v>-2</v>
      </c>
      <c r="G35" s="248">
        <v>0</v>
      </c>
      <c r="H35" s="132">
        <f>H30*B35</f>
        <v>2</v>
      </c>
      <c r="I35" s="70">
        <f t="shared" si="47"/>
        <v>4</v>
      </c>
      <c r="J35" s="70">
        <f t="shared" si="39"/>
        <v>6</v>
      </c>
      <c r="K35" s="72">
        <f t="shared" si="40"/>
        <v>8</v>
      </c>
      <c r="L35" s="196">
        <f t="shared" si="41"/>
        <v>10</v>
      </c>
      <c r="M35" s="70">
        <f t="shared" si="42"/>
        <v>12</v>
      </c>
      <c r="N35" s="316">
        <f t="shared" si="43"/>
        <v>14</v>
      </c>
      <c r="O35" s="196">
        <f t="shared" si="44"/>
        <v>18</v>
      </c>
      <c r="P35" s="72">
        <f t="shared" si="45"/>
        <v>20</v>
      </c>
      <c r="Q35" s="319">
        <f t="shared" si="46"/>
        <v>16</v>
      </c>
    </row>
    <row r="36" spans="1:17" s="1" customFormat="1" ht="15" thickBot="1" x14ac:dyDescent="0.35">
      <c r="A36" s="14">
        <v>2</v>
      </c>
      <c r="B36" s="75">
        <v>0.3</v>
      </c>
      <c r="C36" s="71" t="s">
        <v>17</v>
      </c>
      <c r="D36" s="216" t="s">
        <v>24</v>
      </c>
      <c r="E36" s="223">
        <v>-5</v>
      </c>
      <c r="F36" s="133">
        <v>-2</v>
      </c>
      <c r="G36" s="249">
        <v>0</v>
      </c>
      <c r="H36" s="134">
        <f>H30*B36</f>
        <v>1.5</v>
      </c>
      <c r="I36" s="135">
        <f t="shared" si="47"/>
        <v>3</v>
      </c>
      <c r="J36" s="135">
        <f t="shared" si="39"/>
        <v>4.5</v>
      </c>
      <c r="K36" s="136">
        <f t="shared" si="40"/>
        <v>6</v>
      </c>
      <c r="L36" s="197">
        <f t="shared" si="41"/>
        <v>7.5</v>
      </c>
      <c r="M36" s="135">
        <f t="shared" si="42"/>
        <v>9</v>
      </c>
      <c r="N36" s="317">
        <f t="shared" si="43"/>
        <v>10.5</v>
      </c>
      <c r="O36" s="197">
        <f t="shared" si="44"/>
        <v>13.5</v>
      </c>
      <c r="P36" s="136">
        <f t="shared" si="45"/>
        <v>15</v>
      </c>
      <c r="Q36" s="320">
        <f t="shared" si="46"/>
        <v>12</v>
      </c>
    </row>
    <row r="37" spans="1:17" s="1" customFormat="1" ht="15" thickBot="1" x14ac:dyDescent="0.35">
      <c r="A37" s="14">
        <v>2</v>
      </c>
      <c r="B37" s="75">
        <v>0.25</v>
      </c>
      <c r="C37" s="71" t="s">
        <v>17</v>
      </c>
      <c r="D37" s="216" t="s">
        <v>25</v>
      </c>
      <c r="E37" s="223">
        <v>-5</v>
      </c>
      <c r="F37" s="133">
        <v>-2</v>
      </c>
      <c r="G37" s="249">
        <v>0</v>
      </c>
      <c r="H37" s="134">
        <f>H30*B37</f>
        <v>1.25</v>
      </c>
      <c r="I37" s="135">
        <f t="shared" si="47"/>
        <v>2.5</v>
      </c>
      <c r="J37" s="135">
        <f t="shared" si="39"/>
        <v>3.75</v>
      </c>
      <c r="K37" s="136">
        <f t="shared" si="40"/>
        <v>5</v>
      </c>
      <c r="L37" s="197">
        <f t="shared" si="41"/>
        <v>6.25</v>
      </c>
      <c r="M37" s="135">
        <f t="shared" si="42"/>
        <v>7.5</v>
      </c>
      <c r="N37" s="317">
        <f t="shared" si="43"/>
        <v>8.75</v>
      </c>
      <c r="O37" s="197">
        <f t="shared" si="44"/>
        <v>11.25</v>
      </c>
      <c r="P37" s="136">
        <f t="shared" si="45"/>
        <v>12.5</v>
      </c>
      <c r="Q37" s="320">
        <f t="shared" si="46"/>
        <v>10</v>
      </c>
    </row>
    <row r="38" spans="1:17" s="1" customFormat="1" ht="15" thickBot="1" x14ac:dyDescent="0.35">
      <c r="A38" s="14">
        <v>2</v>
      </c>
      <c r="B38" s="75">
        <v>0.2</v>
      </c>
      <c r="C38" s="71" t="s">
        <v>17</v>
      </c>
      <c r="D38" s="216" t="s">
        <v>26</v>
      </c>
      <c r="E38" s="222">
        <v>-5</v>
      </c>
      <c r="F38" s="130">
        <v>-2</v>
      </c>
      <c r="G38" s="248">
        <v>0</v>
      </c>
      <c r="H38" s="132">
        <f>H30*B38</f>
        <v>1</v>
      </c>
      <c r="I38" s="70">
        <f t="shared" si="47"/>
        <v>2</v>
      </c>
      <c r="J38" s="70">
        <f t="shared" si="39"/>
        <v>3</v>
      </c>
      <c r="K38" s="72">
        <f t="shared" si="40"/>
        <v>4</v>
      </c>
      <c r="L38" s="196">
        <f t="shared" si="41"/>
        <v>5</v>
      </c>
      <c r="M38" s="70">
        <f t="shared" si="42"/>
        <v>6</v>
      </c>
      <c r="N38" s="316">
        <f t="shared" si="43"/>
        <v>7</v>
      </c>
      <c r="O38" s="196">
        <f t="shared" si="44"/>
        <v>9</v>
      </c>
      <c r="P38" s="72">
        <f t="shared" si="45"/>
        <v>10</v>
      </c>
      <c r="Q38" s="318">
        <f t="shared" si="46"/>
        <v>8</v>
      </c>
    </row>
    <row r="39" spans="1:17" s="1" customFormat="1" ht="15" thickBot="1" x14ac:dyDescent="0.35">
      <c r="A39" s="20">
        <v>2</v>
      </c>
      <c r="B39" s="75">
        <v>0.1</v>
      </c>
      <c r="C39" s="71" t="s">
        <v>17</v>
      </c>
      <c r="D39" s="216" t="s">
        <v>28</v>
      </c>
      <c r="E39" s="222">
        <v>-5</v>
      </c>
      <c r="F39" s="130">
        <v>-2</v>
      </c>
      <c r="G39" s="248">
        <v>0</v>
      </c>
      <c r="H39" s="132">
        <f>H30*B39</f>
        <v>0.5</v>
      </c>
      <c r="I39" s="70">
        <f t="shared" si="47"/>
        <v>1</v>
      </c>
      <c r="J39" s="70">
        <f t="shared" si="39"/>
        <v>1.5</v>
      </c>
      <c r="K39" s="72">
        <f t="shared" si="40"/>
        <v>2</v>
      </c>
      <c r="L39" s="196">
        <f t="shared" si="41"/>
        <v>2.5</v>
      </c>
      <c r="M39" s="70">
        <f t="shared" si="42"/>
        <v>3</v>
      </c>
      <c r="N39" s="316">
        <f t="shared" si="43"/>
        <v>3.5</v>
      </c>
      <c r="O39" s="196">
        <f t="shared" si="44"/>
        <v>4.5</v>
      </c>
      <c r="P39" s="72">
        <f t="shared" si="45"/>
        <v>5</v>
      </c>
      <c r="Q39" s="319">
        <f t="shared" si="46"/>
        <v>4</v>
      </c>
    </row>
    <row r="40" spans="1:17" ht="15" thickBot="1" x14ac:dyDescent="0.35">
      <c r="A40" s="79">
        <v>2</v>
      </c>
      <c r="B40" s="75">
        <v>0.1</v>
      </c>
      <c r="C40" s="71" t="s">
        <v>17</v>
      </c>
      <c r="D40" s="216" t="s">
        <v>29</v>
      </c>
      <c r="E40" s="223">
        <v>-5</v>
      </c>
      <c r="F40" s="133">
        <v>-2</v>
      </c>
      <c r="G40" s="249">
        <v>0</v>
      </c>
      <c r="H40" s="134">
        <f>H30*B40</f>
        <v>0.5</v>
      </c>
      <c r="I40" s="135">
        <f t="shared" si="47"/>
        <v>1</v>
      </c>
      <c r="J40" s="135">
        <f t="shared" si="39"/>
        <v>1.5</v>
      </c>
      <c r="K40" s="136">
        <f t="shared" si="40"/>
        <v>2</v>
      </c>
      <c r="L40" s="197">
        <f t="shared" si="41"/>
        <v>2.5</v>
      </c>
      <c r="M40" s="135">
        <f t="shared" si="42"/>
        <v>3</v>
      </c>
      <c r="N40" s="317">
        <f t="shared" si="43"/>
        <v>3.5</v>
      </c>
      <c r="O40" s="197">
        <f t="shared" si="44"/>
        <v>4.5</v>
      </c>
      <c r="P40" s="136">
        <f t="shared" si="45"/>
        <v>5</v>
      </c>
      <c r="Q40" s="320">
        <f t="shared" si="46"/>
        <v>4</v>
      </c>
    </row>
    <row r="41" spans="1:17" ht="15" thickBot="1" x14ac:dyDescent="0.35">
      <c r="A41" s="19">
        <v>2</v>
      </c>
      <c r="B41" s="76">
        <v>0.1</v>
      </c>
      <c r="C41" s="73" t="s">
        <v>17</v>
      </c>
      <c r="D41" s="215" t="s">
        <v>30</v>
      </c>
      <c r="E41" s="223">
        <v>-5</v>
      </c>
      <c r="F41" s="133">
        <v>-2</v>
      </c>
      <c r="G41" s="249">
        <v>0</v>
      </c>
      <c r="H41" s="137">
        <f>H30*B41</f>
        <v>0.5</v>
      </c>
      <c r="I41" s="135">
        <f t="shared" si="47"/>
        <v>1</v>
      </c>
      <c r="J41" s="135">
        <f t="shared" si="39"/>
        <v>1.5</v>
      </c>
      <c r="K41" s="136">
        <f t="shared" si="40"/>
        <v>2</v>
      </c>
      <c r="L41" s="197">
        <f t="shared" si="41"/>
        <v>2.5</v>
      </c>
      <c r="M41" s="135">
        <f t="shared" si="42"/>
        <v>3</v>
      </c>
      <c r="N41" s="317">
        <f t="shared" si="43"/>
        <v>3.5</v>
      </c>
      <c r="O41" s="314">
        <f t="shared" si="44"/>
        <v>4.5</v>
      </c>
      <c r="P41" s="315">
        <f t="shared" si="45"/>
        <v>5</v>
      </c>
      <c r="Q41" s="320">
        <f t="shared" si="46"/>
        <v>4</v>
      </c>
    </row>
    <row r="42" spans="1:17" ht="15" thickBot="1" x14ac:dyDescent="0.35">
      <c r="A42" s="18">
        <v>2</v>
      </c>
      <c r="C42" s="1"/>
      <c r="D42" s="1"/>
      <c r="E42" s="178"/>
      <c r="F42" s="141"/>
      <c r="G42" s="178"/>
      <c r="H42" s="141"/>
      <c r="I42" s="141"/>
      <c r="J42" s="141"/>
      <c r="K42" s="179"/>
      <c r="L42" s="178"/>
      <c r="M42" s="141"/>
      <c r="N42" s="179"/>
      <c r="O42" s="178"/>
      <c r="P42" s="179"/>
      <c r="Q42" s="179"/>
    </row>
    <row r="43" spans="1:17" s="1" customFormat="1" ht="15" thickBot="1" x14ac:dyDescent="0.35">
      <c r="A43" s="14">
        <v>2</v>
      </c>
      <c r="B43" s="64" t="s">
        <v>31</v>
      </c>
      <c r="C43" s="36" t="s">
        <v>35</v>
      </c>
      <c r="D43" s="37" t="s">
        <v>16</v>
      </c>
      <c r="E43" s="82">
        <f t="shared" ref="E43" si="48">F43/1.3</f>
        <v>-2.9585798816568043</v>
      </c>
      <c r="F43" s="98">
        <f>G43/1.3</f>
        <v>-3.8461538461538458</v>
      </c>
      <c r="G43" s="114">
        <v>-5</v>
      </c>
      <c r="H43" s="115">
        <f>G43*1.3</f>
        <v>-6.5</v>
      </c>
      <c r="I43" s="115">
        <f>H43*1.3</f>
        <v>-8.4500000000000011</v>
      </c>
      <c r="J43" s="115">
        <f>I43*1.3</f>
        <v>-10.985000000000001</v>
      </c>
      <c r="K43" s="116">
        <f>J43*1.35</f>
        <v>-14.829750000000002</v>
      </c>
      <c r="L43" s="139">
        <f>K43*1.4</f>
        <v>-20.761650000000003</v>
      </c>
      <c r="M43" s="115">
        <f>L43*1.45</f>
        <v>-30.104392500000003</v>
      </c>
      <c r="N43" s="116">
        <f>M43*1.45</f>
        <v>-43.651369125000002</v>
      </c>
      <c r="O43" s="139">
        <f>Q43*1.55</f>
        <v>-101.48943321562501</v>
      </c>
      <c r="P43" s="116">
        <f>O43*1.6</f>
        <v>-162.38309314500003</v>
      </c>
      <c r="Q43" s="116">
        <f>N43*1.5</f>
        <v>-65.477053687500003</v>
      </c>
    </row>
    <row r="44" spans="1:17" s="12" customFormat="1" ht="15" thickBot="1" x14ac:dyDescent="0.35">
      <c r="A44" s="14">
        <v>2</v>
      </c>
      <c r="B44" s="68"/>
      <c r="C44" s="60" t="s">
        <v>32</v>
      </c>
      <c r="D44" s="138" t="s">
        <v>16</v>
      </c>
      <c r="E44" s="117">
        <f t="shared" ref="E44:E45" si="49">F44/1.3</f>
        <v>0.59171597633136086</v>
      </c>
      <c r="F44" s="118">
        <f t="shared" ref="F44:F45" si="50">G44/1.3</f>
        <v>0.76923076923076916</v>
      </c>
      <c r="G44" s="119">
        <v>1</v>
      </c>
      <c r="H44" s="61">
        <f>G44*2</f>
        <v>2</v>
      </c>
      <c r="I44" s="61">
        <f>G44*3</f>
        <v>3</v>
      </c>
      <c r="J44" s="61">
        <f>G44*4</f>
        <v>4</v>
      </c>
      <c r="K44" s="62">
        <f>G44*5</f>
        <v>5</v>
      </c>
      <c r="L44" s="198">
        <f>G44*6</f>
        <v>6</v>
      </c>
      <c r="M44" s="61">
        <f>G44*7</f>
        <v>7</v>
      </c>
      <c r="N44" s="62">
        <f>G44*8</f>
        <v>8</v>
      </c>
      <c r="O44" s="198">
        <v>10</v>
      </c>
      <c r="P44" s="62">
        <v>11</v>
      </c>
      <c r="Q44" s="62">
        <v>9</v>
      </c>
    </row>
    <row r="45" spans="1:17" ht="15" thickBot="1" x14ac:dyDescent="0.35">
      <c r="A45" s="14">
        <v>2</v>
      </c>
      <c r="B45" s="65"/>
      <c r="C45" s="60" t="s">
        <v>33</v>
      </c>
      <c r="D45" s="138" t="s">
        <v>16</v>
      </c>
      <c r="E45" s="120">
        <f t="shared" si="49"/>
        <v>1.1834319526627217</v>
      </c>
      <c r="F45" s="121">
        <f t="shared" si="50"/>
        <v>1.5384615384615383</v>
      </c>
      <c r="G45" s="122">
        <v>2</v>
      </c>
      <c r="H45" s="80">
        <f>G45*2</f>
        <v>4</v>
      </c>
      <c r="I45" s="80">
        <f>G45*3</f>
        <v>6</v>
      </c>
      <c r="J45" s="80">
        <f>G45*4</f>
        <v>8</v>
      </c>
      <c r="K45" s="81">
        <f>G45*5</f>
        <v>10</v>
      </c>
      <c r="L45" s="199">
        <f>G45*6</f>
        <v>12</v>
      </c>
      <c r="M45" s="80">
        <f>G45*7</f>
        <v>14</v>
      </c>
      <c r="N45" s="81">
        <f>G45*8</f>
        <v>16</v>
      </c>
      <c r="O45" s="199">
        <v>20</v>
      </c>
      <c r="P45" s="81">
        <v>22</v>
      </c>
      <c r="Q45" s="81">
        <v>18</v>
      </c>
    </row>
    <row r="46" spans="1:17" ht="15" thickBot="1" x14ac:dyDescent="0.35">
      <c r="A46" s="14">
        <v>2</v>
      </c>
      <c r="B46" s="65"/>
      <c r="C46" s="60" t="s">
        <v>34</v>
      </c>
      <c r="D46" s="138" t="s">
        <v>16</v>
      </c>
      <c r="E46" s="126">
        <v>-6</v>
      </c>
      <c r="F46" s="125">
        <v>-3</v>
      </c>
      <c r="G46" s="126">
        <v>0</v>
      </c>
      <c r="H46" s="127">
        <v>5</v>
      </c>
      <c r="I46" s="124">
        <v>10</v>
      </c>
      <c r="J46" s="124">
        <v>15</v>
      </c>
      <c r="K46" s="128">
        <v>20</v>
      </c>
      <c r="L46" s="126">
        <v>25</v>
      </c>
      <c r="M46" s="124">
        <v>30</v>
      </c>
      <c r="N46" s="128">
        <v>35</v>
      </c>
      <c r="O46" s="126">
        <v>45</v>
      </c>
      <c r="P46" s="128">
        <v>50</v>
      </c>
      <c r="Q46" s="128">
        <v>40</v>
      </c>
    </row>
    <row r="47" spans="1:17" x14ac:dyDescent="0.3">
      <c r="A47" s="20">
        <v>2</v>
      </c>
      <c r="B47" s="92">
        <v>1</v>
      </c>
      <c r="C47" s="91" t="s">
        <v>37</v>
      </c>
      <c r="D47" s="217"/>
      <c r="E47" s="210">
        <f>F47/1.3</f>
        <v>1.1834319526627217</v>
      </c>
      <c r="F47" s="99">
        <f>G47/1.3</f>
        <v>1.5384615384615383</v>
      </c>
      <c r="G47" s="108">
        <v>2</v>
      </c>
      <c r="H47" s="93">
        <f t="shared" ref="H47:I52" si="51">G47*1.3</f>
        <v>2.6</v>
      </c>
      <c r="I47" s="93">
        <f>H47*1.3</f>
        <v>3.3800000000000003</v>
      </c>
      <c r="J47" s="94">
        <f>I47*1.3</f>
        <v>4.394000000000001</v>
      </c>
      <c r="K47" s="109">
        <f>J47*1.3</f>
        <v>5.7122000000000019</v>
      </c>
      <c r="L47" s="200">
        <f t="shared" ref="L47:L52" si="52">K47*1.35</f>
        <v>7.7114700000000029</v>
      </c>
      <c r="M47" s="103">
        <f>L47*1.4</f>
        <v>10.796058000000004</v>
      </c>
      <c r="N47" s="109">
        <f>M47*1.45</f>
        <v>15.654284100000005</v>
      </c>
      <c r="O47" s="209">
        <f t="shared" ref="O47:O52" si="53">Q47*1.5</f>
        <v>34.048067917500006</v>
      </c>
      <c r="P47" s="109">
        <f>O47*1.55</f>
        <v>52.774505272125012</v>
      </c>
      <c r="Q47" s="109">
        <f t="shared" ref="Q47:Q52" si="54">N47*1.45</f>
        <v>22.698711945000007</v>
      </c>
    </row>
    <row r="48" spans="1:17" x14ac:dyDescent="0.3">
      <c r="A48" s="20">
        <v>2</v>
      </c>
      <c r="B48" s="92">
        <v>1</v>
      </c>
      <c r="C48" s="91" t="s">
        <v>38</v>
      </c>
      <c r="D48" s="217"/>
      <c r="E48" s="209">
        <f>F48/1.3</f>
        <v>0.44378698224852065</v>
      </c>
      <c r="F48" s="100">
        <f>G48/1.3</f>
        <v>0.57692307692307687</v>
      </c>
      <c r="G48" s="110">
        <f>G47*0.375</f>
        <v>0.75</v>
      </c>
      <c r="H48" s="94">
        <f t="shared" si="51"/>
        <v>0.97500000000000009</v>
      </c>
      <c r="I48" s="94">
        <f t="shared" si="51"/>
        <v>1.2675000000000001</v>
      </c>
      <c r="J48" s="93">
        <f t="shared" ref="J48:K52" si="55">I48*1.3</f>
        <v>1.64775</v>
      </c>
      <c r="K48" s="111">
        <f t="shared" si="55"/>
        <v>2.1420750000000002</v>
      </c>
      <c r="L48" s="201">
        <f t="shared" si="52"/>
        <v>2.8918012500000003</v>
      </c>
      <c r="M48" s="104">
        <f>L48*1.4</f>
        <v>4.0485217499999999</v>
      </c>
      <c r="N48" s="111">
        <f>M48*1.45</f>
        <v>5.8703565374999993</v>
      </c>
      <c r="O48" s="210">
        <f t="shared" si="53"/>
        <v>12.768025469062497</v>
      </c>
      <c r="P48" s="111">
        <f>O48*1.55</f>
        <v>19.790439477046871</v>
      </c>
      <c r="Q48" s="111">
        <f t="shared" si="54"/>
        <v>8.512016979374998</v>
      </c>
    </row>
    <row r="49" spans="1:17" x14ac:dyDescent="0.3">
      <c r="A49" s="20">
        <v>2</v>
      </c>
      <c r="B49" s="92">
        <v>1</v>
      </c>
      <c r="C49" s="95" t="s">
        <v>39</v>
      </c>
      <c r="D49" s="101"/>
      <c r="E49" s="211">
        <f t="shared" ref="E49:F52" si="56">F49/1.3</f>
        <v>3.6982248520710054E-2</v>
      </c>
      <c r="F49" s="101">
        <f t="shared" si="56"/>
        <v>4.8076923076923073E-2</v>
      </c>
      <c r="G49" s="112">
        <f>G47*0.25/8</f>
        <v>6.25E-2</v>
      </c>
      <c r="H49" s="95">
        <f t="shared" si="51"/>
        <v>8.1250000000000003E-2</v>
      </c>
      <c r="I49" s="95">
        <f t="shared" si="51"/>
        <v>0.10562500000000001</v>
      </c>
      <c r="J49" s="54">
        <f t="shared" si="55"/>
        <v>0.13731250000000003</v>
      </c>
      <c r="K49" s="55">
        <f t="shared" si="55"/>
        <v>0.17850625000000006</v>
      </c>
      <c r="L49" s="202">
        <f t="shared" si="52"/>
        <v>0.24098343750000009</v>
      </c>
      <c r="M49" s="105">
        <f t="shared" ref="M49:M52" si="57">L49*1.4</f>
        <v>0.33737681250000012</v>
      </c>
      <c r="N49" s="113">
        <f t="shared" ref="N49:N52" si="58">M49*1.45</f>
        <v>0.48919637812500016</v>
      </c>
      <c r="O49" s="211">
        <f t="shared" si="53"/>
        <v>1.0640021224218752</v>
      </c>
      <c r="P49" s="113">
        <f t="shared" ref="P49:P52" si="59">O49*1.55</f>
        <v>1.6492032897539066</v>
      </c>
      <c r="Q49" s="113">
        <f t="shared" si="54"/>
        <v>0.7093347482812502</v>
      </c>
    </row>
    <row r="50" spans="1:17" x14ac:dyDescent="0.3">
      <c r="A50" s="20">
        <v>2</v>
      </c>
      <c r="B50" s="92">
        <v>1</v>
      </c>
      <c r="C50" s="95" t="s">
        <v>40</v>
      </c>
      <c r="D50" s="101"/>
      <c r="E50" s="211">
        <f t="shared" si="56"/>
        <v>1.8491124260355027E-2</v>
      </c>
      <c r="F50" s="101">
        <f t="shared" si="56"/>
        <v>2.4038461538461536E-2</v>
      </c>
      <c r="G50" s="112">
        <f>G47*0.25/16</f>
        <v>3.125E-2</v>
      </c>
      <c r="H50" s="95">
        <f t="shared" si="51"/>
        <v>4.0625000000000001E-2</v>
      </c>
      <c r="I50" s="95">
        <f t="shared" si="51"/>
        <v>5.2812500000000005E-2</v>
      </c>
      <c r="J50" s="96">
        <f t="shared" si="55"/>
        <v>6.8656250000000016E-2</v>
      </c>
      <c r="K50" s="224">
        <f t="shared" si="55"/>
        <v>8.925312500000003E-2</v>
      </c>
      <c r="L50" s="203">
        <f t="shared" si="52"/>
        <v>0.12049171875000005</v>
      </c>
      <c r="M50" s="105">
        <f t="shared" si="57"/>
        <v>0.16868840625000006</v>
      </c>
      <c r="N50" s="113">
        <f t="shared" si="58"/>
        <v>0.24459818906250008</v>
      </c>
      <c r="O50" s="211">
        <f t="shared" si="53"/>
        <v>0.5320010612109376</v>
      </c>
      <c r="P50" s="113">
        <f t="shared" si="59"/>
        <v>0.82460164487695331</v>
      </c>
      <c r="Q50" s="113">
        <f t="shared" si="54"/>
        <v>0.3546673741406251</v>
      </c>
    </row>
    <row r="51" spans="1:17" s="1" customFormat="1" x14ac:dyDescent="0.3">
      <c r="A51" s="20">
        <v>2</v>
      </c>
      <c r="B51" s="92">
        <v>1</v>
      </c>
      <c r="C51" s="95" t="s">
        <v>41</v>
      </c>
      <c r="D51" s="101"/>
      <c r="E51" s="211">
        <f t="shared" si="56"/>
        <v>9.2455621301775134E-3</v>
      </c>
      <c r="F51" s="101">
        <f t="shared" si="56"/>
        <v>1.2019230769230768E-2</v>
      </c>
      <c r="G51" s="112">
        <f>G47*0.375/48</f>
        <v>1.5625E-2</v>
      </c>
      <c r="H51" s="95">
        <f t="shared" si="51"/>
        <v>2.0312500000000001E-2</v>
      </c>
      <c r="I51" s="95">
        <f t="shared" si="51"/>
        <v>2.6406250000000003E-2</v>
      </c>
      <c r="J51" s="95">
        <f t="shared" si="55"/>
        <v>3.4328125000000008E-2</v>
      </c>
      <c r="K51" s="113">
        <f t="shared" si="55"/>
        <v>4.4626562500000015E-2</v>
      </c>
      <c r="L51" s="204">
        <f t="shared" si="52"/>
        <v>6.0245859375000023E-2</v>
      </c>
      <c r="M51" s="106">
        <f t="shared" si="57"/>
        <v>8.4344203125000031E-2</v>
      </c>
      <c r="N51" s="123">
        <f t="shared" si="58"/>
        <v>0.12229909453125004</v>
      </c>
      <c r="O51" s="211">
        <f t="shared" si="53"/>
        <v>0.2660005306054688</v>
      </c>
      <c r="P51" s="113">
        <f t="shared" si="59"/>
        <v>0.41230082243847666</v>
      </c>
      <c r="Q51" s="123">
        <f t="shared" si="54"/>
        <v>0.17733368707031255</v>
      </c>
    </row>
    <row r="52" spans="1:17" s="1" customFormat="1" x14ac:dyDescent="0.3">
      <c r="A52" s="20">
        <v>2</v>
      </c>
      <c r="B52" s="92">
        <v>1</v>
      </c>
      <c r="C52" s="95" t="s">
        <v>42</v>
      </c>
      <c r="D52" s="101"/>
      <c r="E52" s="225">
        <f t="shared" si="56"/>
        <v>4.6227810650887567E-3</v>
      </c>
      <c r="F52" s="102">
        <f t="shared" si="56"/>
        <v>6.0096153846153841E-3</v>
      </c>
      <c r="G52" s="112">
        <f>G47*0.375/96</f>
        <v>7.8125E-3</v>
      </c>
      <c r="H52" s="95">
        <f t="shared" si="51"/>
        <v>1.015625E-2</v>
      </c>
      <c r="I52" s="95">
        <f t="shared" si="51"/>
        <v>1.3203125000000001E-2</v>
      </c>
      <c r="J52" s="95">
        <f t="shared" si="55"/>
        <v>1.7164062500000004E-2</v>
      </c>
      <c r="K52" s="113">
        <f t="shared" si="55"/>
        <v>2.2313281250000008E-2</v>
      </c>
      <c r="L52" s="202">
        <f t="shared" si="52"/>
        <v>3.0122929687500011E-2</v>
      </c>
      <c r="M52" s="107">
        <f t="shared" si="57"/>
        <v>4.2172101562500015E-2</v>
      </c>
      <c r="N52" s="205">
        <f t="shared" si="58"/>
        <v>6.1149547265625021E-2</v>
      </c>
      <c r="O52" s="212">
        <f t="shared" si="53"/>
        <v>0.1330002653027344</v>
      </c>
      <c r="P52" s="123">
        <f t="shared" si="59"/>
        <v>0.20615041121923833</v>
      </c>
      <c r="Q52" s="205">
        <f t="shared" si="54"/>
        <v>8.8666843535156276E-2</v>
      </c>
    </row>
    <row r="53" spans="1:17" s="1" customFormat="1" ht="15" thickBot="1" x14ac:dyDescent="0.35">
      <c r="A53" s="20">
        <v>2</v>
      </c>
      <c r="B53" s="68"/>
      <c r="C53" s="21"/>
      <c r="D53" s="6"/>
      <c r="E53" s="226"/>
      <c r="F53" s="97"/>
      <c r="G53" s="188"/>
      <c r="H53" s="4"/>
      <c r="I53" s="4"/>
      <c r="J53" s="4"/>
      <c r="K53" s="189"/>
      <c r="L53" s="188"/>
      <c r="M53" s="8"/>
      <c r="N53" s="189"/>
      <c r="O53" s="188"/>
      <c r="P53" s="189"/>
      <c r="Q53" s="189"/>
    </row>
    <row r="54" spans="1:17" s="1" customFormat="1" ht="15" thickBot="1" x14ac:dyDescent="0.35">
      <c r="A54" s="325" t="s">
        <v>43</v>
      </c>
      <c r="B54" s="326"/>
      <c r="C54" s="60" t="s">
        <v>35</v>
      </c>
      <c r="D54" s="138" t="s">
        <v>44</v>
      </c>
      <c r="E54" s="139">
        <f t="shared" ref="E54" si="60">F54/1.3</f>
        <v>23.668639053254434</v>
      </c>
      <c r="F54" s="140">
        <f>G54/1.3</f>
        <v>30.769230769230766</v>
      </c>
      <c r="G54" s="114">
        <v>40</v>
      </c>
      <c r="H54" s="115">
        <f>G54*1.3</f>
        <v>52</v>
      </c>
      <c r="I54" s="115">
        <f>H54*1.3</f>
        <v>67.600000000000009</v>
      </c>
      <c r="J54" s="115">
        <f>I54*1.3</f>
        <v>87.88000000000001</v>
      </c>
      <c r="K54" s="116">
        <f>J54*1.3</f>
        <v>114.24400000000001</v>
      </c>
      <c r="L54" s="139">
        <f>K54*1.35</f>
        <v>154.22940000000003</v>
      </c>
      <c r="M54" s="115">
        <f>L54*1.4</f>
        <v>215.92116000000001</v>
      </c>
      <c r="N54" s="116">
        <f>M54*1.45</f>
        <v>313.08568200000002</v>
      </c>
      <c r="O54" s="139">
        <f>Q54*1.5</f>
        <v>680.96135834999995</v>
      </c>
      <c r="P54" s="116">
        <f>O54*1.55</f>
        <v>1055.4901054425</v>
      </c>
      <c r="Q54" s="116">
        <f>N54*1.45</f>
        <v>453.97423889999999</v>
      </c>
    </row>
    <row r="55" spans="1:17" ht="15" thickBot="1" x14ac:dyDescent="0.35">
      <c r="B55" s="20"/>
      <c r="C55" s="141"/>
      <c r="D55" s="141"/>
      <c r="E55" s="178"/>
      <c r="F55" s="141"/>
      <c r="G55" s="250"/>
      <c r="H55" s="141"/>
      <c r="I55" s="141"/>
      <c r="J55" s="141"/>
      <c r="K55" s="179"/>
      <c r="L55" s="178"/>
      <c r="M55" s="141"/>
      <c r="N55" s="179"/>
      <c r="O55" s="178"/>
      <c r="P55" s="179"/>
      <c r="Q55" s="179"/>
    </row>
    <row r="56" spans="1:17" s="1" customFormat="1" ht="15" thickBot="1" x14ac:dyDescent="0.35">
      <c r="A56" s="327" t="s">
        <v>47</v>
      </c>
      <c r="B56" s="328"/>
      <c r="C56" s="36" t="s">
        <v>46</v>
      </c>
      <c r="D56" s="37" t="s">
        <v>44</v>
      </c>
      <c r="E56" s="220">
        <f t="shared" ref="E56:E57" si="61">F56/1.3</f>
        <v>0.73964497041420108</v>
      </c>
      <c r="F56" s="227">
        <f t="shared" ref="F56:F57" si="62">G56/1.3</f>
        <v>0.96153846153846145</v>
      </c>
      <c r="G56" s="237">
        <f>0.1*6.25*2</f>
        <v>1.25</v>
      </c>
      <c r="H56" s="58">
        <f t="shared" ref="H56:H57" si="63">G56*1.3</f>
        <v>1.625</v>
      </c>
      <c r="I56" s="153">
        <f t="shared" ref="I56:K57" si="64">H56*1.3</f>
        <v>2.1125000000000003</v>
      </c>
      <c r="J56" s="153">
        <f>I56*1.3</f>
        <v>2.7462500000000003</v>
      </c>
      <c r="K56" s="154">
        <f>J56*1.3</f>
        <v>3.5701250000000004</v>
      </c>
      <c r="L56" s="206">
        <f>L57*2</f>
        <v>6.4375</v>
      </c>
      <c r="M56" s="153">
        <f t="shared" ref="M56:M57" si="65">L56*1.4</f>
        <v>9.0124999999999993</v>
      </c>
      <c r="N56" s="154">
        <f t="shared" ref="N56:N57" si="66">M56*1.45</f>
        <v>13.068124999999998</v>
      </c>
      <c r="O56" s="206">
        <f>O57*2</f>
        <v>29.349999999999998</v>
      </c>
      <c r="P56" s="154">
        <f t="shared" ref="P56:P57" si="67">O56*1.55</f>
        <v>45.4925</v>
      </c>
      <c r="Q56" s="154">
        <f>N56*1.45</f>
        <v>18.948781249999996</v>
      </c>
    </row>
    <row r="57" spans="1:17" ht="15" thickBot="1" x14ac:dyDescent="0.35">
      <c r="A57" s="143">
        <v>2</v>
      </c>
      <c r="B57" s="151"/>
      <c r="C57" s="89" t="s">
        <v>11</v>
      </c>
      <c r="D57" s="218" t="s">
        <v>44</v>
      </c>
      <c r="E57" s="39">
        <f t="shared" si="61"/>
        <v>0.36982248520710054</v>
      </c>
      <c r="F57" s="229">
        <f t="shared" si="62"/>
        <v>0.48076923076923073</v>
      </c>
      <c r="G57" s="239">
        <f>0.05*6.25*2</f>
        <v>0.625</v>
      </c>
      <c r="H57" s="59">
        <f t="shared" si="63"/>
        <v>0.8125</v>
      </c>
      <c r="I57" s="324">
        <f t="shared" si="64"/>
        <v>1.0562500000000001</v>
      </c>
      <c r="J57" s="324">
        <f t="shared" si="64"/>
        <v>1.3731250000000002</v>
      </c>
      <c r="K57" s="152">
        <f t="shared" si="64"/>
        <v>1.7850625000000002</v>
      </c>
      <c r="L57" s="183">
        <f>0.515*6.25</f>
        <v>3.21875</v>
      </c>
      <c r="M57" s="46">
        <f t="shared" si="65"/>
        <v>4.5062499999999996</v>
      </c>
      <c r="N57" s="47">
        <f t="shared" si="66"/>
        <v>6.5340624999999992</v>
      </c>
      <c r="O57" s="183">
        <f>2.348*6.25</f>
        <v>14.674999999999999</v>
      </c>
      <c r="P57" s="47">
        <f t="shared" si="67"/>
        <v>22.74625</v>
      </c>
      <c r="Q57" s="47">
        <f>N57*1.45</f>
        <v>9.4743906249999981</v>
      </c>
    </row>
    <row r="58" spans="1:17" s="1" customFormat="1" x14ac:dyDescent="0.3">
      <c r="A58" s="20"/>
      <c r="B58" s="68"/>
    </row>
    <row r="59" spans="1:17" s="155" customFormat="1" x14ac:dyDescent="0.3">
      <c r="A59" s="20"/>
      <c r="B59" s="69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</row>
    <row r="60" spans="1:17" s="4" customFormat="1" x14ac:dyDescent="0.3">
      <c r="A60" s="20"/>
      <c r="B60" s="69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</row>
    <row r="61" spans="1:17" s="4" customFormat="1" x14ac:dyDescent="0.3">
      <c r="A61" s="20"/>
      <c r="B61" s="69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</row>
    <row r="62" spans="1:17" s="4" customFormat="1" x14ac:dyDescent="0.3">
      <c r="A62" s="20"/>
      <c r="B62" s="69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</row>
    <row r="63" spans="1:17" s="4" customFormat="1" x14ac:dyDescent="0.3">
      <c r="A63" s="20"/>
      <c r="B63" s="69"/>
    </row>
    <row r="64" spans="1:17" s="142" customFormat="1" x14ac:dyDescent="0.3">
      <c r="A64" s="20"/>
      <c r="B64" s="69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</row>
    <row r="65" spans="1:17" s="142" customFormat="1" x14ac:dyDescent="0.3">
      <c r="A65" s="20"/>
      <c r="B65" s="69"/>
      <c r="C65" s="155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</row>
    <row r="66" spans="1:17" s="141" customFormat="1" x14ac:dyDescent="0.3">
      <c r="A66" s="20"/>
      <c r="B66" s="69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s="141" customFormat="1" x14ac:dyDescent="0.3">
      <c r="A67" s="20"/>
      <c r="B67" s="69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s="141" customFormat="1" x14ac:dyDescent="0.3">
      <c r="A68" s="20"/>
      <c r="B68" s="69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s="141" customFormat="1" x14ac:dyDescent="0.3">
      <c r="A69" s="20"/>
      <c r="B69" s="69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s="142" customFormat="1" x14ac:dyDescent="0.3">
      <c r="A70" s="20"/>
      <c r="B70" s="69"/>
    </row>
    <row r="71" spans="1:17" s="141" customFormat="1" x14ac:dyDescent="0.3">
      <c r="A71" s="20"/>
      <c r="B71" s="69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</row>
    <row r="72" spans="1:17" s="4" customFormat="1" x14ac:dyDescent="0.3">
      <c r="A72" s="20"/>
      <c r="B72" s="69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</row>
    <row r="73" spans="1:17" s="141" customFormat="1" x14ac:dyDescent="0.3">
      <c r="A73" s="20"/>
      <c r="B73" s="69"/>
    </row>
    <row r="74" spans="1:17" s="155" customFormat="1" x14ac:dyDescent="0.3">
      <c r="A74" s="20"/>
      <c r="B74" s="69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</row>
    <row r="75" spans="1:17" s="4" customFormat="1" x14ac:dyDescent="0.3">
      <c r="A75" s="20"/>
      <c r="B75" s="69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</row>
    <row r="76" spans="1:17" s="4" customFormat="1" x14ac:dyDescent="0.3">
      <c r="A76" s="20"/>
      <c r="B76" s="69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</row>
    <row r="77" spans="1:17" s="4" customFormat="1" x14ac:dyDescent="0.3">
      <c r="A77" s="20"/>
      <c r="B77" s="69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</row>
    <row r="78" spans="1:17" s="4" customFormat="1" x14ac:dyDescent="0.3">
      <c r="A78" s="20"/>
      <c r="B78" s="69"/>
    </row>
    <row r="79" spans="1:17" s="142" customFormat="1" x14ac:dyDescent="0.3">
      <c r="A79" s="20"/>
      <c r="B79" s="69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</row>
    <row r="80" spans="1:17" s="142" customFormat="1" x14ac:dyDescent="0.3">
      <c r="A80" s="20"/>
      <c r="B80" s="69"/>
      <c r="C80" s="155"/>
      <c r="D80" s="155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</row>
    <row r="81" spans="1:17" s="141" customFormat="1" x14ac:dyDescent="0.3">
      <c r="A81" s="20"/>
      <c r="B81" s="69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s="141" customFormat="1" x14ac:dyDescent="0.3">
      <c r="A82" s="20"/>
      <c r="B82" s="69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 s="141" customFormat="1" x14ac:dyDescent="0.3">
      <c r="A83" s="20"/>
      <c r="B83" s="69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 s="141" customFormat="1" x14ac:dyDescent="0.3">
      <c r="A84" s="20"/>
      <c r="B84" s="69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 s="142" customFormat="1" x14ac:dyDescent="0.3">
      <c r="A85" s="20"/>
      <c r="B85" s="69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 s="141" customFormat="1" x14ac:dyDescent="0.3">
      <c r="A86" s="20"/>
      <c r="B86" s="69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 s="4" customFormat="1" x14ac:dyDescent="0.3">
      <c r="A87" s="20"/>
      <c r="B87" s="69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</row>
    <row r="88" spans="1:17" s="141" customFormat="1" x14ac:dyDescent="0.3">
      <c r="A88" s="20"/>
      <c r="B88" s="69"/>
    </row>
    <row r="89" spans="1:17" s="155" customFormat="1" x14ac:dyDescent="0.3">
      <c r="A89" s="20"/>
      <c r="B89" s="69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</row>
    <row r="90" spans="1:17" s="4" customFormat="1" x14ac:dyDescent="0.3">
      <c r="A90" s="20"/>
      <c r="B90" s="69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</row>
    <row r="91" spans="1:17" s="4" customFormat="1" x14ac:dyDescent="0.3">
      <c r="A91" s="20"/>
      <c r="B91" s="69"/>
    </row>
    <row r="92" spans="1:17" s="4" customFormat="1" x14ac:dyDescent="0.3">
      <c r="A92" s="20"/>
      <c r="B92" s="69"/>
    </row>
    <row r="93" spans="1:17" s="4" customFormat="1" x14ac:dyDescent="0.3">
      <c r="A93" s="20"/>
      <c r="B93" s="69"/>
    </row>
    <row r="94" spans="1:17" s="4" customFormat="1" x14ac:dyDescent="0.3">
      <c r="A94" s="20"/>
      <c r="B94" s="69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</row>
    <row r="95" spans="1:17" s="4" customFormat="1" x14ac:dyDescent="0.3">
      <c r="A95" s="20"/>
      <c r="B95" s="69"/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</row>
    <row r="96" spans="1:17" s="141" customFormat="1" ht="13.8" customHeight="1" x14ac:dyDescent="0.3">
      <c r="A96" s="20"/>
      <c r="B96" s="69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 s="141" customFormat="1" x14ac:dyDescent="0.3">
      <c r="A97" s="20"/>
      <c r="B97" s="69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s="141" customFormat="1" x14ac:dyDescent="0.3">
      <c r="A98" s="20"/>
      <c r="B98" s="69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 s="141" customFormat="1" x14ac:dyDescent="0.3">
      <c r="A99" s="20"/>
      <c r="B99" s="69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 s="4" customFormat="1" x14ac:dyDescent="0.3">
      <c r="A100" s="20"/>
      <c r="B100" s="69"/>
    </row>
    <row r="101" spans="1:17" s="4" customFormat="1" x14ac:dyDescent="0.3">
      <c r="A101" s="20"/>
      <c r="B101" s="69"/>
    </row>
    <row r="102" spans="1:17" s="4" customFormat="1" x14ac:dyDescent="0.3">
      <c r="A102" s="20"/>
      <c r="B102" s="69"/>
      <c r="C102" s="141"/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</row>
    <row r="103" spans="1:17" s="141" customFormat="1" x14ac:dyDescent="0.3">
      <c r="A103" s="20"/>
      <c r="B103" s="69"/>
    </row>
    <row r="104" spans="1:17" s="155" customFormat="1" x14ac:dyDescent="0.3">
      <c r="A104" s="20"/>
      <c r="B104" s="69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</row>
    <row r="105" spans="1:17" s="4" customFormat="1" x14ac:dyDescent="0.3">
      <c r="A105" s="20"/>
      <c r="B105" s="69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</row>
    <row r="106" spans="1:17" s="4" customFormat="1" x14ac:dyDescent="0.3">
      <c r="A106" s="20"/>
      <c r="B106" s="69"/>
    </row>
    <row r="107" spans="1:17" s="4" customFormat="1" x14ac:dyDescent="0.3">
      <c r="A107" s="20"/>
      <c r="B107" s="69"/>
    </row>
    <row r="108" spans="1:17" s="4" customFormat="1" x14ac:dyDescent="0.3">
      <c r="A108" s="20"/>
      <c r="B108" s="69"/>
    </row>
    <row r="109" spans="1:17" s="4" customFormat="1" x14ac:dyDescent="0.3">
      <c r="A109" s="20"/>
      <c r="B109" s="69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</row>
    <row r="110" spans="1:17" s="4" customFormat="1" x14ac:dyDescent="0.3">
      <c r="A110" s="20"/>
      <c r="B110" s="69"/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55"/>
    </row>
    <row r="111" spans="1:17" s="141" customFormat="1" x14ac:dyDescent="0.3">
      <c r="A111" s="20"/>
      <c r="B111" s="69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 s="141" customFormat="1" x14ac:dyDescent="0.3">
      <c r="A112" s="20"/>
      <c r="B112" s="69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 s="141" customFormat="1" x14ac:dyDescent="0.3">
      <c r="A113" s="20"/>
      <c r="B113" s="69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 s="141" customFormat="1" x14ac:dyDescent="0.3">
      <c r="A114" s="20"/>
      <c r="B114" s="69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 s="4" customFormat="1" x14ac:dyDescent="0.3">
      <c r="A115" s="20"/>
      <c r="B115" s="69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</row>
    <row r="116" spans="1:17" s="4" customFormat="1" x14ac:dyDescent="0.3">
      <c r="A116" s="20"/>
      <c r="B116" s="69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</row>
    <row r="117" spans="1:17" s="4" customFormat="1" x14ac:dyDescent="0.3">
      <c r="A117" s="20"/>
      <c r="B117" s="69"/>
      <c r="C117" s="141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</row>
    <row r="118" spans="1:17" s="141" customFormat="1" x14ac:dyDescent="0.3">
      <c r="A118" s="20"/>
      <c r="B118" s="69"/>
    </row>
    <row r="119" spans="1:17" s="155" customFormat="1" x14ac:dyDescent="0.3">
      <c r="A119" s="20"/>
      <c r="B119" s="69"/>
      <c r="C119" s="141"/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</row>
    <row r="120" spans="1:17" s="4" customFormat="1" x14ac:dyDescent="0.3">
      <c r="A120" s="20"/>
      <c r="B120" s="69"/>
      <c r="C120" s="141"/>
      <c r="D120" s="141"/>
      <c r="E120" s="141"/>
      <c r="F120" s="141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</row>
    <row r="121" spans="1:17" s="4" customFormat="1" x14ac:dyDescent="0.3">
      <c r="A121" s="20"/>
      <c r="B121" s="69"/>
    </row>
    <row r="122" spans="1:17" s="4" customFormat="1" x14ac:dyDescent="0.3">
      <c r="A122" s="20"/>
      <c r="B122" s="69"/>
    </row>
    <row r="123" spans="1:17" s="4" customFormat="1" x14ac:dyDescent="0.3">
      <c r="A123" s="20"/>
      <c r="B123" s="69"/>
    </row>
    <row r="124" spans="1:17" s="142" customFormat="1" x14ac:dyDescent="0.3">
      <c r="A124" s="20"/>
      <c r="B124" s="69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</row>
    <row r="125" spans="1:17" s="142" customFormat="1" x14ac:dyDescent="0.3">
      <c r="A125" s="20"/>
      <c r="B125" s="69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</row>
    <row r="126" spans="1:17" s="141" customFormat="1" x14ac:dyDescent="0.3">
      <c r="A126" s="20"/>
      <c r="B126" s="69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 s="141" customFormat="1" x14ac:dyDescent="0.3">
      <c r="A127" s="20"/>
      <c r="B127" s="69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s="141" customFormat="1" x14ac:dyDescent="0.3">
      <c r="A128" s="20"/>
      <c r="B128" s="69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 s="141" customFormat="1" x14ac:dyDescent="0.3">
      <c r="A129" s="20"/>
      <c r="B129" s="69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 s="4" customFormat="1" x14ac:dyDescent="0.3">
      <c r="A130" s="20"/>
      <c r="B130" s="69"/>
    </row>
    <row r="131" spans="1:17" s="4" customFormat="1" x14ac:dyDescent="0.3">
      <c r="A131" s="20"/>
      <c r="B131" s="69"/>
    </row>
    <row r="132" spans="1:17" s="4" customFormat="1" x14ac:dyDescent="0.3">
      <c r="A132" s="20"/>
      <c r="B132" s="69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</row>
    <row r="133" spans="1:17" s="141" customFormat="1" x14ac:dyDescent="0.3">
      <c r="A133" s="20"/>
      <c r="B133" s="69"/>
    </row>
    <row r="134" spans="1:17" s="155" customFormat="1" x14ac:dyDescent="0.3">
      <c r="A134" s="20"/>
      <c r="B134" s="69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</row>
    <row r="135" spans="1:17" s="4" customFormat="1" x14ac:dyDescent="0.3">
      <c r="A135" s="20"/>
      <c r="B135" s="69"/>
      <c r="C135" s="141"/>
      <c r="D135" s="141"/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</row>
    <row r="136" spans="1:17" s="4" customFormat="1" x14ac:dyDescent="0.3">
      <c r="A136" s="20"/>
      <c r="B136" s="69"/>
    </row>
    <row r="137" spans="1:17" s="4" customFormat="1" x14ac:dyDescent="0.3">
      <c r="A137" s="20"/>
      <c r="B137" s="69"/>
    </row>
    <row r="138" spans="1:17" s="4" customFormat="1" x14ac:dyDescent="0.3">
      <c r="A138" s="20"/>
      <c r="B138" s="69"/>
    </row>
    <row r="139" spans="1:17" s="4" customFormat="1" x14ac:dyDescent="0.3">
      <c r="A139" s="20"/>
      <c r="B139" s="69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</row>
    <row r="140" spans="1:17" s="4" customFormat="1" x14ac:dyDescent="0.3">
      <c r="A140" s="20"/>
      <c r="B140" s="69"/>
      <c r="C140" s="155"/>
      <c r="D140" s="155"/>
      <c r="E140" s="155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</row>
    <row r="141" spans="1:17" s="141" customFormat="1" x14ac:dyDescent="0.3">
      <c r="A141" s="20"/>
      <c r="B141" s="69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 s="141" customFormat="1" x14ac:dyDescent="0.3">
      <c r="A142" s="20"/>
      <c r="B142" s="69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1:17" s="141" customFormat="1" x14ac:dyDescent="0.3">
      <c r="A143" s="20"/>
      <c r="B143" s="69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 s="141" customFormat="1" x14ac:dyDescent="0.3">
      <c r="A144" s="20"/>
      <c r="B144" s="69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1:17" s="4" customFormat="1" x14ac:dyDescent="0.3">
      <c r="A145" s="20"/>
      <c r="B145" s="69"/>
    </row>
    <row r="146" spans="1:17" s="4" customFormat="1" x14ac:dyDescent="0.3">
      <c r="A146" s="20"/>
      <c r="B146" s="69"/>
    </row>
    <row r="147" spans="1:17" s="4" customFormat="1" x14ac:dyDescent="0.3">
      <c r="A147" s="20"/>
      <c r="B147" s="69"/>
      <c r="C147" s="141"/>
      <c r="D147" s="141"/>
      <c r="E147" s="141"/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</row>
    <row r="148" spans="1:17" s="141" customFormat="1" x14ac:dyDescent="0.3">
      <c r="A148" s="20"/>
      <c r="B148" s="69"/>
    </row>
    <row r="149" spans="1:17" s="155" customFormat="1" x14ac:dyDescent="0.3">
      <c r="A149" s="20"/>
      <c r="B149" s="69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</row>
    <row r="150" spans="1:17" s="4" customFormat="1" x14ac:dyDescent="0.3">
      <c r="A150" s="20"/>
      <c r="B150" s="69"/>
      <c r="C150" s="141"/>
      <c r="D150" s="141"/>
      <c r="E150" s="141"/>
      <c r="F150" s="141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</row>
    <row r="151" spans="1:17" s="4" customFormat="1" x14ac:dyDescent="0.3">
      <c r="A151" s="20"/>
      <c r="B151" s="69"/>
    </row>
    <row r="152" spans="1:17" s="4" customFormat="1" x14ac:dyDescent="0.3">
      <c r="A152" s="20"/>
      <c r="B152" s="69"/>
      <c r="C152" s="141"/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</row>
    <row r="153" spans="1:17" s="4" customFormat="1" x14ac:dyDescent="0.3">
      <c r="A153" s="20"/>
      <c r="B153" s="69"/>
    </row>
    <row r="154" spans="1:17" s="4" customFormat="1" x14ac:dyDescent="0.3">
      <c r="A154" s="20"/>
      <c r="B154" s="69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</row>
    <row r="155" spans="1:17" s="4" customFormat="1" x14ac:dyDescent="0.3">
      <c r="A155" s="20"/>
      <c r="B155" s="69"/>
      <c r="C155" s="155"/>
      <c r="D155" s="155"/>
      <c r="E155" s="155"/>
      <c r="F155" s="155"/>
      <c r="G155" s="155"/>
      <c r="H155" s="155"/>
      <c r="I155" s="155"/>
      <c r="J155" s="155"/>
      <c r="K155" s="155"/>
      <c r="L155" s="155"/>
      <c r="M155" s="155"/>
      <c r="N155" s="155"/>
      <c r="O155" s="155"/>
      <c r="P155" s="155"/>
      <c r="Q155" s="155"/>
    </row>
    <row r="156" spans="1:17" s="141" customFormat="1" x14ac:dyDescent="0.3">
      <c r="A156" s="20"/>
      <c r="B156" s="69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 s="141" customFormat="1" x14ac:dyDescent="0.3">
      <c r="A157" s="20"/>
      <c r="B157" s="69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 s="141" customFormat="1" x14ac:dyDescent="0.3">
      <c r="A158" s="20"/>
      <c r="B158" s="69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 s="141" customFormat="1" x14ac:dyDescent="0.3">
      <c r="A159" s="20"/>
      <c r="B159" s="69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 s="4" customFormat="1" x14ac:dyDescent="0.3">
      <c r="A160" s="20"/>
      <c r="B160" s="69"/>
    </row>
    <row r="161" spans="1:17" s="141" customFormat="1" x14ac:dyDescent="0.3">
      <c r="A161" s="20"/>
      <c r="B161" s="69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 s="4" customFormat="1" x14ac:dyDescent="0.3">
      <c r="A162" s="20"/>
      <c r="B162" s="69"/>
      <c r="C162" s="141"/>
      <c r="D162" s="141"/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</row>
    <row r="163" spans="1:17" s="141" customFormat="1" x14ac:dyDescent="0.3">
      <c r="A163" s="20"/>
      <c r="B163" s="69"/>
    </row>
    <row r="164" spans="1:17" s="155" customFormat="1" x14ac:dyDescent="0.3">
      <c r="A164" s="20"/>
      <c r="B164" s="69"/>
      <c r="C164" s="141"/>
      <c r="D164" s="141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</row>
    <row r="165" spans="1:17" s="4" customFormat="1" x14ac:dyDescent="0.3">
      <c r="A165" s="20"/>
      <c r="B165" s="69"/>
      <c r="C165" s="141"/>
      <c r="D165" s="141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</row>
    <row r="166" spans="1:17" s="4" customFormat="1" x14ac:dyDescent="0.3">
      <c r="A166" s="20"/>
      <c r="B166" s="69"/>
    </row>
    <row r="167" spans="1:17" s="4" customFormat="1" x14ac:dyDescent="0.3">
      <c r="A167" s="20"/>
      <c r="B167" s="69"/>
      <c r="C167" s="141"/>
      <c r="D167" s="141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</row>
    <row r="168" spans="1:17" s="4" customFormat="1" x14ac:dyDescent="0.3">
      <c r="A168" s="20"/>
      <c r="B168" s="69"/>
    </row>
    <row r="169" spans="1:17" s="4" customFormat="1" x14ac:dyDescent="0.3">
      <c r="A169" s="20"/>
      <c r="B169" s="69"/>
      <c r="C169" s="141"/>
      <c r="D169" s="141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</row>
    <row r="170" spans="1:17" s="4" customFormat="1" x14ac:dyDescent="0.3">
      <c r="A170" s="20"/>
      <c r="B170" s="69"/>
      <c r="C170" s="155"/>
      <c r="D170" s="155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</row>
    <row r="171" spans="1:17" s="141" customFormat="1" x14ac:dyDescent="0.3">
      <c r="A171" s="20"/>
      <c r="B171" s="69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 s="141" customFormat="1" x14ac:dyDescent="0.3">
      <c r="A172" s="20"/>
      <c r="B172" s="69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 s="141" customFormat="1" x14ac:dyDescent="0.3">
      <c r="A173" s="20"/>
      <c r="B173" s="69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 s="141" customFormat="1" x14ac:dyDescent="0.3">
      <c r="A174" s="20"/>
      <c r="B174" s="69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 s="4" customFormat="1" x14ac:dyDescent="0.3">
      <c r="A175" s="20"/>
      <c r="B175" s="69"/>
    </row>
    <row r="176" spans="1:17" s="141" customFormat="1" x14ac:dyDescent="0.3">
      <c r="A176" s="20"/>
      <c r="B176" s="69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1:17" s="4" customFormat="1" x14ac:dyDescent="0.3">
      <c r="A177" s="20"/>
      <c r="B177" s="69"/>
      <c r="C177" s="141"/>
      <c r="D177" s="141"/>
      <c r="E177" s="141"/>
      <c r="F177" s="141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</row>
    <row r="178" spans="1:17" s="141" customFormat="1" x14ac:dyDescent="0.3">
      <c r="A178" s="20"/>
      <c r="B178" s="69"/>
    </row>
    <row r="179" spans="1:17" s="155" customFormat="1" x14ac:dyDescent="0.3">
      <c r="A179" s="20"/>
      <c r="B179" s="69"/>
      <c r="C179" s="141"/>
      <c r="D179" s="141"/>
      <c r="E179" s="141"/>
      <c r="F179" s="141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</row>
    <row r="180" spans="1:17" s="4" customFormat="1" x14ac:dyDescent="0.3">
      <c r="A180" s="20"/>
      <c r="B180" s="69"/>
      <c r="C180" s="141"/>
      <c r="D180" s="141"/>
      <c r="E180" s="141"/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</row>
    <row r="181" spans="1:17" s="4" customFormat="1" x14ac:dyDescent="0.3">
      <c r="A181" s="20"/>
      <c r="B181" s="69"/>
    </row>
    <row r="182" spans="1:17" s="4" customFormat="1" x14ac:dyDescent="0.3">
      <c r="A182" s="20"/>
      <c r="B182" s="69"/>
    </row>
    <row r="183" spans="1:17" s="4" customFormat="1" x14ac:dyDescent="0.3">
      <c r="A183" s="20"/>
      <c r="B183" s="69"/>
    </row>
    <row r="184" spans="1:17" s="4" customFormat="1" x14ac:dyDescent="0.3">
      <c r="A184" s="20"/>
      <c r="B184" s="69"/>
      <c r="C184" s="141"/>
      <c r="D184" s="141"/>
      <c r="E184" s="141"/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</row>
    <row r="185" spans="1:17" s="4" customFormat="1" x14ac:dyDescent="0.3">
      <c r="A185" s="20"/>
      <c r="B185" s="69"/>
      <c r="C185" s="155"/>
      <c r="D185" s="155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</row>
    <row r="186" spans="1:17" s="141" customFormat="1" x14ac:dyDescent="0.3">
      <c r="A186" s="20"/>
      <c r="B186" s="69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pans="1:17" s="141" customFormat="1" x14ac:dyDescent="0.3">
      <c r="A187" s="20"/>
      <c r="B187" s="69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 s="141" customFormat="1" x14ac:dyDescent="0.3">
      <c r="A188" s="20"/>
      <c r="B188" s="69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1:17" s="141" customFormat="1" x14ac:dyDescent="0.3">
      <c r="A189" s="20"/>
      <c r="B189" s="69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 s="4" customFormat="1" x14ac:dyDescent="0.3">
      <c r="A190" s="20"/>
      <c r="B190" s="69"/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</row>
    <row r="191" spans="1:17" s="4" customFormat="1" x14ac:dyDescent="0.3">
      <c r="A191" s="20"/>
      <c r="B191" s="69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</row>
    <row r="192" spans="1:17" s="4" customFormat="1" x14ac:dyDescent="0.3">
      <c r="A192" s="20"/>
      <c r="B192" s="69"/>
      <c r="C192" s="141"/>
      <c r="D192" s="141"/>
      <c r="E192" s="141"/>
      <c r="F192" s="141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</row>
    <row r="193" spans="1:17" s="141" customFormat="1" x14ac:dyDescent="0.3">
      <c r="A193" s="20"/>
      <c r="B193" s="69"/>
    </row>
    <row r="194" spans="1:17" s="155" customFormat="1" x14ac:dyDescent="0.3">
      <c r="A194" s="20"/>
      <c r="B194" s="69"/>
      <c r="C194" s="141"/>
      <c r="D194" s="141"/>
      <c r="E194" s="141"/>
      <c r="F194" s="141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</row>
    <row r="195" spans="1:17" s="4" customFormat="1" x14ac:dyDescent="0.3">
      <c r="A195" s="20"/>
      <c r="B195" s="69"/>
      <c r="C195" s="141"/>
      <c r="D195" s="141"/>
      <c r="E195" s="141"/>
      <c r="F195" s="141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41"/>
    </row>
    <row r="196" spans="1:17" s="4" customFormat="1" x14ac:dyDescent="0.3">
      <c r="A196" s="20"/>
      <c r="B196" s="69"/>
    </row>
    <row r="197" spans="1:17" s="4" customFormat="1" x14ac:dyDescent="0.3">
      <c r="A197" s="20"/>
      <c r="B197" s="69"/>
    </row>
    <row r="198" spans="1:17" s="4" customFormat="1" x14ac:dyDescent="0.3">
      <c r="A198" s="20"/>
      <c r="B198" s="69"/>
    </row>
    <row r="199" spans="1:17" s="142" customFormat="1" x14ac:dyDescent="0.3">
      <c r="A199" s="20"/>
      <c r="B199" s="69"/>
      <c r="C199" s="141"/>
      <c r="D199" s="141"/>
      <c r="E199" s="141"/>
      <c r="F199" s="141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</row>
    <row r="200" spans="1:17" s="142" customFormat="1" x14ac:dyDescent="0.3">
      <c r="A200" s="20"/>
      <c r="B200" s="69"/>
      <c r="C200" s="155"/>
      <c r="D200" s="155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</row>
    <row r="201" spans="1:17" s="141" customFormat="1" x14ac:dyDescent="0.3">
      <c r="A201" s="20"/>
      <c r="B201" s="69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spans="1:17" s="141" customFormat="1" x14ac:dyDescent="0.3">
      <c r="A202" s="20"/>
      <c r="B202" s="69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spans="1:17" s="141" customFormat="1" x14ac:dyDescent="0.3">
      <c r="A203" s="20"/>
      <c r="B203" s="69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pans="1:17" s="141" customFormat="1" x14ac:dyDescent="0.3">
      <c r="A204" s="20"/>
      <c r="B204" s="69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spans="1:17" s="4" customFormat="1" x14ac:dyDescent="0.3">
      <c r="A205" s="20"/>
      <c r="B205" s="69"/>
    </row>
    <row r="206" spans="1:17" s="4" customFormat="1" x14ac:dyDescent="0.3">
      <c r="A206" s="20"/>
      <c r="B206" s="69"/>
    </row>
    <row r="207" spans="1:17" s="4" customFormat="1" x14ac:dyDescent="0.3">
      <c r="A207" s="20"/>
      <c r="B207" s="69"/>
      <c r="C207" s="141"/>
      <c r="D207" s="141"/>
      <c r="E207" s="141"/>
      <c r="F207" s="141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41"/>
    </row>
    <row r="208" spans="1:17" s="141" customFormat="1" x14ac:dyDescent="0.3">
      <c r="A208" s="20"/>
      <c r="B208" s="69"/>
    </row>
    <row r="209" spans="1:17" s="155" customFormat="1" x14ac:dyDescent="0.3">
      <c r="A209" s="20"/>
      <c r="B209" s="69"/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41"/>
    </row>
    <row r="210" spans="1:17" s="4" customFormat="1" x14ac:dyDescent="0.3">
      <c r="A210" s="20"/>
      <c r="B210" s="69"/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</row>
    <row r="211" spans="1:17" s="4" customFormat="1" x14ac:dyDescent="0.3">
      <c r="A211" s="20"/>
      <c r="B211" s="69"/>
    </row>
    <row r="212" spans="1:17" s="4" customFormat="1" x14ac:dyDescent="0.3">
      <c r="A212" s="20"/>
      <c r="B212" s="69"/>
    </row>
    <row r="213" spans="1:17" s="4" customFormat="1" x14ac:dyDescent="0.3">
      <c r="A213" s="20"/>
      <c r="B213" s="69"/>
    </row>
    <row r="214" spans="1:17" s="4" customFormat="1" x14ac:dyDescent="0.3">
      <c r="A214" s="20"/>
      <c r="B214" s="69"/>
      <c r="C214" s="141"/>
      <c r="D214" s="141"/>
      <c r="E214" s="141"/>
      <c r="F214" s="141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</row>
    <row r="215" spans="1:17" s="4" customFormat="1" x14ac:dyDescent="0.3">
      <c r="A215" s="20"/>
      <c r="B215" s="69"/>
      <c r="C215" s="155"/>
      <c r="D215" s="155"/>
      <c r="E215" s="155"/>
      <c r="F215" s="155"/>
      <c r="G215" s="155"/>
      <c r="H215" s="155"/>
      <c r="I215" s="155"/>
      <c r="J215" s="155"/>
      <c r="K215" s="155"/>
      <c r="L215" s="155"/>
      <c r="M215" s="155"/>
      <c r="N215" s="155"/>
      <c r="O215" s="155"/>
      <c r="P215" s="155"/>
      <c r="Q215" s="155"/>
    </row>
    <row r="216" spans="1:17" s="141" customFormat="1" x14ac:dyDescent="0.3">
      <c r="A216" s="20"/>
      <c r="B216" s="69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spans="1:17" s="141" customFormat="1" x14ac:dyDescent="0.3">
      <c r="A217" s="20"/>
      <c r="B217" s="69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spans="1:17" s="141" customFormat="1" x14ac:dyDescent="0.3">
      <c r="A218" s="20"/>
      <c r="B218" s="69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spans="1:17" s="141" customFormat="1" x14ac:dyDescent="0.3">
      <c r="A219" s="20"/>
      <c r="B219" s="69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spans="1:17" s="4" customFormat="1" x14ac:dyDescent="0.3">
      <c r="A220" s="20"/>
      <c r="B220" s="69"/>
    </row>
    <row r="221" spans="1:17" s="4" customFormat="1" x14ac:dyDescent="0.3">
      <c r="A221" s="20"/>
      <c r="B221" s="69"/>
    </row>
    <row r="222" spans="1:17" s="4" customFormat="1" x14ac:dyDescent="0.3">
      <c r="A222" s="20"/>
      <c r="B222" s="69"/>
    </row>
    <row r="223" spans="1:17" s="141" customFormat="1" x14ac:dyDescent="0.3">
      <c r="A223" s="20"/>
      <c r="B223" s="69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spans="1:17" s="155" customFormat="1" x14ac:dyDescent="0.3">
      <c r="A224" s="20"/>
      <c r="B224" s="69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spans="1:2" s="4" customFormat="1" x14ac:dyDescent="0.3">
      <c r="A225" s="20"/>
      <c r="B225" s="69"/>
    </row>
    <row r="226" spans="1:2" s="4" customFormat="1" x14ac:dyDescent="0.3">
      <c r="A226" s="20"/>
      <c r="B226" s="69"/>
    </row>
    <row r="227" spans="1:2" s="4" customFormat="1" x14ac:dyDescent="0.3">
      <c r="A227" s="20"/>
      <c r="B227" s="69"/>
    </row>
    <row r="228" spans="1:2" s="4" customFormat="1" x14ac:dyDescent="0.3">
      <c r="A228" s="20"/>
      <c r="B228" s="69"/>
    </row>
    <row r="229" spans="1:2" s="4" customFormat="1" x14ac:dyDescent="0.3">
      <c r="A229" s="20"/>
      <c r="B229" s="69"/>
    </row>
    <row r="230" spans="1:2" s="4" customFormat="1" x14ac:dyDescent="0.3">
      <c r="A230" s="20"/>
      <c r="B230" s="69"/>
    </row>
    <row r="231" spans="1:2" s="4" customFormat="1" x14ac:dyDescent="0.3">
      <c r="A231" s="20"/>
      <c r="B231" s="69"/>
    </row>
    <row r="232" spans="1:2" s="4" customFormat="1" x14ac:dyDescent="0.3">
      <c r="A232" s="20"/>
      <c r="B232" s="69"/>
    </row>
    <row r="233" spans="1:2" s="4" customFormat="1" x14ac:dyDescent="0.3">
      <c r="A233" s="20"/>
      <c r="B233" s="69"/>
    </row>
    <row r="234" spans="1:2" s="4" customFormat="1" x14ac:dyDescent="0.3">
      <c r="A234" s="20"/>
      <c r="B234" s="69"/>
    </row>
    <row r="235" spans="1:2" s="4" customFormat="1" x14ac:dyDescent="0.3">
      <c r="A235" s="20"/>
      <c r="B235" s="69"/>
    </row>
    <row r="236" spans="1:2" s="4" customFormat="1" x14ac:dyDescent="0.3">
      <c r="A236" s="20"/>
      <c r="B236" s="69"/>
    </row>
    <row r="237" spans="1:2" s="4" customFormat="1" x14ac:dyDescent="0.3">
      <c r="A237" s="20"/>
      <c r="B237" s="69"/>
    </row>
    <row r="238" spans="1:2" s="4" customFormat="1" x14ac:dyDescent="0.3">
      <c r="A238" s="20"/>
      <c r="B238" s="69"/>
    </row>
    <row r="239" spans="1:2" s="4" customFormat="1" x14ac:dyDescent="0.3">
      <c r="A239" s="20"/>
      <c r="B239" s="69"/>
    </row>
    <row r="240" spans="1:2" s="4" customFormat="1" x14ac:dyDescent="0.3">
      <c r="A240" s="20"/>
      <c r="B240" s="69"/>
    </row>
    <row r="241" spans="1:2" s="4" customFormat="1" x14ac:dyDescent="0.3">
      <c r="A241" s="20"/>
      <c r="B241" s="69"/>
    </row>
    <row r="242" spans="1:2" s="4" customFormat="1" x14ac:dyDescent="0.3">
      <c r="A242" s="20"/>
      <c r="B242" s="69"/>
    </row>
    <row r="243" spans="1:2" s="4" customFormat="1" x14ac:dyDescent="0.3">
      <c r="A243" s="20"/>
      <c r="B243" s="69"/>
    </row>
    <row r="244" spans="1:2" s="4" customFormat="1" x14ac:dyDescent="0.3">
      <c r="A244" s="20"/>
      <c r="B244" s="69"/>
    </row>
    <row r="245" spans="1:2" s="4" customFormat="1" x14ac:dyDescent="0.3">
      <c r="A245" s="20"/>
      <c r="B245" s="69"/>
    </row>
    <row r="246" spans="1:2" s="4" customFormat="1" x14ac:dyDescent="0.3">
      <c r="A246" s="20"/>
      <c r="B246" s="69"/>
    </row>
    <row r="247" spans="1:2" s="4" customFormat="1" x14ac:dyDescent="0.3">
      <c r="A247" s="20"/>
      <c r="B247" s="69"/>
    </row>
    <row r="248" spans="1:2" s="4" customFormat="1" x14ac:dyDescent="0.3">
      <c r="A248" s="20"/>
      <c r="B248" s="69"/>
    </row>
    <row r="249" spans="1:2" s="4" customFormat="1" x14ac:dyDescent="0.3">
      <c r="A249" s="20"/>
      <c r="B249" s="69"/>
    </row>
    <row r="250" spans="1:2" s="4" customFormat="1" x14ac:dyDescent="0.3">
      <c r="A250" s="20"/>
      <c r="B250" s="69"/>
    </row>
    <row r="251" spans="1:2" s="4" customFormat="1" x14ac:dyDescent="0.3">
      <c r="A251" s="20"/>
      <c r="B251" s="69"/>
    </row>
    <row r="252" spans="1:2" s="4" customFormat="1" x14ac:dyDescent="0.3">
      <c r="A252" s="20"/>
      <c r="B252" s="69"/>
    </row>
    <row r="253" spans="1:2" s="4" customFormat="1" x14ac:dyDescent="0.3">
      <c r="A253" s="20"/>
      <c r="B253" s="69"/>
    </row>
    <row r="254" spans="1:2" s="4" customFormat="1" x14ac:dyDescent="0.3">
      <c r="A254" s="20"/>
      <c r="B254" s="69"/>
    </row>
    <row r="255" spans="1:2" s="4" customFormat="1" x14ac:dyDescent="0.3">
      <c r="A255" s="20"/>
      <c r="B255" s="69"/>
    </row>
    <row r="256" spans="1:2" s="4" customFormat="1" x14ac:dyDescent="0.3">
      <c r="A256" s="20"/>
      <c r="B256" s="69"/>
    </row>
    <row r="257" spans="1:2" s="4" customFormat="1" x14ac:dyDescent="0.3">
      <c r="A257" s="20"/>
      <c r="B257" s="69"/>
    </row>
    <row r="258" spans="1:2" s="4" customFormat="1" x14ac:dyDescent="0.3">
      <c r="A258" s="20"/>
      <c r="B258" s="69"/>
    </row>
    <row r="259" spans="1:2" s="4" customFormat="1" x14ac:dyDescent="0.3">
      <c r="A259" s="20"/>
      <c r="B259" s="69"/>
    </row>
    <row r="260" spans="1:2" s="4" customFormat="1" x14ac:dyDescent="0.3">
      <c r="A260" s="20"/>
      <c r="B260" s="69"/>
    </row>
    <row r="261" spans="1:2" s="4" customFormat="1" x14ac:dyDescent="0.3">
      <c r="A261" s="20"/>
      <c r="B261" s="69"/>
    </row>
    <row r="262" spans="1:2" s="4" customFormat="1" x14ac:dyDescent="0.3">
      <c r="A262" s="20"/>
      <c r="B262" s="69"/>
    </row>
    <row r="263" spans="1:2" s="4" customFormat="1" x14ac:dyDescent="0.3">
      <c r="A263" s="20"/>
      <c r="B263" s="69"/>
    </row>
    <row r="264" spans="1:2" s="4" customFormat="1" x14ac:dyDescent="0.3">
      <c r="A264" s="20"/>
      <c r="B264" s="69"/>
    </row>
    <row r="265" spans="1:2" s="4" customFormat="1" x14ac:dyDescent="0.3">
      <c r="A265" s="20"/>
      <c r="B265" s="69"/>
    </row>
    <row r="266" spans="1:2" s="4" customFormat="1" x14ac:dyDescent="0.3">
      <c r="A266" s="20"/>
      <c r="B266" s="69"/>
    </row>
    <row r="267" spans="1:2" s="4" customFormat="1" x14ac:dyDescent="0.3">
      <c r="A267" s="20"/>
      <c r="B267" s="69"/>
    </row>
    <row r="268" spans="1:2" s="4" customFormat="1" x14ac:dyDescent="0.3">
      <c r="A268" s="20"/>
      <c r="B268" s="69"/>
    </row>
    <row r="269" spans="1:2" s="4" customFormat="1" x14ac:dyDescent="0.3">
      <c r="A269" s="20"/>
      <c r="B269" s="69"/>
    </row>
    <row r="270" spans="1:2" s="4" customFormat="1" x14ac:dyDescent="0.3">
      <c r="A270" s="20"/>
      <c r="B270" s="69"/>
    </row>
    <row r="271" spans="1:2" s="4" customFormat="1" x14ac:dyDescent="0.3">
      <c r="A271" s="20"/>
      <c r="B271" s="69"/>
    </row>
    <row r="272" spans="1:2" s="4" customFormat="1" x14ac:dyDescent="0.3">
      <c r="A272" s="20"/>
      <c r="B272" s="69"/>
    </row>
    <row r="273" spans="1:2" s="4" customFormat="1" x14ac:dyDescent="0.3">
      <c r="A273" s="20"/>
      <c r="B273" s="69"/>
    </row>
    <row r="274" spans="1:2" s="4" customFormat="1" x14ac:dyDescent="0.3">
      <c r="A274" s="20"/>
      <c r="B274" s="69"/>
    </row>
    <row r="275" spans="1:2" s="4" customFormat="1" x14ac:dyDescent="0.3">
      <c r="A275" s="20"/>
      <c r="B275" s="69"/>
    </row>
    <row r="276" spans="1:2" s="4" customFormat="1" x14ac:dyDescent="0.3">
      <c r="A276" s="20"/>
      <c r="B276" s="69"/>
    </row>
    <row r="277" spans="1:2" s="4" customFormat="1" x14ac:dyDescent="0.3">
      <c r="A277" s="20"/>
      <c r="B277" s="69"/>
    </row>
    <row r="278" spans="1:2" s="4" customFormat="1" x14ac:dyDescent="0.3">
      <c r="A278" s="20"/>
      <c r="B278" s="69"/>
    </row>
    <row r="279" spans="1:2" s="4" customFormat="1" x14ac:dyDescent="0.3">
      <c r="A279" s="20"/>
      <c r="B279" s="69"/>
    </row>
    <row r="280" spans="1:2" s="4" customFormat="1" x14ac:dyDescent="0.3">
      <c r="A280" s="20"/>
      <c r="B280" s="69"/>
    </row>
    <row r="281" spans="1:2" s="4" customFormat="1" x14ac:dyDescent="0.3">
      <c r="A281" s="20"/>
      <c r="B281" s="69"/>
    </row>
    <row r="282" spans="1:2" s="4" customFormat="1" x14ac:dyDescent="0.3">
      <c r="A282" s="20"/>
      <c r="B282" s="69"/>
    </row>
    <row r="283" spans="1:2" s="4" customFormat="1" x14ac:dyDescent="0.3">
      <c r="A283" s="20"/>
      <c r="B283" s="69"/>
    </row>
    <row r="284" spans="1:2" s="4" customFormat="1" x14ac:dyDescent="0.3">
      <c r="A284" s="20"/>
      <c r="B284" s="69"/>
    </row>
    <row r="285" spans="1:2" s="4" customFormat="1" x14ac:dyDescent="0.3">
      <c r="A285" s="20"/>
      <c r="B285" s="69"/>
    </row>
    <row r="286" spans="1:2" s="4" customFormat="1" x14ac:dyDescent="0.3">
      <c r="A286" s="20"/>
      <c r="B286" s="69"/>
    </row>
    <row r="287" spans="1:2" s="4" customFormat="1" x14ac:dyDescent="0.3">
      <c r="A287" s="20"/>
      <c r="B287" s="69"/>
    </row>
    <row r="288" spans="1:2" s="4" customFormat="1" x14ac:dyDescent="0.3">
      <c r="A288" s="20"/>
      <c r="B288" s="69"/>
    </row>
    <row r="289" spans="1:2" s="4" customFormat="1" x14ac:dyDescent="0.3">
      <c r="A289" s="20"/>
      <c r="B289" s="69"/>
    </row>
    <row r="290" spans="1:2" s="4" customFormat="1" x14ac:dyDescent="0.3">
      <c r="A290" s="20"/>
      <c r="B290" s="69"/>
    </row>
    <row r="291" spans="1:2" s="4" customFormat="1" x14ac:dyDescent="0.3">
      <c r="A291" s="20"/>
      <c r="B291" s="69"/>
    </row>
    <row r="292" spans="1:2" s="4" customFormat="1" x14ac:dyDescent="0.3">
      <c r="A292" s="20"/>
      <c r="B292" s="69"/>
    </row>
    <row r="293" spans="1:2" s="4" customFormat="1" x14ac:dyDescent="0.3">
      <c r="A293" s="20"/>
      <c r="B293" s="69"/>
    </row>
    <row r="294" spans="1:2" s="4" customFormat="1" x14ac:dyDescent="0.3">
      <c r="A294" s="20"/>
      <c r="B294" s="69"/>
    </row>
    <row r="295" spans="1:2" s="4" customFormat="1" x14ac:dyDescent="0.3">
      <c r="A295" s="20"/>
      <c r="B295" s="69"/>
    </row>
    <row r="296" spans="1:2" s="4" customFormat="1" x14ac:dyDescent="0.3">
      <c r="A296" s="20"/>
      <c r="B296" s="69"/>
    </row>
    <row r="297" spans="1:2" s="4" customFormat="1" x14ac:dyDescent="0.3">
      <c r="A297" s="20"/>
      <c r="B297" s="69"/>
    </row>
    <row r="298" spans="1:2" s="4" customFormat="1" x14ac:dyDescent="0.3">
      <c r="A298" s="20"/>
      <c r="B298" s="69"/>
    </row>
    <row r="299" spans="1:2" s="4" customFormat="1" x14ac:dyDescent="0.3">
      <c r="A299" s="20"/>
      <c r="B299" s="69"/>
    </row>
    <row r="300" spans="1:2" s="4" customFormat="1" x14ac:dyDescent="0.3">
      <c r="A300" s="20"/>
      <c r="B300" s="69"/>
    </row>
    <row r="301" spans="1:2" s="4" customFormat="1" x14ac:dyDescent="0.3">
      <c r="A301" s="20"/>
      <c r="B301" s="69"/>
    </row>
    <row r="302" spans="1:2" s="4" customFormat="1" x14ac:dyDescent="0.3">
      <c r="A302" s="20"/>
      <c r="B302" s="69"/>
    </row>
    <row r="303" spans="1:2" s="4" customFormat="1" x14ac:dyDescent="0.3">
      <c r="A303" s="20"/>
      <c r="B303" s="69"/>
    </row>
    <row r="304" spans="1:2" s="4" customFormat="1" x14ac:dyDescent="0.3">
      <c r="A304" s="20"/>
      <c r="B304" s="69"/>
    </row>
    <row r="305" spans="1:2" s="4" customFormat="1" x14ac:dyDescent="0.3">
      <c r="A305" s="20"/>
      <c r="B305" s="69"/>
    </row>
    <row r="306" spans="1:2" s="4" customFormat="1" x14ac:dyDescent="0.3">
      <c r="A306" s="20"/>
      <c r="B306" s="69"/>
    </row>
    <row r="307" spans="1:2" s="4" customFormat="1" x14ac:dyDescent="0.3">
      <c r="A307" s="20"/>
      <c r="B307" s="69"/>
    </row>
    <row r="308" spans="1:2" s="4" customFormat="1" x14ac:dyDescent="0.3">
      <c r="A308" s="20"/>
      <c r="B308" s="69"/>
    </row>
    <row r="309" spans="1:2" s="4" customFormat="1" x14ac:dyDescent="0.3">
      <c r="A309" s="20"/>
      <c r="B309" s="69"/>
    </row>
    <row r="310" spans="1:2" s="4" customFormat="1" x14ac:dyDescent="0.3">
      <c r="A310" s="20"/>
      <c r="B310" s="69"/>
    </row>
    <row r="311" spans="1:2" s="4" customFormat="1" x14ac:dyDescent="0.3">
      <c r="A311" s="20"/>
      <c r="B311" s="69"/>
    </row>
    <row r="312" spans="1:2" s="4" customFormat="1" x14ac:dyDescent="0.3">
      <c r="A312" s="20"/>
      <c r="B312" s="69"/>
    </row>
    <row r="313" spans="1:2" s="4" customFormat="1" x14ac:dyDescent="0.3">
      <c r="A313" s="20"/>
      <c r="B313" s="69"/>
    </row>
    <row r="314" spans="1:2" s="4" customFormat="1" x14ac:dyDescent="0.3">
      <c r="A314" s="20"/>
      <c r="B314" s="69"/>
    </row>
    <row r="315" spans="1:2" s="4" customFormat="1" x14ac:dyDescent="0.3">
      <c r="A315" s="20"/>
      <c r="B315" s="69"/>
    </row>
    <row r="316" spans="1:2" s="4" customFormat="1" x14ac:dyDescent="0.3">
      <c r="A316" s="20"/>
      <c r="B316" s="69"/>
    </row>
    <row r="317" spans="1:2" s="4" customFormat="1" x14ac:dyDescent="0.3">
      <c r="A317" s="20"/>
      <c r="B317" s="69"/>
    </row>
    <row r="318" spans="1:2" s="4" customFormat="1" x14ac:dyDescent="0.3">
      <c r="A318" s="20"/>
      <c r="B318" s="69"/>
    </row>
    <row r="319" spans="1:2" s="4" customFormat="1" x14ac:dyDescent="0.3">
      <c r="A319" s="20"/>
      <c r="B319" s="69"/>
    </row>
    <row r="320" spans="1:2" s="4" customFormat="1" x14ac:dyDescent="0.3">
      <c r="A320" s="20"/>
      <c r="B320" s="69"/>
    </row>
    <row r="321" spans="1:2" s="4" customFormat="1" x14ac:dyDescent="0.3">
      <c r="A321" s="20"/>
      <c r="B321" s="69"/>
    </row>
    <row r="322" spans="1:2" s="4" customFormat="1" x14ac:dyDescent="0.3">
      <c r="A322" s="20"/>
      <c r="B322" s="69"/>
    </row>
    <row r="323" spans="1:2" s="4" customFormat="1" x14ac:dyDescent="0.3">
      <c r="A323" s="20"/>
      <c r="B323" s="69"/>
    </row>
    <row r="324" spans="1:2" s="4" customFormat="1" x14ac:dyDescent="0.3">
      <c r="A324" s="20"/>
      <c r="B324" s="69"/>
    </row>
    <row r="325" spans="1:2" s="4" customFormat="1" x14ac:dyDescent="0.3">
      <c r="A325" s="20"/>
      <c r="B325" s="69"/>
    </row>
    <row r="326" spans="1:2" s="4" customFormat="1" x14ac:dyDescent="0.3">
      <c r="A326" s="20"/>
      <c r="B326" s="69"/>
    </row>
    <row r="327" spans="1:2" s="4" customFormat="1" x14ac:dyDescent="0.3">
      <c r="A327" s="20"/>
      <c r="B327" s="69"/>
    </row>
    <row r="328" spans="1:2" s="4" customFormat="1" x14ac:dyDescent="0.3">
      <c r="A328" s="20"/>
      <c r="B328" s="69"/>
    </row>
    <row r="329" spans="1:2" s="4" customFormat="1" x14ac:dyDescent="0.3">
      <c r="A329" s="20"/>
      <c r="B329" s="69"/>
    </row>
    <row r="330" spans="1:2" s="4" customFormat="1" x14ac:dyDescent="0.3">
      <c r="A330" s="20"/>
      <c r="B330" s="69"/>
    </row>
    <row r="331" spans="1:2" s="4" customFormat="1" x14ac:dyDescent="0.3">
      <c r="A331" s="20"/>
      <c r="B331" s="69"/>
    </row>
    <row r="332" spans="1:2" s="4" customFormat="1" x14ac:dyDescent="0.3">
      <c r="A332" s="20"/>
      <c r="B332" s="69"/>
    </row>
    <row r="333" spans="1:2" s="4" customFormat="1" x14ac:dyDescent="0.3">
      <c r="A333" s="20"/>
      <c r="B333" s="69"/>
    </row>
    <row r="334" spans="1:2" s="4" customFormat="1" x14ac:dyDescent="0.3">
      <c r="A334" s="20"/>
      <c r="B334" s="69"/>
    </row>
    <row r="335" spans="1:2" s="4" customFormat="1" x14ac:dyDescent="0.3">
      <c r="A335" s="20"/>
      <c r="B335" s="69"/>
    </row>
    <row r="336" spans="1:2" s="4" customFormat="1" x14ac:dyDescent="0.3">
      <c r="A336" s="20"/>
      <c r="B336" s="69"/>
    </row>
    <row r="337" spans="1:2" s="4" customFormat="1" x14ac:dyDescent="0.3">
      <c r="A337" s="20"/>
      <c r="B337" s="69"/>
    </row>
    <row r="338" spans="1:2" s="4" customFormat="1" x14ac:dyDescent="0.3">
      <c r="A338" s="20"/>
      <c r="B338" s="69"/>
    </row>
    <row r="339" spans="1:2" s="4" customFormat="1" x14ac:dyDescent="0.3">
      <c r="A339" s="20"/>
      <c r="B339" s="69"/>
    </row>
    <row r="340" spans="1:2" s="4" customFormat="1" x14ac:dyDescent="0.3">
      <c r="A340" s="20"/>
      <c r="B340" s="69"/>
    </row>
    <row r="341" spans="1:2" s="4" customFormat="1" x14ac:dyDescent="0.3">
      <c r="A341" s="20"/>
      <c r="B341" s="69"/>
    </row>
    <row r="342" spans="1:2" s="4" customFormat="1" x14ac:dyDescent="0.3">
      <c r="A342" s="20"/>
      <c r="B342" s="69"/>
    </row>
    <row r="343" spans="1:2" s="4" customFormat="1" x14ac:dyDescent="0.3">
      <c r="A343" s="20"/>
      <c r="B343" s="69"/>
    </row>
    <row r="344" spans="1:2" s="4" customFormat="1" x14ac:dyDescent="0.3">
      <c r="A344" s="20"/>
      <c r="B344" s="69"/>
    </row>
    <row r="345" spans="1:2" s="4" customFormat="1" x14ac:dyDescent="0.3">
      <c r="A345" s="20"/>
      <c r="B345" s="69"/>
    </row>
    <row r="346" spans="1:2" s="4" customFormat="1" x14ac:dyDescent="0.3">
      <c r="A346" s="20"/>
      <c r="B346" s="69"/>
    </row>
    <row r="347" spans="1:2" s="4" customFormat="1" x14ac:dyDescent="0.3">
      <c r="A347" s="20"/>
      <c r="B347" s="69"/>
    </row>
    <row r="348" spans="1:2" s="4" customFormat="1" x14ac:dyDescent="0.3">
      <c r="A348" s="20"/>
      <c r="B348" s="69"/>
    </row>
    <row r="349" spans="1:2" s="4" customFormat="1" x14ac:dyDescent="0.3">
      <c r="A349" s="20"/>
      <c r="B349" s="69"/>
    </row>
    <row r="350" spans="1:2" s="4" customFormat="1" x14ac:dyDescent="0.3">
      <c r="A350" s="20"/>
      <c r="B350" s="69"/>
    </row>
    <row r="351" spans="1:2" s="4" customFormat="1" x14ac:dyDescent="0.3">
      <c r="A351" s="20"/>
      <c r="B351" s="69"/>
    </row>
    <row r="352" spans="1:2" s="4" customFormat="1" x14ac:dyDescent="0.3">
      <c r="A352" s="20"/>
      <c r="B352" s="69"/>
    </row>
    <row r="353" spans="1:2" s="4" customFormat="1" x14ac:dyDescent="0.3">
      <c r="A353" s="20"/>
      <c r="B353" s="69"/>
    </row>
    <row r="354" spans="1:2" s="4" customFormat="1" x14ac:dyDescent="0.3">
      <c r="A354" s="20"/>
      <c r="B354" s="69"/>
    </row>
    <row r="355" spans="1:2" s="4" customFormat="1" x14ac:dyDescent="0.3">
      <c r="A355" s="20"/>
      <c r="B355" s="69"/>
    </row>
    <row r="356" spans="1:2" s="4" customFormat="1" x14ac:dyDescent="0.3">
      <c r="A356" s="20"/>
      <c r="B356" s="69"/>
    </row>
    <row r="357" spans="1:2" s="4" customFormat="1" x14ac:dyDescent="0.3">
      <c r="A357" s="20"/>
      <c r="B357" s="69"/>
    </row>
    <row r="358" spans="1:2" s="4" customFormat="1" x14ac:dyDescent="0.3">
      <c r="A358" s="20"/>
      <c r="B358" s="69"/>
    </row>
    <row r="359" spans="1:2" s="4" customFormat="1" x14ac:dyDescent="0.3">
      <c r="A359" s="20"/>
      <c r="B359" s="69"/>
    </row>
    <row r="360" spans="1:2" s="4" customFormat="1" x14ac:dyDescent="0.3">
      <c r="A360" s="20"/>
      <c r="B360" s="69"/>
    </row>
    <row r="361" spans="1:2" s="4" customFormat="1" x14ac:dyDescent="0.3">
      <c r="A361" s="20"/>
      <c r="B361" s="69"/>
    </row>
    <row r="362" spans="1:2" s="4" customFormat="1" x14ac:dyDescent="0.3">
      <c r="A362" s="20"/>
      <c r="B362" s="69"/>
    </row>
    <row r="363" spans="1:2" s="4" customFormat="1" x14ac:dyDescent="0.3">
      <c r="A363" s="20"/>
      <c r="B363" s="69"/>
    </row>
    <row r="364" spans="1:2" s="4" customFormat="1" x14ac:dyDescent="0.3">
      <c r="A364" s="20"/>
      <c r="B364" s="69"/>
    </row>
    <row r="365" spans="1:2" s="4" customFormat="1" x14ac:dyDescent="0.3">
      <c r="A365" s="20"/>
      <c r="B365" s="69"/>
    </row>
    <row r="366" spans="1:2" s="4" customFormat="1" x14ac:dyDescent="0.3">
      <c r="A366" s="20"/>
      <c r="B366" s="69"/>
    </row>
    <row r="367" spans="1:2" s="4" customFormat="1" x14ac:dyDescent="0.3">
      <c r="A367" s="20"/>
      <c r="B367" s="69"/>
    </row>
    <row r="368" spans="1:2" s="4" customFormat="1" x14ac:dyDescent="0.3">
      <c r="A368" s="20"/>
      <c r="B368" s="69"/>
    </row>
    <row r="369" spans="1:2" s="4" customFormat="1" x14ac:dyDescent="0.3">
      <c r="A369" s="20"/>
      <c r="B369" s="69"/>
    </row>
    <row r="370" spans="1:2" s="4" customFormat="1" x14ac:dyDescent="0.3">
      <c r="A370" s="20"/>
      <c r="B370" s="69"/>
    </row>
    <row r="371" spans="1:2" s="4" customFormat="1" x14ac:dyDescent="0.3">
      <c r="A371" s="20"/>
      <c r="B371" s="69"/>
    </row>
    <row r="372" spans="1:2" s="4" customFormat="1" x14ac:dyDescent="0.3">
      <c r="A372" s="20"/>
      <c r="B372" s="69"/>
    </row>
    <row r="373" spans="1:2" s="4" customFormat="1" x14ac:dyDescent="0.3">
      <c r="A373" s="20"/>
      <c r="B373" s="69"/>
    </row>
    <row r="374" spans="1:2" s="4" customFormat="1" x14ac:dyDescent="0.3">
      <c r="A374" s="20"/>
      <c r="B374" s="69"/>
    </row>
    <row r="375" spans="1:2" s="4" customFormat="1" x14ac:dyDescent="0.3">
      <c r="A375" s="20"/>
      <c r="B375" s="69"/>
    </row>
    <row r="376" spans="1:2" s="4" customFormat="1" x14ac:dyDescent="0.3">
      <c r="A376" s="20"/>
      <c r="B376" s="69"/>
    </row>
    <row r="377" spans="1:2" s="4" customFormat="1" x14ac:dyDescent="0.3">
      <c r="A377" s="20"/>
      <c r="B377" s="69"/>
    </row>
    <row r="378" spans="1:2" s="4" customFormat="1" x14ac:dyDescent="0.3">
      <c r="A378" s="20"/>
      <c r="B378" s="69"/>
    </row>
    <row r="379" spans="1:2" s="4" customFormat="1" x14ac:dyDescent="0.3">
      <c r="A379" s="20"/>
      <c r="B379" s="69"/>
    </row>
    <row r="380" spans="1:2" s="4" customFormat="1" x14ac:dyDescent="0.3">
      <c r="A380" s="20"/>
      <c r="B380" s="69"/>
    </row>
    <row r="381" spans="1:2" s="4" customFormat="1" x14ac:dyDescent="0.3">
      <c r="A381" s="20"/>
      <c r="B381" s="69"/>
    </row>
    <row r="382" spans="1:2" s="4" customFormat="1" x14ac:dyDescent="0.3">
      <c r="A382" s="20"/>
      <c r="B382" s="69"/>
    </row>
    <row r="383" spans="1:2" s="4" customFormat="1" x14ac:dyDescent="0.3">
      <c r="A383" s="20"/>
      <c r="B383" s="69"/>
    </row>
    <row r="384" spans="1:2" s="4" customFormat="1" x14ac:dyDescent="0.3">
      <c r="A384" s="20"/>
      <c r="B384" s="69"/>
    </row>
    <row r="385" spans="1:2" s="4" customFormat="1" x14ac:dyDescent="0.3">
      <c r="A385" s="20"/>
      <c r="B385" s="69"/>
    </row>
    <row r="386" spans="1:2" s="4" customFormat="1" x14ac:dyDescent="0.3">
      <c r="A386" s="20"/>
      <c r="B386" s="69"/>
    </row>
    <row r="387" spans="1:2" s="4" customFormat="1" x14ac:dyDescent="0.3">
      <c r="A387" s="20"/>
      <c r="B387" s="69"/>
    </row>
    <row r="388" spans="1:2" s="4" customFormat="1" x14ac:dyDescent="0.3">
      <c r="A388" s="20"/>
      <c r="B388" s="69"/>
    </row>
    <row r="389" spans="1:2" s="4" customFormat="1" x14ac:dyDescent="0.3">
      <c r="A389" s="20"/>
      <c r="B389" s="69"/>
    </row>
    <row r="390" spans="1:2" s="4" customFormat="1" x14ac:dyDescent="0.3">
      <c r="A390" s="20"/>
      <c r="B390" s="69"/>
    </row>
    <row r="391" spans="1:2" s="4" customFormat="1" x14ac:dyDescent="0.3">
      <c r="A391" s="20"/>
      <c r="B391" s="69"/>
    </row>
    <row r="392" spans="1:2" s="4" customFormat="1" x14ac:dyDescent="0.3">
      <c r="A392" s="20"/>
      <c r="B392" s="69"/>
    </row>
    <row r="393" spans="1:2" s="4" customFormat="1" x14ac:dyDescent="0.3">
      <c r="A393" s="20"/>
      <c r="B393" s="69"/>
    </row>
    <row r="394" spans="1:2" s="4" customFormat="1" x14ac:dyDescent="0.3">
      <c r="A394" s="20"/>
      <c r="B394" s="69"/>
    </row>
    <row r="395" spans="1:2" s="4" customFormat="1" x14ac:dyDescent="0.3">
      <c r="A395" s="20"/>
      <c r="B395" s="69"/>
    </row>
    <row r="396" spans="1:2" s="4" customFormat="1" x14ac:dyDescent="0.3">
      <c r="A396" s="20"/>
      <c r="B396" s="69"/>
    </row>
    <row r="397" spans="1:2" s="4" customFormat="1" x14ac:dyDescent="0.3">
      <c r="A397" s="20"/>
      <c r="B397" s="69"/>
    </row>
    <row r="398" spans="1:2" s="4" customFormat="1" x14ac:dyDescent="0.3">
      <c r="A398" s="20"/>
      <c r="B398" s="69"/>
    </row>
    <row r="399" spans="1:2" s="4" customFormat="1" x14ac:dyDescent="0.3">
      <c r="A399" s="20"/>
      <c r="B399" s="69"/>
    </row>
    <row r="400" spans="1:2" s="4" customFormat="1" x14ac:dyDescent="0.3">
      <c r="A400" s="20"/>
      <c r="B400" s="69"/>
    </row>
    <row r="401" spans="1:2" s="4" customFormat="1" x14ac:dyDescent="0.3">
      <c r="A401" s="20"/>
      <c r="B401" s="69"/>
    </row>
    <row r="402" spans="1:2" s="4" customFormat="1" x14ac:dyDescent="0.3">
      <c r="A402" s="20"/>
      <c r="B402" s="69"/>
    </row>
    <row r="403" spans="1:2" s="4" customFormat="1" x14ac:dyDescent="0.3">
      <c r="A403" s="20"/>
      <c r="B403" s="69"/>
    </row>
    <row r="404" spans="1:2" s="4" customFormat="1" x14ac:dyDescent="0.3">
      <c r="A404" s="20"/>
      <c r="B404" s="69"/>
    </row>
    <row r="405" spans="1:2" s="4" customFormat="1" x14ac:dyDescent="0.3">
      <c r="A405" s="20"/>
      <c r="B405" s="69"/>
    </row>
    <row r="406" spans="1:2" s="4" customFormat="1" x14ac:dyDescent="0.3">
      <c r="A406" s="20"/>
      <c r="B406" s="69"/>
    </row>
    <row r="407" spans="1:2" s="4" customFormat="1" x14ac:dyDescent="0.3">
      <c r="A407" s="20"/>
      <c r="B407" s="69"/>
    </row>
    <row r="408" spans="1:2" s="4" customFormat="1" x14ac:dyDescent="0.3">
      <c r="A408" s="20"/>
      <c r="B408" s="69"/>
    </row>
    <row r="409" spans="1:2" s="4" customFormat="1" x14ac:dyDescent="0.3">
      <c r="A409" s="20"/>
      <c r="B409" s="69"/>
    </row>
    <row r="410" spans="1:2" s="4" customFormat="1" x14ac:dyDescent="0.3">
      <c r="A410" s="20"/>
      <c r="B410" s="69"/>
    </row>
    <row r="411" spans="1:2" s="4" customFormat="1" x14ac:dyDescent="0.3">
      <c r="A411" s="20"/>
      <c r="B411" s="69"/>
    </row>
    <row r="412" spans="1:2" s="4" customFormat="1" x14ac:dyDescent="0.3">
      <c r="A412" s="20"/>
      <c r="B412" s="69"/>
    </row>
    <row r="413" spans="1:2" s="4" customFormat="1" x14ac:dyDescent="0.3">
      <c r="A413" s="20"/>
      <c r="B413" s="69"/>
    </row>
    <row r="414" spans="1:2" s="4" customFormat="1" x14ac:dyDescent="0.3">
      <c r="A414" s="20"/>
      <c r="B414" s="69"/>
    </row>
    <row r="415" spans="1:2" s="4" customFormat="1" x14ac:dyDescent="0.3">
      <c r="A415" s="20"/>
      <c r="B415" s="69"/>
    </row>
    <row r="416" spans="1:2" s="4" customFormat="1" x14ac:dyDescent="0.3">
      <c r="A416" s="20"/>
      <c r="B416" s="69"/>
    </row>
    <row r="417" spans="1:2" s="4" customFormat="1" x14ac:dyDescent="0.3">
      <c r="A417" s="20"/>
      <c r="B417" s="69"/>
    </row>
    <row r="418" spans="1:2" s="4" customFormat="1" x14ac:dyDescent="0.3">
      <c r="A418" s="20"/>
      <c r="B418" s="69"/>
    </row>
    <row r="419" spans="1:2" s="4" customFormat="1" x14ac:dyDescent="0.3">
      <c r="A419" s="20"/>
      <c r="B419" s="69"/>
    </row>
    <row r="420" spans="1:2" s="4" customFormat="1" x14ac:dyDescent="0.3">
      <c r="A420" s="20"/>
      <c r="B420" s="69"/>
    </row>
    <row r="421" spans="1:2" s="4" customFormat="1" x14ac:dyDescent="0.3">
      <c r="A421" s="20"/>
      <c r="B421" s="69"/>
    </row>
    <row r="422" spans="1:2" s="4" customFormat="1" x14ac:dyDescent="0.3">
      <c r="A422" s="20"/>
      <c r="B422" s="69"/>
    </row>
    <row r="423" spans="1:2" s="4" customFormat="1" x14ac:dyDescent="0.3">
      <c r="A423" s="20"/>
      <c r="B423" s="69"/>
    </row>
    <row r="424" spans="1:2" s="4" customFormat="1" x14ac:dyDescent="0.3">
      <c r="A424" s="20"/>
      <c r="B424" s="69"/>
    </row>
    <row r="425" spans="1:2" s="4" customFormat="1" x14ac:dyDescent="0.3">
      <c r="A425" s="20"/>
      <c r="B425" s="69"/>
    </row>
    <row r="426" spans="1:2" s="4" customFormat="1" x14ac:dyDescent="0.3">
      <c r="A426" s="20"/>
      <c r="B426" s="69"/>
    </row>
    <row r="427" spans="1:2" s="4" customFormat="1" x14ac:dyDescent="0.3">
      <c r="A427" s="20"/>
      <c r="B427" s="69"/>
    </row>
    <row r="428" spans="1:2" s="4" customFormat="1" x14ac:dyDescent="0.3">
      <c r="A428" s="20"/>
      <c r="B428" s="69"/>
    </row>
    <row r="429" spans="1:2" s="4" customFormat="1" x14ac:dyDescent="0.3">
      <c r="A429" s="20"/>
      <c r="B429" s="69"/>
    </row>
    <row r="430" spans="1:2" s="4" customFormat="1" x14ac:dyDescent="0.3">
      <c r="A430" s="20"/>
      <c r="B430" s="69"/>
    </row>
    <row r="431" spans="1:2" s="4" customFormat="1" x14ac:dyDescent="0.3">
      <c r="A431" s="20"/>
      <c r="B431" s="69"/>
    </row>
    <row r="432" spans="1:2" s="4" customFormat="1" x14ac:dyDescent="0.3">
      <c r="A432" s="20"/>
      <c r="B432" s="69"/>
    </row>
    <row r="433" spans="1:2" s="4" customFormat="1" x14ac:dyDescent="0.3">
      <c r="A433" s="20"/>
      <c r="B433" s="69"/>
    </row>
    <row r="434" spans="1:2" s="4" customFormat="1" x14ac:dyDescent="0.3">
      <c r="A434" s="20"/>
      <c r="B434" s="69"/>
    </row>
    <row r="435" spans="1:2" s="4" customFormat="1" x14ac:dyDescent="0.3">
      <c r="A435" s="20"/>
      <c r="B435" s="69"/>
    </row>
    <row r="436" spans="1:2" s="4" customFormat="1" x14ac:dyDescent="0.3">
      <c r="A436" s="20"/>
      <c r="B436" s="69"/>
    </row>
    <row r="437" spans="1:2" s="4" customFormat="1" x14ac:dyDescent="0.3">
      <c r="A437" s="20"/>
      <c r="B437" s="69"/>
    </row>
    <row r="438" spans="1:2" s="4" customFormat="1" x14ac:dyDescent="0.3">
      <c r="A438" s="20"/>
      <c r="B438" s="69"/>
    </row>
    <row r="439" spans="1:2" s="4" customFormat="1" x14ac:dyDescent="0.3">
      <c r="A439" s="20"/>
      <c r="B439" s="69"/>
    </row>
    <row r="440" spans="1:2" s="4" customFormat="1" x14ac:dyDescent="0.3">
      <c r="A440" s="20"/>
      <c r="B440" s="69"/>
    </row>
    <row r="441" spans="1:2" s="4" customFormat="1" x14ac:dyDescent="0.3">
      <c r="A441" s="20"/>
      <c r="B441" s="69"/>
    </row>
    <row r="442" spans="1:2" s="4" customFormat="1" x14ac:dyDescent="0.3">
      <c r="A442" s="20"/>
      <c r="B442" s="69"/>
    </row>
    <row r="443" spans="1:2" s="4" customFormat="1" x14ac:dyDescent="0.3">
      <c r="A443" s="20"/>
      <c r="B443" s="69"/>
    </row>
    <row r="444" spans="1:2" s="4" customFormat="1" x14ac:dyDescent="0.3">
      <c r="A444" s="20"/>
      <c r="B444" s="69"/>
    </row>
    <row r="445" spans="1:2" s="4" customFormat="1" x14ac:dyDescent="0.3">
      <c r="A445" s="20"/>
      <c r="B445" s="69"/>
    </row>
    <row r="446" spans="1:2" s="4" customFormat="1" x14ac:dyDescent="0.3">
      <c r="A446" s="20"/>
      <c r="B446" s="69"/>
    </row>
    <row r="447" spans="1:2" s="4" customFormat="1" x14ac:dyDescent="0.3">
      <c r="A447" s="20"/>
      <c r="B447" s="69"/>
    </row>
    <row r="448" spans="1:2" s="4" customFormat="1" x14ac:dyDescent="0.3">
      <c r="A448" s="20"/>
      <c r="B448" s="69"/>
    </row>
    <row r="449" spans="1:2" s="4" customFormat="1" x14ac:dyDescent="0.3">
      <c r="A449" s="20"/>
      <c r="B449" s="69"/>
    </row>
    <row r="450" spans="1:2" s="4" customFormat="1" x14ac:dyDescent="0.3">
      <c r="A450" s="20"/>
      <c r="B450" s="69"/>
    </row>
    <row r="451" spans="1:2" s="4" customFormat="1" x14ac:dyDescent="0.3">
      <c r="A451" s="20"/>
      <c r="B451" s="69"/>
    </row>
    <row r="452" spans="1:2" s="4" customFormat="1" x14ac:dyDescent="0.3">
      <c r="A452" s="20"/>
      <c r="B452" s="69"/>
    </row>
    <row r="453" spans="1:2" s="4" customFormat="1" x14ac:dyDescent="0.3">
      <c r="A453" s="20"/>
      <c r="B453" s="69"/>
    </row>
    <row r="454" spans="1:2" s="4" customFormat="1" x14ac:dyDescent="0.3">
      <c r="A454" s="20"/>
      <c r="B454" s="69"/>
    </row>
    <row r="455" spans="1:2" s="4" customFormat="1" x14ac:dyDescent="0.3">
      <c r="A455" s="20"/>
      <c r="B455" s="69"/>
    </row>
    <row r="456" spans="1:2" s="4" customFormat="1" x14ac:dyDescent="0.3">
      <c r="A456" s="20"/>
      <c r="B456" s="69"/>
    </row>
    <row r="457" spans="1:2" s="4" customFormat="1" x14ac:dyDescent="0.3">
      <c r="A457" s="20"/>
      <c r="B457" s="69"/>
    </row>
    <row r="458" spans="1:2" s="4" customFormat="1" x14ac:dyDescent="0.3">
      <c r="A458" s="20"/>
      <c r="B458" s="69"/>
    </row>
    <row r="459" spans="1:2" s="4" customFormat="1" x14ac:dyDescent="0.3">
      <c r="A459" s="20"/>
      <c r="B459" s="69"/>
    </row>
    <row r="460" spans="1:2" s="4" customFormat="1" x14ac:dyDescent="0.3">
      <c r="A460" s="20"/>
      <c r="B460" s="69"/>
    </row>
    <row r="461" spans="1:2" s="4" customFormat="1" x14ac:dyDescent="0.3">
      <c r="A461" s="20"/>
      <c r="B461" s="69"/>
    </row>
    <row r="462" spans="1:2" s="4" customFormat="1" x14ac:dyDescent="0.3">
      <c r="A462" s="20"/>
      <c r="B462" s="69"/>
    </row>
    <row r="463" spans="1:2" s="4" customFormat="1" x14ac:dyDescent="0.3">
      <c r="A463" s="20"/>
      <c r="B463" s="69"/>
    </row>
    <row r="464" spans="1:2" s="4" customFormat="1" x14ac:dyDescent="0.3">
      <c r="A464" s="20"/>
      <c r="B464" s="69"/>
    </row>
    <row r="465" spans="1:2" s="4" customFormat="1" x14ac:dyDescent="0.3">
      <c r="A465" s="20"/>
      <c r="B465" s="69"/>
    </row>
    <row r="466" spans="1:2" s="4" customFormat="1" x14ac:dyDescent="0.3">
      <c r="A466" s="20"/>
      <c r="B466" s="69"/>
    </row>
    <row r="467" spans="1:2" s="4" customFormat="1" x14ac:dyDescent="0.3">
      <c r="A467" s="20"/>
      <c r="B467" s="69"/>
    </row>
    <row r="468" spans="1:2" s="4" customFormat="1" x14ac:dyDescent="0.3">
      <c r="A468" s="20"/>
      <c r="B468" s="69"/>
    </row>
    <row r="469" spans="1:2" s="4" customFormat="1" x14ac:dyDescent="0.3">
      <c r="A469" s="20"/>
      <c r="B469" s="69"/>
    </row>
    <row r="470" spans="1:2" s="4" customFormat="1" x14ac:dyDescent="0.3">
      <c r="A470" s="20"/>
      <c r="B470" s="69"/>
    </row>
    <row r="471" spans="1:2" s="4" customFormat="1" x14ac:dyDescent="0.3">
      <c r="A471" s="20"/>
      <c r="B471" s="69"/>
    </row>
    <row r="472" spans="1:2" s="4" customFormat="1" x14ac:dyDescent="0.3">
      <c r="A472" s="20"/>
      <c r="B472" s="69"/>
    </row>
    <row r="473" spans="1:2" s="4" customFormat="1" x14ac:dyDescent="0.3">
      <c r="A473" s="20"/>
      <c r="B473" s="69"/>
    </row>
    <row r="474" spans="1:2" s="4" customFormat="1" x14ac:dyDescent="0.3">
      <c r="A474" s="20"/>
      <c r="B474" s="69"/>
    </row>
    <row r="475" spans="1:2" s="4" customFormat="1" x14ac:dyDescent="0.3">
      <c r="A475" s="20"/>
      <c r="B475" s="69"/>
    </row>
    <row r="476" spans="1:2" s="4" customFormat="1" x14ac:dyDescent="0.3">
      <c r="A476" s="20"/>
      <c r="B476" s="69"/>
    </row>
    <row r="477" spans="1:2" s="4" customFormat="1" x14ac:dyDescent="0.3">
      <c r="A477" s="20"/>
      <c r="B477" s="69"/>
    </row>
    <row r="478" spans="1:2" s="4" customFormat="1" x14ac:dyDescent="0.3">
      <c r="A478" s="20"/>
      <c r="B478" s="69"/>
    </row>
    <row r="479" spans="1:2" s="4" customFormat="1" x14ac:dyDescent="0.3">
      <c r="A479" s="20"/>
      <c r="B479" s="69"/>
    </row>
    <row r="480" spans="1:2" s="4" customFormat="1" x14ac:dyDescent="0.3">
      <c r="A480" s="20"/>
      <c r="B480" s="69"/>
    </row>
    <row r="481" spans="1:2" s="4" customFormat="1" x14ac:dyDescent="0.3">
      <c r="A481" s="20"/>
      <c r="B481" s="69"/>
    </row>
    <row r="482" spans="1:2" s="4" customFormat="1" x14ac:dyDescent="0.3">
      <c r="A482" s="20"/>
      <c r="B482" s="69"/>
    </row>
    <row r="483" spans="1:2" s="4" customFormat="1" x14ac:dyDescent="0.3">
      <c r="A483" s="20"/>
      <c r="B483" s="69"/>
    </row>
    <row r="484" spans="1:2" s="4" customFormat="1" x14ac:dyDescent="0.3">
      <c r="A484" s="20"/>
      <c r="B484" s="69"/>
    </row>
    <row r="485" spans="1:2" s="4" customFormat="1" x14ac:dyDescent="0.3">
      <c r="A485" s="20"/>
      <c r="B485" s="69"/>
    </row>
    <row r="486" spans="1:2" s="4" customFormat="1" x14ac:dyDescent="0.3">
      <c r="A486" s="20"/>
      <c r="B486" s="69"/>
    </row>
    <row r="487" spans="1:2" s="4" customFormat="1" x14ac:dyDescent="0.3">
      <c r="A487" s="20"/>
      <c r="B487" s="69"/>
    </row>
    <row r="488" spans="1:2" s="4" customFormat="1" x14ac:dyDescent="0.3">
      <c r="A488" s="20"/>
      <c r="B488" s="69"/>
    </row>
    <row r="489" spans="1:2" s="4" customFormat="1" x14ac:dyDescent="0.3">
      <c r="A489" s="20"/>
      <c r="B489" s="69"/>
    </row>
    <row r="490" spans="1:2" s="4" customFormat="1" x14ac:dyDescent="0.3">
      <c r="A490" s="20"/>
      <c r="B490" s="69"/>
    </row>
    <row r="491" spans="1:2" s="4" customFormat="1" x14ac:dyDescent="0.3">
      <c r="A491" s="20"/>
      <c r="B491" s="69"/>
    </row>
    <row r="492" spans="1:2" s="4" customFormat="1" x14ac:dyDescent="0.3">
      <c r="A492" s="20"/>
      <c r="B492" s="69"/>
    </row>
    <row r="493" spans="1:2" s="4" customFormat="1" x14ac:dyDescent="0.3">
      <c r="A493" s="20"/>
      <c r="B493" s="69"/>
    </row>
    <row r="494" spans="1:2" s="4" customFormat="1" x14ac:dyDescent="0.3">
      <c r="A494" s="20"/>
      <c r="B494" s="69"/>
    </row>
    <row r="495" spans="1:2" s="4" customFormat="1" x14ac:dyDescent="0.3">
      <c r="A495" s="20"/>
      <c r="B495" s="69"/>
    </row>
    <row r="496" spans="1:2" s="4" customFormat="1" x14ac:dyDescent="0.3">
      <c r="A496" s="20"/>
      <c r="B496" s="69"/>
    </row>
    <row r="497" spans="1:2" s="4" customFormat="1" x14ac:dyDescent="0.3">
      <c r="A497" s="20"/>
      <c r="B497" s="69"/>
    </row>
    <row r="498" spans="1:2" s="4" customFormat="1" x14ac:dyDescent="0.3">
      <c r="A498" s="20"/>
      <c r="B498" s="69"/>
    </row>
    <row r="499" spans="1:2" s="4" customFormat="1" x14ac:dyDescent="0.3">
      <c r="A499" s="20"/>
      <c r="B499" s="69"/>
    </row>
    <row r="500" spans="1:2" s="4" customFormat="1" x14ac:dyDescent="0.3">
      <c r="A500" s="20"/>
      <c r="B500" s="69"/>
    </row>
    <row r="501" spans="1:2" s="4" customFormat="1" x14ac:dyDescent="0.3">
      <c r="A501" s="20"/>
      <c r="B501" s="69"/>
    </row>
    <row r="502" spans="1:2" s="4" customFormat="1" x14ac:dyDescent="0.3">
      <c r="A502" s="20"/>
      <c r="B502" s="69"/>
    </row>
    <row r="503" spans="1:2" s="4" customFormat="1" x14ac:dyDescent="0.3">
      <c r="A503" s="20"/>
      <c r="B503" s="69"/>
    </row>
    <row r="504" spans="1:2" s="4" customFormat="1" x14ac:dyDescent="0.3">
      <c r="A504" s="20"/>
      <c r="B504" s="69"/>
    </row>
    <row r="505" spans="1:2" s="4" customFormat="1" x14ac:dyDescent="0.3">
      <c r="A505" s="20"/>
      <c r="B505" s="69"/>
    </row>
    <row r="506" spans="1:2" s="4" customFormat="1" x14ac:dyDescent="0.3">
      <c r="A506" s="20"/>
      <c r="B506" s="69"/>
    </row>
    <row r="507" spans="1:2" s="4" customFormat="1" x14ac:dyDescent="0.3">
      <c r="A507" s="20"/>
      <c r="B507" s="69"/>
    </row>
    <row r="508" spans="1:2" s="4" customFormat="1" x14ac:dyDescent="0.3">
      <c r="A508" s="20"/>
      <c r="B508" s="69"/>
    </row>
    <row r="509" spans="1:2" s="4" customFormat="1" x14ac:dyDescent="0.3">
      <c r="A509" s="20"/>
      <c r="B509" s="69"/>
    </row>
    <row r="510" spans="1:2" s="4" customFormat="1" x14ac:dyDescent="0.3">
      <c r="A510" s="20"/>
      <c r="B510" s="69"/>
    </row>
    <row r="511" spans="1:2" s="4" customFormat="1" x14ac:dyDescent="0.3">
      <c r="A511" s="20"/>
      <c r="B511" s="69"/>
    </row>
    <row r="512" spans="1:2" s="4" customFormat="1" x14ac:dyDescent="0.3">
      <c r="A512" s="20"/>
      <c r="B512" s="69"/>
    </row>
    <row r="513" spans="1:2" s="4" customFormat="1" x14ac:dyDescent="0.3">
      <c r="A513" s="20"/>
      <c r="B513" s="69"/>
    </row>
    <row r="514" spans="1:2" s="4" customFormat="1" x14ac:dyDescent="0.3">
      <c r="A514" s="20"/>
      <c r="B514" s="69"/>
    </row>
    <row r="515" spans="1:2" s="4" customFormat="1" x14ac:dyDescent="0.3">
      <c r="A515" s="20"/>
      <c r="B515" s="69"/>
    </row>
    <row r="516" spans="1:2" s="4" customFormat="1" x14ac:dyDescent="0.3">
      <c r="A516" s="20"/>
      <c r="B516" s="69"/>
    </row>
    <row r="517" spans="1:2" s="4" customFormat="1" x14ac:dyDescent="0.3">
      <c r="A517" s="20"/>
      <c r="B517" s="69"/>
    </row>
    <row r="518" spans="1:2" s="4" customFormat="1" x14ac:dyDescent="0.3">
      <c r="A518" s="20"/>
      <c r="B518" s="69"/>
    </row>
    <row r="519" spans="1:2" s="4" customFormat="1" x14ac:dyDescent="0.3">
      <c r="A519" s="20"/>
      <c r="B519" s="69"/>
    </row>
    <row r="520" spans="1:2" s="4" customFormat="1" x14ac:dyDescent="0.3">
      <c r="A520" s="20"/>
      <c r="B520" s="69"/>
    </row>
    <row r="521" spans="1:2" s="4" customFormat="1" x14ac:dyDescent="0.3">
      <c r="A521" s="20"/>
      <c r="B521" s="69"/>
    </row>
    <row r="522" spans="1:2" s="4" customFormat="1" x14ac:dyDescent="0.3">
      <c r="A522" s="20"/>
      <c r="B522" s="69"/>
    </row>
    <row r="523" spans="1:2" s="4" customFormat="1" x14ac:dyDescent="0.3">
      <c r="A523" s="20"/>
      <c r="B523" s="69"/>
    </row>
    <row r="524" spans="1:2" s="4" customFormat="1" x14ac:dyDescent="0.3">
      <c r="A524" s="20"/>
      <c r="B524" s="69"/>
    </row>
    <row r="525" spans="1:2" s="4" customFormat="1" x14ac:dyDescent="0.3">
      <c r="A525" s="20"/>
      <c r="B525" s="69"/>
    </row>
    <row r="526" spans="1:2" s="4" customFormat="1" x14ac:dyDescent="0.3">
      <c r="A526" s="20"/>
      <c r="B526" s="69"/>
    </row>
    <row r="527" spans="1:2" s="4" customFormat="1" x14ac:dyDescent="0.3">
      <c r="A527" s="20"/>
      <c r="B527" s="69"/>
    </row>
    <row r="528" spans="1:2" s="4" customFormat="1" x14ac:dyDescent="0.3">
      <c r="A528" s="20"/>
      <c r="B528" s="69"/>
    </row>
    <row r="529" spans="1:2" s="4" customFormat="1" x14ac:dyDescent="0.3">
      <c r="A529" s="20"/>
      <c r="B529" s="69"/>
    </row>
    <row r="530" spans="1:2" s="4" customFormat="1" x14ac:dyDescent="0.3">
      <c r="A530" s="20"/>
      <c r="B530" s="69"/>
    </row>
    <row r="531" spans="1:2" s="4" customFormat="1" x14ac:dyDescent="0.3">
      <c r="A531" s="20"/>
      <c r="B531" s="69"/>
    </row>
    <row r="532" spans="1:2" s="4" customFormat="1" x14ac:dyDescent="0.3">
      <c r="A532" s="20"/>
      <c r="B532" s="69"/>
    </row>
    <row r="533" spans="1:2" s="4" customFormat="1" x14ac:dyDescent="0.3">
      <c r="A533" s="20"/>
      <c r="B533" s="69"/>
    </row>
    <row r="534" spans="1:2" s="4" customFormat="1" x14ac:dyDescent="0.3">
      <c r="A534" s="20"/>
      <c r="B534" s="69"/>
    </row>
    <row r="535" spans="1:2" s="4" customFormat="1" x14ac:dyDescent="0.3">
      <c r="A535" s="20"/>
      <c r="B535" s="69"/>
    </row>
    <row r="536" spans="1:2" s="4" customFormat="1" x14ac:dyDescent="0.3">
      <c r="A536" s="20"/>
      <c r="B536" s="69"/>
    </row>
    <row r="537" spans="1:2" s="4" customFormat="1" x14ac:dyDescent="0.3">
      <c r="A537" s="20"/>
      <c r="B537" s="69"/>
    </row>
    <row r="538" spans="1:2" s="4" customFormat="1" x14ac:dyDescent="0.3">
      <c r="A538" s="20"/>
      <c r="B538" s="69"/>
    </row>
    <row r="539" spans="1:2" s="4" customFormat="1" x14ac:dyDescent="0.3">
      <c r="A539" s="20"/>
      <c r="B539" s="69"/>
    </row>
    <row r="540" spans="1:2" s="4" customFormat="1" x14ac:dyDescent="0.3">
      <c r="A540" s="20"/>
      <c r="B540" s="69"/>
    </row>
    <row r="541" spans="1:2" s="4" customFormat="1" x14ac:dyDescent="0.3">
      <c r="A541" s="20"/>
      <c r="B541" s="69"/>
    </row>
    <row r="542" spans="1:2" s="4" customFormat="1" x14ac:dyDescent="0.3">
      <c r="A542" s="20"/>
      <c r="B542" s="69"/>
    </row>
    <row r="543" spans="1:2" s="4" customFormat="1" x14ac:dyDescent="0.3">
      <c r="A543" s="20"/>
      <c r="B543" s="69"/>
    </row>
    <row r="544" spans="1:2" s="4" customFormat="1" x14ac:dyDescent="0.3">
      <c r="A544" s="20"/>
      <c r="B544" s="69"/>
    </row>
    <row r="545" spans="1:2" s="4" customFormat="1" x14ac:dyDescent="0.3">
      <c r="A545" s="20"/>
      <c r="B545" s="69"/>
    </row>
    <row r="546" spans="1:2" s="4" customFormat="1" x14ac:dyDescent="0.3">
      <c r="A546" s="20"/>
      <c r="B546" s="69"/>
    </row>
    <row r="547" spans="1:2" s="4" customFormat="1" x14ac:dyDescent="0.3">
      <c r="A547" s="20"/>
      <c r="B547" s="69"/>
    </row>
    <row r="548" spans="1:2" s="4" customFormat="1" x14ac:dyDescent="0.3">
      <c r="A548" s="20"/>
      <c r="B548" s="69"/>
    </row>
    <row r="549" spans="1:2" s="4" customFormat="1" x14ac:dyDescent="0.3">
      <c r="A549" s="20"/>
      <c r="B549" s="69"/>
    </row>
    <row r="550" spans="1:2" s="4" customFormat="1" x14ac:dyDescent="0.3">
      <c r="A550" s="20"/>
      <c r="B550" s="69"/>
    </row>
    <row r="551" spans="1:2" s="4" customFormat="1" x14ac:dyDescent="0.3">
      <c r="A551" s="20"/>
      <c r="B551" s="69"/>
    </row>
    <row r="552" spans="1:2" s="4" customFormat="1" x14ac:dyDescent="0.3">
      <c r="A552" s="20"/>
      <c r="B552" s="69"/>
    </row>
    <row r="553" spans="1:2" s="4" customFormat="1" x14ac:dyDescent="0.3">
      <c r="A553" s="20"/>
      <c r="B553" s="69"/>
    </row>
    <row r="554" spans="1:2" s="4" customFormat="1" x14ac:dyDescent="0.3">
      <c r="A554" s="20"/>
      <c r="B554" s="69"/>
    </row>
    <row r="555" spans="1:2" s="4" customFormat="1" x14ac:dyDescent="0.3">
      <c r="A555" s="20"/>
      <c r="B555" s="69"/>
    </row>
    <row r="556" spans="1:2" s="4" customFormat="1" x14ac:dyDescent="0.3">
      <c r="A556" s="20"/>
      <c r="B556" s="69"/>
    </row>
    <row r="557" spans="1:2" s="4" customFormat="1" x14ac:dyDescent="0.3">
      <c r="A557" s="20"/>
      <c r="B557" s="69"/>
    </row>
    <row r="558" spans="1:2" s="4" customFormat="1" x14ac:dyDescent="0.3">
      <c r="A558" s="20"/>
      <c r="B558" s="69"/>
    </row>
    <row r="559" spans="1:2" s="4" customFormat="1" x14ac:dyDescent="0.3">
      <c r="A559" s="20"/>
      <c r="B559" s="69"/>
    </row>
    <row r="560" spans="1:2" s="4" customFormat="1" x14ac:dyDescent="0.3">
      <c r="A560" s="20"/>
      <c r="B560" s="69"/>
    </row>
    <row r="561" spans="1:2" s="4" customFormat="1" x14ac:dyDescent="0.3">
      <c r="A561" s="20"/>
      <c r="B561" s="69"/>
    </row>
    <row r="562" spans="1:2" s="4" customFormat="1" x14ac:dyDescent="0.3">
      <c r="A562" s="20"/>
      <c r="B562" s="69"/>
    </row>
    <row r="563" spans="1:2" s="4" customFormat="1" x14ac:dyDescent="0.3">
      <c r="A563" s="20"/>
      <c r="B563" s="69"/>
    </row>
    <row r="564" spans="1:2" s="4" customFormat="1" x14ac:dyDescent="0.3">
      <c r="A564" s="20"/>
      <c r="B564" s="69"/>
    </row>
    <row r="565" spans="1:2" s="4" customFormat="1" x14ac:dyDescent="0.3">
      <c r="A565" s="20"/>
      <c r="B565" s="69"/>
    </row>
    <row r="566" spans="1:2" s="4" customFormat="1" x14ac:dyDescent="0.3">
      <c r="A566" s="20"/>
      <c r="B566" s="69"/>
    </row>
    <row r="567" spans="1:2" s="4" customFormat="1" x14ac:dyDescent="0.3">
      <c r="A567" s="20"/>
      <c r="B567" s="69"/>
    </row>
    <row r="568" spans="1:2" s="4" customFormat="1" x14ac:dyDescent="0.3">
      <c r="A568" s="20"/>
      <c r="B568" s="69"/>
    </row>
    <row r="569" spans="1:2" s="4" customFormat="1" x14ac:dyDescent="0.3">
      <c r="A569" s="20"/>
      <c r="B569" s="69"/>
    </row>
    <row r="570" spans="1:2" s="4" customFormat="1" x14ac:dyDescent="0.3">
      <c r="A570" s="20"/>
      <c r="B570" s="69"/>
    </row>
    <row r="571" spans="1:2" s="4" customFormat="1" x14ac:dyDescent="0.3">
      <c r="A571" s="20"/>
      <c r="B571" s="69"/>
    </row>
    <row r="572" spans="1:2" s="4" customFormat="1" x14ac:dyDescent="0.3">
      <c r="A572" s="20"/>
      <c r="B572" s="69"/>
    </row>
    <row r="573" spans="1:2" s="4" customFormat="1" x14ac:dyDescent="0.3">
      <c r="A573" s="20"/>
      <c r="B573" s="69"/>
    </row>
    <row r="574" spans="1:2" s="4" customFormat="1" x14ac:dyDescent="0.3">
      <c r="A574" s="20"/>
      <c r="B574" s="69"/>
    </row>
    <row r="575" spans="1:2" s="4" customFormat="1" x14ac:dyDescent="0.3">
      <c r="A575" s="20"/>
      <c r="B575" s="69"/>
    </row>
    <row r="576" spans="1:2" s="4" customFormat="1" x14ac:dyDescent="0.3">
      <c r="A576" s="20"/>
      <c r="B576" s="69"/>
    </row>
    <row r="577" spans="1:2" s="4" customFormat="1" x14ac:dyDescent="0.3">
      <c r="A577" s="20"/>
      <c r="B577" s="69"/>
    </row>
    <row r="578" spans="1:2" s="4" customFormat="1" x14ac:dyDescent="0.3">
      <c r="A578" s="20"/>
      <c r="B578" s="69"/>
    </row>
    <row r="579" spans="1:2" s="4" customFormat="1" x14ac:dyDescent="0.3">
      <c r="A579" s="20"/>
      <c r="B579" s="69"/>
    </row>
    <row r="580" spans="1:2" s="4" customFormat="1" x14ac:dyDescent="0.3">
      <c r="A580" s="20"/>
      <c r="B580" s="69"/>
    </row>
    <row r="581" spans="1:2" s="4" customFormat="1" x14ac:dyDescent="0.3">
      <c r="A581" s="20"/>
      <c r="B581" s="69"/>
    </row>
    <row r="582" spans="1:2" s="4" customFormat="1" x14ac:dyDescent="0.3">
      <c r="A582" s="20"/>
      <c r="B582" s="69"/>
    </row>
    <row r="583" spans="1:2" s="4" customFormat="1" x14ac:dyDescent="0.3">
      <c r="A583" s="20"/>
      <c r="B583" s="69"/>
    </row>
    <row r="584" spans="1:2" s="4" customFormat="1" x14ac:dyDescent="0.3">
      <c r="A584" s="20"/>
      <c r="B584" s="69"/>
    </row>
    <row r="585" spans="1:2" s="4" customFormat="1" x14ac:dyDescent="0.3">
      <c r="A585" s="20"/>
      <c r="B585" s="69"/>
    </row>
    <row r="586" spans="1:2" s="4" customFormat="1" x14ac:dyDescent="0.3">
      <c r="A586" s="20"/>
      <c r="B586" s="69"/>
    </row>
    <row r="587" spans="1:2" s="4" customFormat="1" x14ac:dyDescent="0.3">
      <c r="A587" s="20"/>
      <c r="B587" s="69"/>
    </row>
    <row r="588" spans="1:2" s="4" customFormat="1" x14ac:dyDescent="0.3">
      <c r="A588" s="20"/>
      <c r="B588" s="69"/>
    </row>
    <row r="589" spans="1:2" s="4" customFormat="1" x14ac:dyDescent="0.3">
      <c r="A589" s="20"/>
      <c r="B589" s="69"/>
    </row>
    <row r="590" spans="1:2" s="4" customFormat="1" x14ac:dyDescent="0.3">
      <c r="A590" s="20"/>
      <c r="B590" s="69"/>
    </row>
    <row r="591" spans="1:2" s="4" customFormat="1" x14ac:dyDescent="0.3">
      <c r="A591" s="20"/>
      <c r="B591" s="69"/>
    </row>
    <row r="592" spans="1:2" s="4" customFormat="1" x14ac:dyDescent="0.3">
      <c r="A592" s="20"/>
      <c r="B592" s="69"/>
    </row>
    <row r="593" spans="1:2" s="4" customFormat="1" x14ac:dyDescent="0.3">
      <c r="A593" s="20"/>
      <c r="B593" s="69"/>
    </row>
    <row r="594" spans="1:2" s="4" customFormat="1" x14ac:dyDescent="0.3">
      <c r="A594" s="20"/>
      <c r="B594" s="69"/>
    </row>
    <row r="595" spans="1:2" s="4" customFormat="1" x14ac:dyDescent="0.3">
      <c r="A595" s="20"/>
      <c r="B595" s="69"/>
    </row>
    <row r="596" spans="1:2" s="4" customFormat="1" x14ac:dyDescent="0.3">
      <c r="A596" s="20"/>
      <c r="B596" s="69"/>
    </row>
    <row r="597" spans="1:2" s="4" customFormat="1" x14ac:dyDescent="0.3">
      <c r="A597" s="20"/>
      <c r="B597" s="69"/>
    </row>
    <row r="598" spans="1:2" s="4" customFormat="1" x14ac:dyDescent="0.3">
      <c r="A598" s="20"/>
      <c r="B598" s="69"/>
    </row>
    <row r="599" spans="1:2" s="4" customFormat="1" x14ac:dyDescent="0.3">
      <c r="A599" s="20"/>
      <c r="B599" s="69"/>
    </row>
    <row r="600" spans="1:2" s="4" customFormat="1" x14ac:dyDescent="0.3">
      <c r="A600" s="20"/>
      <c r="B600" s="69"/>
    </row>
    <row r="601" spans="1:2" s="4" customFormat="1" x14ac:dyDescent="0.3">
      <c r="A601" s="20"/>
      <c r="B601" s="69"/>
    </row>
    <row r="602" spans="1:2" s="4" customFormat="1" x14ac:dyDescent="0.3">
      <c r="A602" s="20"/>
      <c r="B602" s="69"/>
    </row>
    <row r="603" spans="1:2" s="4" customFormat="1" x14ac:dyDescent="0.3">
      <c r="A603" s="20"/>
      <c r="B603" s="69"/>
    </row>
    <row r="604" spans="1:2" s="4" customFormat="1" x14ac:dyDescent="0.3">
      <c r="A604" s="20"/>
      <c r="B604" s="69"/>
    </row>
    <row r="605" spans="1:2" s="4" customFormat="1" x14ac:dyDescent="0.3">
      <c r="A605" s="20"/>
      <c r="B605" s="69"/>
    </row>
    <row r="606" spans="1:2" s="4" customFormat="1" x14ac:dyDescent="0.3">
      <c r="A606" s="20"/>
      <c r="B606" s="69"/>
    </row>
    <row r="607" spans="1:2" s="4" customFormat="1" x14ac:dyDescent="0.3">
      <c r="A607" s="20"/>
      <c r="B607" s="69"/>
    </row>
    <row r="608" spans="1:2" s="4" customFormat="1" x14ac:dyDescent="0.3">
      <c r="A608" s="20"/>
      <c r="B608" s="69"/>
    </row>
    <row r="609" spans="1:2" s="4" customFormat="1" x14ac:dyDescent="0.3">
      <c r="A609" s="20"/>
      <c r="B609" s="69"/>
    </row>
    <row r="610" spans="1:2" s="4" customFormat="1" x14ac:dyDescent="0.3">
      <c r="A610" s="20"/>
      <c r="B610" s="69"/>
    </row>
    <row r="611" spans="1:2" s="4" customFormat="1" x14ac:dyDescent="0.3">
      <c r="A611" s="20"/>
      <c r="B611" s="69"/>
    </row>
    <row r="612" spans="1:2" s="4" customFormat="1" x14ac:dyDescent="0.3">
      <c r="A612" s="20"/>
      <c r="B612" s="69"/>
    </row>
    <row r="613" spans="1:2" s="4" customFormat="1" x14ac:dyDescent="0.3">
      <c r="A613" s="20"/>
      <c r="B613" s="69"/>
    </row>
    <row r="614" spans="1:2" s="4" customFormat="1" x14ac:dyDescent="0.3">
      <c r="A614" s="20"/>
      <c r="B614" s="69"/>
    </row>
    <row r="615" spans="1:2" s="4" customFormat="1" x14ac:dyDescent="0.3">
      <c r="A615" s="20"/>
      <c r="B615" s="69"/>
    </row>
    <row r="616" spans="1:2" s="4" customFormat="1" x14ac:dyDescent="0.3">
      <c r="A616" s="20"/>
      <c r="B616" s="69"/>
    </row>
    <row r="617" spans="1:2" s="4" customFormat="1" x14ac:dyDescent="0.3">
      <c r="A617" s="20"/>
      <c r="B617" s="69"/>
    </row>
    <row r="618" spans="1:2" s="4" customFormat="1" x14ac:dyDescent="0.3">
      <c r="A618" s="20"/>
      <c r="B618" s="69"/>
    </row>
    <row r="619" spans="1:2" s="4" customFormat="1" x14ac:dyDescent="0.3">
      <c r="A619" s="20"/>
      <c r="B619" s="69"/>
    </row>
    <row r="620" spans="1:2" s="4" customFormat="1" x14ac:dyDescent="0.3">
      <c r="A620" s="20"/>
      <c r="B620" s="69"/>
    </row>
    <row r="621" spans="1:2" s="4" customFormat="1" x14ac:dyDescent="0.3">
      <c r="A621" s="20"/>
      <c r="B621" s="69"/>
    </row>
    <row r="622" spans="1:2" s="4" customFormat="1" x14ac:dyDescent="0.3">
      <c r="A622" s="20"/>
      <c r="B622" s="69"/>
    </row>
    <row r="623" spans="1:2" s="4" customFormat="1" x14ac:dyDescent="0.3">
      <c r="A623" s="20"/>
      <c r="B623" s="69"/>
    </row>
    <row r="624" spans="1:2" s="4" customFormat="1" x14ac:dyDescent="0.3">
      <c r="A624" s="20"/>
      <c r="B624" s="69"/>
    </row>
    <row r="625" spans="1:2" s="4" customFormat="1" x14ac:dyDescent="0.3">
      <c r="A625" s="20"/>
      <c r="B625" s="69"/>
    </row>
    <row r="626" spans="1:2" s="4" customFormat="1" x14ac:dyDescent="0.3">
      <c r="A626" s="20"/>
      <c r="B626" s="69"/>
    </row>
    <row r="627" spans="1:2" s="4" customFormat="1" x14ac:dyDescent="0.3">
      <c r="A627" s="20"/>
      <c r="B627" s="69"/>
    </row>
    <row r="628" spans="1:2" s="4" customFormat="1" x14ac:dyDescent="0.3">
      <c r="A628" s="20"/>
      <c r="B628" s="69"/>
    </row>
    <row r="629" spans="1:2" s="4" customFormat="1" x14ac:dyDescent="0.3">
      <c r="A629" s="20"/>
      <c r="B629" s="69"/>
    </row>
    <row r="630" spans="1:2" s="4" customFormat="1" x14ac:dyDescent="0.3">
      <c r="A630" s="20"/>
      <c r="B630" s="69"/>
    </row>
    <row r="631" spans="1:2" s="4" customFormat="1" x14ac:dyDescent="0.3">
      <c r="A631" s="20"/>
      <c r="B631" s="69"/>
    </row>
    <row r="632" spans="1:2" s="4" customFormat="1" x14ac:dyDescent="0.3">
      <c r="A632" s="20"/>
      <c r="B632" s="69"/>
    </row>
    <row r="633" spans="1:2" s="4" customFormat="1" x14ac:dyDescent="0.3">
      <c r="A633" s="20"/>
      <c r="B633" s="69"/>
    </row>
    <row r="634" spans="1:2" s="4" customFormat="1" x14ac:dyDescent="0.3">
      <c r="A634" s="20"/>
      <c r="B634" s="69"/>
    </row>
    <row r="635" spans="1:2" s="4" customFormat="1" x14ac:dyDescent="0.3">
      <c r="A635" s="20"/>
      <c r="B635" s="69"/>
    </row>
    <row r="636" spans="1:2" s="4" customFormat="1" x14ac:dyDescent="0.3">
      <c r="A636" s="20"/>
      <c r="B636" s="69"/>
    </row>
    <row r="637" spans="1:2" s="4" customFormat="1" x14ac:dyDescent="0.3">
      <c r="A637" s="20"/>
      <c r="B637" s="69"/>
    </row>
    <row r="638" spans="1:2" s="4" customFormat="1" x14ac:dyDescent="0.3">
      <c r="A638" s="20"/>
      <c r="B638" s="69"/>
    </row>
    <row r="639" spans="1:2" s="4" customFormat="1" x14ac:dyDescent="0.3">
      <c r="A639" s="20"/>
      <c r="B639" s="69"/>
    </row>
    <row r="640" spans="1:2" s="4" customFormat="1" x14ac:dyDescent="0.3">
      <c r="A640" s="20"/>
      <c r="B640" s="69"/>
    </row>
    <row r="641" spans="1:2" s="4" customFormat="1" x14ac:dyDescent="0.3">
      <c r="A641" s="20"/>
      <c r="B641" s="69"/>
    </row>
    <row r="642" spans="1:2" s="4" customFormat="1" x14ac:dyDescent="0.3">
      <c r="A642" s="20"/>
      <c r="B642" s="69"/>
    </row>
    <row r="643" spans="1:2" s="4" customFormat="1" x14ac:dyDescent="0.3">
      <c r="A643" s="20"/>
      <c r="B643" s="69"/>
    </row>
    <row r="644" spans="1:2" s="4" customFormat="1" x14ac:dyDescent="0.3">
      <c r="A644" s="20"/>
      <c r="B644" s="69"/>
    </row>
    <row r="645" spans="1:2" s="4" customFormat="1" x14ac:dyDescent="0.3">
      <c r="A645" s="20"/>
      <c r="B645" s="69"/>
    </row>
    <row r="646" spans="1:2" s="4" customFormat="1" x14ac:dyDescent="0.3">
      <c r="A646" s="20"/>
      <c r="B646" s="69"/>
    </row>
    <row r="647" spans="1:2" s="4" customFormat="1" x14ac:dyDescent="0.3">
      <c r="A647" s="20"/>
      <c r="B647" s="69"/>
    </row>
    <row r="648" spans="1:2" s="4" customFormat="1" x14ac:dyDescent="0.3">
      <c r="A648" s="20"/>
      <c r="B648" s="69"/>
    </row>
    <row r="649" spans="1:2" s="4" customFormat="1" x14ac:dyDescent="0.3">
      <c r="A649" s="20"/>
      <c r="B649" s="69"/>
    </row>
    <row r="650" spans="1:2" s="4" customFormat="1" x14ac:dyDescent="0.3">
      <c r="A650" s="20"/>
      <c r="B650" s="69"/>
    </row>
    <row r="651" spans="1:2" s="4" customFormat="1" x14ac:dyDescent="0.3">
      <c r="A651" s="20"/>
      <c r="B651" s="69"/>
    </row>
    <row r="652" spans="1:2" s="4" customFormat="1" x14ac:dyDescent="0.3">
      <c r="A652" s="20"/>
      <c r="B652" s="69"/>
    </row>
    <row r="653" spans="1:2" s="4" customFormat="1" x14ac:dyDescent="0.3">
      <c r="A653" s="20"/>
      <c r="B653" s="69"/>
    </row>
    <row r="654" spans="1:2" s="4" customFormat="1" x14ac:dyDescent="0.3">
      <c r="A654" s="20"/>
      <c r="B654" s="69"/>
    </row>
    <row r="655" spans="1:2" s="4" customFormat="1" x14ac:dyDescent="0.3">
      <c r="A655" s="20"/>
      <c r="B655" s="69"/>
    </row>
    <row r="656" spans="1:2" s="4" customFormat="1" x14ac:dyDescent="0.3">
      <c r="A656" s="20"/>
      <c r="B656" s="69"/>
    </row>
    <row r="657" spans="1:2" s="4" customFormat="1" x14ac:dyDescent="0.3">
      <c r="A657" s="20"/>
      <c r="B657" s="69"/>
    </row>
    <row r="658" spans="1:2" s="4" customFormat="1" x14ac:dyDescent="0.3">
      <c r="A658" s="20"/>
      <c r="B658" s="69"/>
    </row>
    <row r="659" spans="1:2" s="4" customFormat="1" x14ac:dyDescent="0.3">
      <c r="A659" s="20"/>
      <c r="B659" s="69"/>
    </row>
    <row r="660" spans="1:2" s="4" customFormat="1" x14ac:dyDescent="0.3">
      <c r="A660" s="20"/>
      <c r="B660" s="69"/>
    </row>
    <row r="661" spans="1:2" s="4" customFormat="1" x14ac:dyDescent="0.3">
      <c r="A661" s="20"/>
      <c r="B661" s="69"/>
    </row>
    <row r="662" spans="1:2" s="4" customFormat="1" x14ac:dyDescent="0.3">
      <c r="A662" s="20"/>
      <c r="B662" s="69"/>
    </row>
    <row r="663" spans="1:2" s="4" customFormat="1" x14ac:dyDescent="0.3">
      <c r="A663" s="20"/>
      <c r="B663" s="69"/>
    </row>
    <row r="664" spans="1:2" s="4" customFormat="1" x14ac:dyDescent="0.3">
      <c r="A664" s="20"/>
      <c r="B664" s="69"/>
    </row>
    <row r="665" spans="1:2" s="4" customFormat="1" x14ac:dyDescent="0.3">
      <c r="A665" s="20"/>
      <c r="B665" s="69"/>
    </row>
    <row r="666" spans="1:2" s="4" customFormat="1" x14ac:dyDescent="0.3">
      <c r="A666" s="20"/>
      <c r="B666" s="69"/>
    </row>
    <row r="667" spans="1:2" s="4" customFormat="1" x14ac:dyDescent="0.3">
      <c r="A667" s="20"/>
      <c r="B667" s="69"/>
    </row>
    <row r="668" spans="1:2" s="4" customFormat="1" x14ac:dyDescent="0.3">
      <c r="A668" s="20"/>
      <c r="B668" s="69"/>
    </row>
    <row r="669" spans="1:2" s="4" customFormat="1" x14ac:dyDescent="0.3">
      <c r="A669" s="20"/>
      <c r="B669" s="69"/>
    </row>
    <row r="670" spans="1:2" s="4" customFormat="1" x14ac:dyDescent="0.3">
      <c r="A670" s="20"/>
      <c r="B670" s="69"/>
    </row>
    <row r="671" spans="1:2" s="4" customFormat="1" x14ac:dyDescent="0.3">
      <c r="A671" s="20"/>
      <c r="B671" s="69"/>
    </row>
    <row r="672" spans="1:2" s="4" customFormat="1" x14ac:dyDescent="0.3">
      <c r="A672" s="20"/>
      <c r="B672" s="69"/>
    </row>
    <row r="673" spans="1:2" s="4" customFormat="1" x14ac:dyDescent="0.3">
      <c r="A673" s="20"/>
      <c r="B673" s="69"/>
    </row>
    <row r="674" spans="1:2" s="4" customFormat="1" x14ac:dyDescent="0.3">
      <c r="A674" s="20"/>
      <c r="B674" s="69"/>
    </row>
    <row r="675" spans="1:2" s="4" customFormat="1" x14ac:dyDescent="0.3">
      <c r="A675" s="20"/>
      <c r="B675" s="69"/>
    </row>
    <row r="676" spans="1:2" s="4" customFormat="1" x14ac:dyDescent="0.3">
      <c r="A676" s="20"/>
      <c r="B676" s="69"/>
    </row>
    <row r="677" spans="1:2" s="4" customFormat="1" x14ac:dyDescent="0.3">
      <c r="A677" s="20"/>
      <c r="B677" s="69"/>
    </row>
    <row r="678" spans="1:2" s="4" customFormat="1" x14ac:dyDescent="0.3">
      <c r="A678" s="20"/>
      <c r="B678" s="69"/>
    </row>
    <row r="679" spans="1:2" s="4" customFormat="1" x14ac:dyDescent="0.3">
      <c r="A679" s="20"/>
      <c r="B679" s="69"/>
    </row>
    <row r="680" spans="1:2" s="4" customFormat="1" x14ac:dyDescent="0.3">
      <c r="A680" s="20"/>
      <c r="B680" s="69"/>
    </row>
    <row r="681" spans="1:2" s="4" customFormat="1" x14ac:dyDescent="0.3">
      <c r="A681" s="20"/>
      <c r="B681" s="69"/>
    </row>
    <row r="682" spans="1:2" s="4" customFormat="1" x14ac:dyDescent="0.3">
      <c r="A682" s="20"/>
      <c r="B682" s="69"/>
    </row>
    <row r="683" spans="1:2" s="4" customFormat="1" x14ac:dyDescent="0.3">
      <c r="A683" s="20"/>
      <c r="B683" s="69"/>
    </row>
    <row r="684" spans="1:2" s="4" customFormat="1" x14ac:dyDescent="0.3">
      <c r="A684" s="20"/>
      <c r="B684" s="69"/>
    </row>
    <row r="685" spans="1:2" s="4" customFormat="1" x14ac:dyDescent="0.3">
      <c r="A685" s="20"/>
      <c r="B685" s="69"/>
    </row>
    <row r="686" spans="1:2" s="4" customFormat="1" x14ac:dyDescent="0.3">
      <c r="A686" s="20"/>
      <c r="B686" s="69"/>
    </row>
    <row r="687" spans="1:2" s="4" customFormat="1" x14ac:dyDescent="0.3">
      <c r="A687" s="20"/>
      <c r="B687" s="69"/>
    </row>
    <row r="688" spans="1:2" s="4" customFormat="1" x14ac:dyDescent="0.3">
      <c r="A688" s="20"/>
      <c r="B688" s="69"/>
    </row>
    <row r="689" spans="1:2" s="4" customFormat="1" x14ac:dyDescent="0.3">
      <c r="A689" s="20"/>
      <c r="B689" s="69"/>
    </row>
    <row r="690" spans="1:2" s="4" customFormat="1" x14ac:dyDescent="0.3">
      <c r="A690" s="20"/>
      <c r="B690" s="69"/>
    </row>
    <row r="691" spans="1:2" s="4" customFormat="1" x14ac:dyDescent="0.3">
      <c r="A691" s="20"/>
      <c r="B691" s="69"/>
    </row>
    <row r="692" spans="1:2" s="4" customFormat="1" x14ac:dyDescent="0.3">
      <c r="A692" s="20"/>
      <c r="B692" s="69"/>
    </row>
    <row r="693" spans="1:2" s="4" customFormat="1" x14ac:dyDescent="0.3">
      <c r="A693" s="20"/>
      <c r="B693" s="69"/>
    </row>
    <row r="694" spans="1:2" s="4" customFormat="1" x14ac:dyDescent="0.3">
      <c r="A694" s="20"/>
      <c r="B694" s="69"/>
    </row>
    <row r="695" spans="1:2" s="4" customFormat="1" x14ac:dyDescent="0.3">
      <c r="A695" s="20"/>
      <c r="B695" s="69"/>
    </row>
    <row r="696" spans="1:2" s="4" customFormat="1" x14ac:dyDescent="0.3">
      <c r="A696" s="20"/>
      <c r="B696" s="69"/>
    </row>
    <row r="697" spans="1:2" s="4" customFormat="1" x14ac:dyDescent="0.3">
      <c r="A697" s="20"/>
      <c r="B697" s="69"/>
    </row>
    <row r="698" spans="1:2" s="4" customFormat="1" x14ac:dyDescent="0.3">
      <c r="A698" s="20"/>
      <c r="B698" s="69"/>
    </row>
    <row r="699" spans="1:2" s="4" customFormat="1" x14ac:dyDescent="0.3">
      <c r="A699" s="20"/>
      <c r="B699" s="69"/>
    </row>
    <row r="700" spans="1:2" s="4" customFormat="1" x14ac:dyDescent="0.3">
      <c r="A700" s="20"/>
      <c r="B700" s="69"/>
    </row>
    <row r="701" spans="1:2" s="4" customFormat="1" x14ac:dyDescent="0.3">
      <c r="A701" s="20"/>
      <c r="B701" s="69"/>
    </row>
    <row r="702" spans="1:2" s="4" customFormat="1" x14ac:dyDescent="0.3">
      <c r="A702" s="20"/>
      <c r="B702" s="69"/>
    </row>
    <row r="703" spans="1:2" s="4" customFormat="1" x14ac:dyDescent="0.3">
      <c r="A703" s="20"/>
      <c r="B703" s="69"/>
    </row>
    <row r="704" spans="1:2" s="4" customFormat="1" x14ac:dyDescent="0.3">
      <c r="A704" s="20"/>
      <c r="B704" s="69"/>
    </row>
    <row r="705" spans="1:2" s="4" customFormat="1" x14ac:dyDescent="0.3">
      <c r="A705" s="20"/>
      <c r="B705" s="69"/>
    </row>
    <row r="706" spans="1:2" s="4" customFormat="1" x14ac:dyDescent="0.3">
      <c r="A706" s="20"/>
      <c r="B706" s="69"/>
    </row>
    <row r="707" spans="1:2" s="4" customFormat="1" x14ac:dyDescent="0.3">
      <c r="A707" s="20"/>
      <c r="B707" s="69"/>
    </row>
    <row r="708" spans="1:2" s="4" customFormat="1" x14ac:dyDescent="0.3">
      <c r="A708" s="20"/>
      <c r="B708" s="69"/>
    </row>
    <row r="709" spans="1:2" s="4" customFormat="1" x14ac:dyDescent="0.3">
      <c r="A709" s="20"/>
      <c r="B709" s="69"/>
    </row>
    <row r="710" spans="1:2" s="4" customFormat="1" x14ac:dyDescent="0.3">
      <c r="A710" s="20"/>
      <c r="B710" s="69"/>
    </row>
    <row r="711" spans="1:2" s="4" customFormat="1" x14ac:dyDescent="0.3">
      <c r="A711" s="20"/>
      <c r="B711" s="69"/>
    </row>
    <row r="712" spans="1:2" s="4" customFormat="1" x14ac:dyDescent="0.3">
      <c r="A712" s="20"/>
      <c r="B712" s="69"/>
    </row>
    <row r="713" spans="1:2" s="4" customFormat="1" x14ac:dyDescent="0.3">
      <c r="A713" s="20"/>
      <c r="B713" s="69"/>
    </row>
    <row r="714" spans="1:2" s="4" customFormat="1" x14ac:dyDescent="0.3">
      <c r="A714" s="20"/>
      <c r="B714" s="69"/>
    </row>
    <row r="715" spans="1:2" s="4" customFormat="1" x14ac:dyDescent="0.3">
      <c r="A715" s="20"/>
      <c r="B715" s="69"/>
    </row>
    <row r="716" spans="1:2" s="4" customFormat="1" x14ac:dyDescent="0.3">
      <c r="A716" s="20"/>
      <c r="B716" s="69"/>
    </row>
    <row r="717" spans="1:2" s="4" customFormat="1" x14ac:dyDescent="0.3">
      <c r="A717" s="20"/>
      <c r="B717" s="69"/>
    </row>
    <row r="718" spans="1:2" s="4" customFormat="1" x14ac:dyDescent="0.3">
      <c r="A718" s="20"/>
      <c r="B718" s="69"/>
    </row>
    <row r="719" spans="1:2" s="4" customFormat="1" x14ac:dyDescent="0.3">
      <c r="A719" s="20"/>
      <c r="B719" s="69"/>
    </row>
    <row r="720" spans="1:2" s="4" customFormat="1" x14ac:dyDescent="0.3">
      <c r="A720" s="20"/>
      <c r="B720" s="69"/>
    </row>
    <row r="721" spans="1:2" s="4" customFormat="1" x14ac:dyDescent="0.3">
      <c r="A721" s="20"/>
      <c r="B721" s="69"/>
    </row>
    <row r="722" spans="1:2" s="4" customFormat="1" x14ac:dyDescent="0.3">
      <c r="A722" s="20"/>
      <c r="B722" s="69"/>
    </row>
    <row r="723" spans="1:2" s="4" customFormat="1" x14ac:dyDescent="0.3">
      <c r="A723" s="20"/>
      <c r="B723" s="69"/>
    </row>
    <row r="724" spans="1:2" s="4" customFormat="1" x14ac:dyDescent="0.3">
      <c r="A724" s="20"/>
      <c r="B724" s="69"/>
    </row>
    <row r="725" spans="1:2" s="4" customFormat="1" x14ac:dyDescent="0.3">
      <c r="A725" s="20"/>
      <c r="B725" s="69"/>
    </row>
    <row r="726" spans="1:2" s="4" customFormat="1" x14ac:dyDescent="0.3">
      <c r="A726" s="20"/>
      <c r="B726" s="69"/>
    </row>
    <row r="727" spans="1:2" s="4" customFormat="1" x14ac:dyDescent="0.3">
      <c r="A727" s="20"/>
      <c r="B727" s="69"/>
    </row>
    <row r="728" spans="1:2" s="4" customFormat="1" x14ac:dyDescent="0.3">
      <c r="A728" s="20"/>
      <c r="B728" s="69"/>
    </row>
    <row r="729" spans="1:2" s="4" customFormat="1" x14ac:dyDescent="0.3">
      <c r="A729" s="20"/>
      <c r="B729" s="69"/>
    </row>
    <row r="730" spans="1:2" s="4" customFormat="1" x14ac:dyDescent="0.3">
      <c r="A730" s="20"/>
      <c r="B730" s="69"/>
    </row>
    <row r="731" spans="1:2" s="4" customFormat="1" x14ac:dyDescent="0.3">
      <c r="A731" s="20"/>
      <c r="B731" s="69"/>
    </row>
    <row r="732" spans="1:2" s="4" customFormat="1" x14ac:dyDescent="0.3">
      <c r="A732" s="20"/>
      <c r="B732" s="69"/>
    </row>
    <row r="733" spans="1:2" s="4" customFormat="1" x14ac:dyDescent="0.3">
      <c r="A733" s="20"/>
      <c r="B733" s="69"/>
    </row>
    <row r="734" spans="1:2" s="4" customFormat="1" x14ac:dyDescent="0.3">
      <c r="A734" s="20"/>
      <c r="B734" s="69"/>
    </row>
    <row r="735" spans="1:2" s="4" customFormat="1" x14ac:dyDescent="0.3">
      <c r="A735" s="20"/>
      <c r="B735" s="69"/>
    </row>
    <row r="736" spans="1:2" s="4" customFormat="1" x14ac:dyDescent="0.3">
      <c r="A736" s="20"/>
      <c r="B736" s="69"/>
    </row>
    <row r="737" spans="1:2" s="4" customFormat="1" x14ac:dyDescent="0.3">
      <c r="A737" s="20"/>
      <c r="B737" s="69"/>
    </row>
    <row r="738" spans="1:2" s="4" customFormat="1" x14ac:dyDescent="0.3">
      <c r="A738" s="20"/>
      <c r="B738" s="69"/>
    </row>
    <row r="739" spans="1:2" s="4" customFormat="1" x14ac:dyDescent="0.3">
      <c r="A739" s="20"/>
      <c r="B739" s="69"/>
    </row>
    <row r="740" spans="1:2" s="4" customFormat="1" x14ac:dyDescent="0.3">
      <c r="A740" s="20"/>
      <c r="B740" s="69"/>
    </row>
    <row r="741" spans="1:2" s="4" customFormat="1" x14ac:dyDescent="0.3">
      <c r="A741" s="20"/>
      <c r="B741" s="69"/>
    </row>
    <row r="742" spans="1:2" s="4" customFormat="1" x14ac:dyDescent="0.3">
      <c r="A742" s="20"/>
      <c r="B742" s="69"/>
    </row>
    <row r="743" spans="1:2" s="4" customFormat="1" x14ac:dyDescent="0.3">
      <c r="A743" s="20"/>
      <c r="B743" s="69"/>
    </row>
    <row r="744" spans="1:2" s="4" customFormat="1" x14ac:dyDescent="0.3">
      <c r="A744" s="20"/>
      <c r="B744" s="69"/>
    </row>
    <row r="745" spans="1:2" s="4" customFormat="1" x14ac:dyDescent="0.3">
      <c r="A745" s="20"/>
      <c r="B745" s="69"/>
    </row>
    <row r="746" spans="1:2" s="4" customFormat="1" x14ac:dyDescent="0.3">
      <c r="A746" s="20"/>
      <c r="B746" s="69"/>
    </row>
    <row r="747" spans="1:2" s="4" customFormat="1" x14ac:dyDescent="0.3">
      <c r="A747" s="20"/>
      <c r="B747" s="69"/>
    </row>
    <row r="748" spans="1:2" s="4" customFormat="1" x14ac:dyDescent="0.3">
      <c r="A748" s="20"/>
      <c r="B748" s="69"/>
    </row>
    <row r="749" spans="1:2" s="4" customFormat="1" x14ac:dyDescent="0.3">
      <c r="A749" s="20"/>
      <c r="B749" s="69"/>
    </row>
    <row r="750" spans="1:2" s="4" customFormat="1" x14ac:dyDescent="0.3">
      <c r="A750" s="20"/>
      <c r="B750" s="69"/>
    </row>
    <row r="751" spans="1:2" s="4" customFormat="1" x14ac:dyDescent="0.3">
      <c r="A751" s="20"/>
      <c r="B751" s="69"/>
    </row>
    <row r="752" spans="1:2" s="4" customFormat="1" x14ac:dyDescent="0.3">
      <c r="A752" s="20"/>
      <c r="B752" s="69"/>
    </row>
    <row r="753" spans="1:2" s="4" customFormat="1" x14ac:dyDescent="0.3">
      <c r="A753" s="20"/>
      <c r="B753" s="69"/>
    </row>
    <row r="754" spans="1:2" s="4" customFormat="1" x14ac:dyDescent="0.3">
      <c r="A754" s="20"/>
      <c r="B754" s="69"/>
    </row>
    <row r="755" spans="1:2" s="4" customFormat="1" x14ac:dyDescent="0.3">
      <c r="A755" s="20"/>
      <c r="B755" s="69"/>
    </row>
    <row r="756" spans="1:2" s="4" customFormat="1" x14ac:dyDescent="0.3">
      <c r="A756" s="20"/>
      <c r="B756" s="69"/>
    </row>
    <row r="757" spans="1:2" s="4" customFormat="1" x14ac:dyDescent="0.3">
      <c r="A757" s="20"/>
      <c r="B757" s="69"/>
    </row>
    <row r="758" spans="1:2" s="4" customFormat="1" x14ac:dyDescent="0.3">
      <c r="A758" s="20"/>
      <c r="B758" s="69"/>
    </row>
    <row r="759" spans="1:2" s="4" customFormat="1" x14ac:dyDescent="0.3">
      <c r="A759" s="20"/>
      <c r="B759" s="69"/>
    </row>
    <row r="760" spans="1:2" s="4" customFormat="1" x14ac:dyDescent="0.3">
      <c r="A760" s="20"/>
      <c r="B760" s="69"/>
    </row>
    <row r="761" spans="1:2" s="4" customFormat="1" x14ac:dyDescent="0.3">
      <c r="A761" s="20"/>
      <c r="B761" s="69"/>
    </row>
    <row r="762" spans="1:2" s="4" customFormat="1" x14ac:dyDescent="0.3">
      <c r="A762" s="20"/>
      <c r="B762" s="69"/>
    </row>
    <row r="763" spans="1:2" s="4" customFormat="1" x14ac:dyDescent="0.3">
      <c r="A763" s="20"/>
      <c r="B763" s="69"/>
    </row>
    <row r="764" spans="1:2" s="4" customFormat="1" x14ac:dyDescent="0.3">
      <c r="A764" s="20"/>
      <c r="B764" s="69"/>
    </row>
    <row r="765" spans="1:2" s="4" customFormat="1" x14ac:dyDescent="0.3">
      <c r="A765" s="20"/>
      <c r="B765" s="69"/>
    </row>
    <row r="766" spans="1:2" s="4" customFormat="1" x14ac:dyDescent="0.3">
      <c r="A766" s="20"/>
      <c r="B766" s="69"/>
    </row>
    <row r="767" spans="1:2" s="4" customFormat="1" x14ac:dyDescent="0.3">
      <c r="A767" s="20"/>
      <c r="B767" s="69"/>
    </row>
    <row r="768" spans="1:2" s="4" customFormat="1" x14ac:dyDescent="0.3">
      <c r="A768" s="20"/>
      <c r="B768" s="69"/>
    </row>
    <row r="769" spans="1:2" s="4" customFormat="1" x14ac:dyDescent="0.3">
      <c r="A769" s="20"/>
      <c r="B769" s="69"/>
    </row>
    <row r="770" spans="1:2" s="4" customFormat="1" x14ac:dyDescent="0.3">
      <c r="A770" s="20"/>
      <c r="B770" s="69"/>
    </row>
    <row r="771" spans="1:2" s="4" customFormat="1" x14ac:dyDescent="0.3">
      <c r="A771" s="20"/>
      <c r="B771" s="69"/>
    </row>
    <row r="772" spans="1:2" s="4" customFormat="1" x14ac:dyDescent="0.3">
      <c r="A772" s="20"/>
      <c r="B772" s="69"/>
    </row>
    <row r="773" spans="1:2" s="4" customFormat="1" x14ac:dyDescent="0.3">
      <c r="A773" s="20"/>
      <c r="B773" s="69"/>
    </row>
    <row r="774" spans="1:2" s="4" customFormat="1" x14ac:dyDescent="0.3">
      <c r="A774" s="20"/>
      <c r="B774" s="69"/>
    </row>
    <row r="775" spans="1:2" s="4" customFormat="1" x14ac:dyDescent="0.3">
      <c r="A775" s="20"/>
      <c r="B775" s="69"/>
    </row>
    <row r="776" spans="1:2" s="4" customFormat="1" x14ac:dyDescent="0.3">
      <c r="A776" s="20"/>
      <c r="B776" s="69"/>
    </row>
    <row r="777" spans="1:2" s="4" customFormat="1" x14ac:dyDescent="0.3">
      <c r="A777" s="20"/>
      <c r="B777" s="69"/>
    </row>
    <row r="778" spans="1:2" s="4" customFormat="1" x14ac:dyDescent="0.3">
      <c r="A778" s="20"/>
      <c r="B778" s="69"/>
    </row>
    <row r="779" spans="1:2" s="4" customFormat="1" x14ac:dyDescent="0.3">
      <c r="A779" s="20"/>
      <c r="B779" s="69"/>
    </row>
    <row r="780" spans="1:2" s="4" customFormat="1" x14ac:dyDescent="0.3">
      <c r="A780" s="20"/>
      <c r="B780" s="69"/>
    </row>
    <row r="781" spans="1:2" s="4" customFormat="1" x14ac:dyDescent="0.3">
      <c r="A781" s="20"/>
      <c r="B781" s="69"/>
    </row>
    <row r="782" spans="1:2" s="4" customFormat="1" x14ac:dyDescent="0.3">
      <c r="A782" s="20"/>
      <c r="B782" s="69"/>
    </row>
    <row r="783" spans="1:2" s="4" customFormat="1" x14ac:dyDescent="0.3">
      <c r="A783" s="20"/>
      <c r="B783" s="69"/>
    </row>
    <row r="784" spans="1:2" s="4" customFormat="1" x14ac:dyDescent="0.3">
      <c r="A784" s="20"/>
      <c r="B784" s="69"/>
    </row>
    <row r="785" spans="1:2" s="4" customFormat="1" x14ac:dyDescent="0.3">
      <c r="A785" s="20"/>
      <c r="B785" s="69"/>
    </row>
    <row r="786" spans="1:2" s="4" customFormat="1" x14ac:dyDescent="0.3">
      <c r="A786" s="20"/>
      <c r="B786" s="69"/>
    </row>
    <row r="787" spans="1:2" s="4" customFormat="1" x14ac:dyDescent="0.3">
      <c r="A787" s="20"/>
      <c r="B787" s="69"/>
    </row>
    <row r="788" spans="1:2" s="4" customFormat="1" x14ac:dyDescent="0.3">
      <c r="A788" s="20"/>
      <c r="B788" s="69"/>
    </row>
    <row r="789" spans="1:2" s="4" customFormat="1" x14ac:dyDescent="0.3">
      <c r="A789" s="20"/>
      <c r="B789" s="69"/>
    </row>
    <row r="790" spans="1:2" s="4" customFormat="1" x14ac:dyDescent="0.3">
      <c r="A790" s="20"/>
      <c r="B790" s="69"/>
    </row>
    <row r="791" spans="1:2" s="4" customFormat="1" x14ac:dyDescent="0.3">
      <c r="A791" s="20"/>
      <c r="B791" s="69"/>
    </row>
    <row r="792" spans="1:2" s="4" customFormat="1" x14ac:dyDescent="0.3">
      <c r="A792" s="20"/>
      <c r="B792" s="69"/>
    </row>
    <row r="793" spans="1:2" s="4" customFormat="1" x14ac:dyDescent="0.3">
      <c r="A793" s="20"/>
      <c r="B793" s="69"/>
    </row>
    <row r="794" spans="1:2" s="4" customFormat="1" x14ac:dyDescent="0.3">
      <c r="A794" s="20"/>
      <c r="B794" s="69"/>
    </row>
    <row r="795" spans="1:2" s="4" customFormat="1" x14ac:dyDescent="0.3">
      <c r="A795" s="20"/>
      <c r="B795" s="69"/>
    </row>
    <row r="796" spans="1:2" s="4" customFormat="1" x14ac:dyDescent="0.3">
      <c r="A796" s="20"/>
      <c r="B796" s="69"/>
    </row>
    <row r="797" spans="1:2" s="4" customFormat="1" x14ac:dyDescent="0.3">
      <c r="A797" s="20"/>
      <c r="B797" s="69"/>
    </row>
    <row r="798" spans="1:2" s="4" customFormat="1" x14ac:dyDescent="0.3">
      <c r="A798" s="20"/>
      <c r="B798" s="69"/>
    </row>
    <row r="799" spans="1:2" s="4" customFormat="1" x14ac:dyDescent="0.3">
      <c r="A799" s="20"/>
      <c r="B799" s="69"/>
    </row>
    <row r="800" spans="1:2" s="4" customFormat="1" x14ac:dyDescent="0.3">
      <c r="A800" s="20"/>
      <c r="B800" s="69"/>
    </row>
    <row r="801" spans="1:2" s="4" customFormat="1" x14ac:dyDescent="0.3">
      <c r="A801" s="20"/>
      <c r="B801" s="69"/>
    </row>
    <row r="802" spans="1:2" s="4" customFormat="1" x14ac:dyDescent="0.3">
      <c r="A802" s="20"/>
      <c r="B802" s="69"/>
    </row>
    <row r="803" spans="1:2" s="4" customFormat="1" x14ac:dyDescent="0.3">
      <c r="A803" s="20"/>
      <c r="B803" s="69"/>
    </row>
    <row r="804" spans="1:2" s="4" customFormat="1" x14ac:dyDescent="0.3">
      <c r="A804" s="20"/>
      <c r="B804" s="69"/>
    </row>
    <row r="805" spans="1:2" s="4" customFormat="1" x14ac:dyDescent="0.3">
      <c r="A805" s="20"/>
      <c r="B805" s="69"/>
    </row>
    <row r="806" spans="1:2" s="4" customFormat="1" x14ac:dyDescent="0.3">
      <c r="A806" s="20"/>
      <c r="B806" s="69"/>
    </row>
    <row r="807" spans="1:2" s="4" customFormat="1" x14ac:dyDescent="0.3">
      <c r="A807" s="20"/>
      <c r="B807" s="69"/>
    </row>
    <row r="808" spans="1:2" s="4" customFormat="1" x14ac:dyDescent="0.3">
      <c r="A808" s="20"/>
      <c r="B808" s="69"/>
    </row>
    <row r="809" spans="1:2" s="4" customFormat="1" x14ac:dyDescent="0.3">
      <c r="A809" s="20"/>
      <c r="B809" s="69"/>
    </row>
    <row r="810" spans="1:2" s="4" customFormat="1" x14ac:dyDescent="0.3">
      <c r="A810" s="20"/>
      <c r="B810" s="69"/>
    </row>
    <row r="811" spans="1:2" s="4" customFormat="1" x14ac:dyDescent="0.3">
      <c r="A811" s="20"/>
      <c r="B811" s="69"/>
    </row>
    <row r="812" spans="1:2" s="4" customFormat="1" x14ac:dyDescent="0.3">
      <c r="A812" s="20"/>
      <c r="B812" s="69"/>
    </row>
    <row r="813" spans="1:2" s="4" customFormat="1" x14ac:dyDescent="0.3">
      <c r="A813" s="20"/>
      <c r="B813" s="69"/>
    </row>
    <row r="814" spans="1:2" s="4" customFormat="1" x14ac:dyDescent="0.3">
      <c r="A814" s="20"/>
      <c r="B814" s="69"/>
    </row>
    <row r="815" spans="1:2" s="4" customFormat="1" x14ac:dyDescent="0.3">
      <c r="A815" s="20"/>
      <c r="B815" s="69"/>
    </row>
    <row r="816" spans="1:2" s="4" customFormat="1" x14ac:dyDescent="0.3">
      <c r="A816" s="20"/>
      <c r="B816" s="69"/>
    </row>
    <row r="817" spans="1:2" s="4" customFormat="1" x14ac:dyDescent="0.3">
      <c r="A817" s="20"/>
      <c r="B817" s="69"/>
    </row>
    <row r="818" spans="1:2" s="4" customFormat="1" x14ac:dyDescent="0.3">
      <c r="A818" s="20"/>
      <c r="B818" s="69"/>
    </row>
    <row r="819" spans="1:2" s="4" customFormat="1" x14ac:dyDescent="0.3">
      <c r="A819" s="20"/>
      <c r="B819" s="69"/>
    </row>
    <row r="820" spans="1:2" s="4" customFormat="1" x14ac:dyDescent="0.3">
      <c r="A820" s="20"/>
      <c r="B820" s="69"/>
    </row>
    <row r="821" spans="1:2" s="4" customFormat="1" x14ac:dyDescent="0.3">
      <c r="A821" s="20"/>
      <c r="B821" s="69"/>
    </row>
    <row r="822" spans="1:2" s="4" customFormat="1" x14ac:dyDescent="0.3">
      <c r="A822" s="20"/>
      <c r="B822" s="69"/>
    </row>
    <row r="823" spans="1:2" s="4" customFormat="1" x14ac:dyDescent="0.3">
      <c r="A823" s="20"/>
      <c r="B823" s="69"/>
    </row>
    <row r="824" spans="1:2" s="4" customFormat="1" x14ac:dyDescent="0.3">
      <c r="A824" s="20"/>
      <c r="B824" s="69"/>
    </row>
    <row r="825" spans="1:2" s="4" customFormat="1" x14ac:dyDescent="0.3">
      <c r="A825" s="20"/>
      <c r="B825" s="69"/>
    </row>
    <row r="826" spans="1:2" s="4" customFormat="1" x14ac:dyDescent="0.3">
      <c r="A826" s="20"/>
      <c r="B826" s="69"/>
    </row>
    <row r="827" spans="1:2" s="4" customFormat="1" x14ac:dyDescent="0.3">
      <c r="A827" s="20"/>
      <c r="B827" s="69"/>
    </row>
    <row r="828" spans="1:2" s="4" customFormat="1" x14ac:dyDescent="0.3">
      <c r="A828" s="20"/>
      <c r="B828" s="69"/>
    </row>
    <row r="829" spans="1:2" s="4" customFormat="1" x14ac:dyDescent="0.3">
      <c r="A829" s="20"/>
      <c r="B829" s="69"/>
    </row>
    <row r="830" spans="1:2" s="4" customFormat="1" x14ac:dyDescent="0.3">
      <c r="A830" s="20"/>
      <c r="B830" s="69"/>
    </row>
    <row r="831" spans="1:2" s="4" customFormat="1" x14ac:dyDescent="0.3">
      <c r="A831" s="20"/>
      <c r="B831" s="69"/>
    </row>
    <row r="832" spans="1:2" s="4" customFormat="1" x14ac:dyDescent="0.3">
      <c r="A832" s="20"/>
      <c r="B832" s="69"/>
    </row>
    <row r="833" spans="1:2" s="4" customFormat="1" x14ac:dyDescent="0.3">
      <c r="A833" s="20"/>
      <c r="B833" s="69"/>
    </row>
    <row r="834" spans="1:2" s="4" customFormat="1" x14ac:dyDescent="0.3">
      <c r="A834" s="20"/>
      <c r="B834" s="69"/>
    </row>
    <row r="835" spans="1:2" s="4" customFormat="1" x14ac:dyDescent="0.3">
      <c r="A835" s="20"/>
      <c r="B835" s="69"/>
    </row>
    <row r="836" spans="1:2" s="4" customFormat="1" x14ac:dyDescent="0.3">
      <c r="A836" s="20"/>
      <c r="B836" s="69"/>
    </row>
    <row r="837" spans="1:2" s="4" customFormat="1" x14ac:dyDescent="0.3">
      <c r="A837" s="20"/>
      <c r="B837" s="69"/>
    </row>
    <row r="838" spans="1:2" s="4" customFormat="1" x14ac:dyDescent="0.3">
      <c r="A838" s="20"/>
      <c r="B838" s="69"/>
    </row>
    <row r="839" spans="1:2" s="4" customFormat="1" x14ac:dyDescent="0.3">
      <c r="A839" s="20"/>
      <c r="B839" s="69"/>
    </row>
    <row r="840" spans="1:2" s="4" customFormat="1" x14ac:dyDescent="0.3">
      <c r="A840" s="20"/>
      <c r="B840" s="69"/>
    </row>
    <row r="841" spans="1:2" s="4" customFormat="1" x14ac:dyDescent="0.3">
      <c r="A841" s="20"/>
      <c r="B841" s="69"/>
    </row>
    <row r="842" spans="1:2" s="4" customFormat="1" x14ac:dyDescent="0.3">
      <c r="A842" s="20"/>
      <c r="B842" s="69"/>
    </row>
    <row r="843" spans="1:2" s="4" customFormat="1" x14ac:dyDescent="0.3">
      <c r="A843" s="20"/>
      <c r="B843" s="69"/>
    </row>
    <row r="844" spans="1:2" s="4" customFormat="1" x14ac:dyDescent="0.3">
      <c r="A844" s="20"/>
      <c r="B844" s="69"/>
    </row>
    <row r="845" spans="1:2" s="4" customFormat="1" x14ac:dyDescent="0.3">
      <c r="A845" s="20"/>
      <c r="B845" s="69"/>
    </row>
    <row r="846" spans="1:2" s="4" customFormat="1" x14ac:dyDescent="0.3">
      <c r="A846" s="20"/>
      <c r="B846" s="69"/>
    </row>
    <row r="847" spans="1:2" s="4" customFormat="1" x14ac:dyDescent="0.3">
      <c r="A847" s="20"/>
      <c r="B847" s="69"/>
    </row>
    <row r="848" spans="1:2" s="4" customFormat="1" x14ac:dyDescent="0.3">
      <c r="A848" s="20"/>
      <c r="B848" s="69"/>
    </row>
    <row r="849" spans="1:2" s="4" customFormat="1" x14ac:dyDescent="0.3">
      <c r="A849" s="20"/>
      <c r="B849" s="69"/>
    </row>
    <row r="850" spans="1:2" s="4" customFormat="1" x14ac:dyDescent="0.3">
      <c r="A850" s="20"/>
      <c r="B850" s="69"/>
    </row>
    <row r="851" spans="1:2" s="4" customFormat="1" x14ac:dyDescent="0.3">
      <c r="A851" s="20"/>
      <c r="B851" s="69"/>
    </row>
    <row r="852" spans="1:2" s="4" customFormat="1" x14ac:dyDescent="0.3">
      <c r="A852" s="20"/>
      <c r="B852" s="69"/>
    </row>
    <row r="853" spans="1:2" s="4" customFormat="1" x14ac:dyDescent="0.3">
      <c r="A853" s="20"/>
      <c r="B853" s="69"/>
    </row>
    <row r="854" spans="1:2" s="4" customFormat="1" x14ac:dyDescent="0.3">
      <c r="A854" s="20"/>
      <c r="B854" s="69"/>
    </row>
    <row r="855" spans="1:2" s="4" customFormat="1" x14ac:dyDescent="0.3">
      <c r="A855" s="20"/>
      <c r="B855" s="69"/>
    </row>
    <row r="856" spans="1:2" s="4" customFormat="1" x14ac:dyDescent="0.3">
      <c r="A856" s="20"/>
      <c r="B856" s="69"/>
    </row>
    <row r="857" spans="1:2" s="4" customFormat="1" x14ac:dyDescent="0.3">
      <c r="A857" s="20"/>
      <c r="B857" s="69"/>
    </row>
    <row r="858" spans="1:2" s="4" customFormat="1" x14ac:dyDescent="0.3">
      <c r="A858" s="20"/>
      <c r="B858" s="69"/>
    </row>
    <row r="859" spans="1:2" s="4" customFormat="1" x14ac:dyDescent="0.3">
      <c r="A859" s="20"/>
      <c r="B859" s="69"/>
    </row>
    <row r="860" spans="1:2" s="4" customFormat="1" x14ac:dyDescent="0.3">
      <c r="A860" s="20"/>
      <c r="B860" s="69"/>
    </row>
    <row r="861" spans="1:2" s="4" customFormat="1" x14ac:dyDescent="0.3">
      <c r="A861" s="20"/>
      <c r="B861" s="69"/>
    </row>
    <row r="862" spans="1:2" s="4" customFormat="1" x14ac:dyDescent="0.3">
      <c r="A862" s="20"/>
      <c r="B862" s="69"/>
    </row>
    <row r="863" spans="1:2" s="4" customFormat="1" x14ac:dyDescent="0.3">
      <c r="A863" s="20"/>
      <c r="B863" s="69"/>
    </row>
    <row r="864" spans="1:2" s="4" customFormat="1" x14ac:dyDescent="0.3">
      <c r="A864" s="20"/>
      <c r="B864" s="69"/>
    </row>
    <row r="865" spans="1:2" s="4" customFormat="1" x14ac:dyDescent="0.3">
      <c r="A865" s="20"/>
      <c r="B865" s="69"/>
    </row>
    <row r="866" spans="1:2" s="4" customFormat="1" x14ac:dyDescent="0.3">
      <c r="A866" s="20"/>
      <c r="B866" s="69"/>
    </row>
    <row r="867" spans="1:2" s="4" customFormat="1" x14ac:dyDescent="0.3">
      <c r="A867" s="20"/>
      <c r="B867" s="69"/>
    </row>
    <row r="868" spans="1:2" s="4" customFormat="1" x14ac:dyDescent="0.3">
      <c r="A868" s="20"/>
      <c r="B868" s="69"/>
    </row>
    <row r="869" spans="1:2" s="4" customFormat="1" x14ac:dyDescent="0.3">
      <c r="A869" s="20"/>
      <c r="B869" s="69"/>
    </row>
    <row r="870" spans="1:2" s="4" customFormat="1" x14ac:dyDescent="0.3">
      <c r="A870" s="20"/>
      <c r="B870" s="69"/>
    </row>
    <row r="871" spans="1:2" s="4" customFormat="1" x14ac:dyDescent="0.3">
      <c r="A871" s="20"/>
      <c r="B871" s="69"/>
    </row>
    <row r="872" spans="1:2" s="4" customFormat="1" x14ac:dyDescent="0.3">
      <c r="A872" s="20"/>
      <c r="B872" s="69"/>
    </row>
    <row r="873" spans="1:2" s="4" customFormat="1" x14ac:dyDescent="0.3">
      <c r="A873" s="20"/>
      <c r="B873" s="69"/>
    </row>
    <row r="874" spans="1:2" s="4" customFormat="1" x14ac:dyDescent="0.3">
      <c r="A874" s="20"/>
      <c r="B874" s="69"/>
    </row>
    <row r="875" spans="1:2" s="4" customFormat="1" x14ac:dyDescent="0.3">
      <c r="A875" s="20"/>
      <c r="B875" s="69"/>
    </row>
    <row r="876" spans="1:2" s="4" customFormat="1" x14ac:dyDescent="0.3">
      <c r="A876" s="20"/>
      <c r="B876" s="69"/>
    </row>
    <row r="877" spans="1:2" s="4" customFormat="1" x14ac:dyDescent="0.3">
      <c r="A877" s="20"/>
      <c r="B877" s="69"/>
    </row>
    <row r="878" spans="1:2" s="4" customFormat="1" x14ac:dyDescent="0.3">
      <c r="A878" s="20"/>
      <c r="B878" s="69"/>
    </row>
    <row r="879" spans="1:2" s="4" customFormat="1" x14ac:dyDescent="0.3">
      <c r="A879" s="20"/>
      <c r="B879" s="69"/>
    </row>
    <row r="880" spans="1:2" s="4" customFormat="1" x14ac:dyDescent="0.3">
      <c r="A880" s="20"/>
      <c r="B880" s="69"/>
    </row>
    <row r="881" spans="1:2" s="4" customFormat="1" x14ac:dyDescent="0.3">
      <c r="A881" s="20"/>
      <c r="B881" s="69"/>
    </row>
    <row r="882" spans="1:2" s="4" customFormat="1" x14ac:dyDescent="0.3">
      <c r="A882" s="20"/>
      <c r="B882" s="69"/>
    </row>
    <row r="883" spans="1:2" s="4" customFormat="1" x14ac:dyDescent="0.3">
      <c r="A883" s="20"/>
      <c r="B883" s="69"/>
    </row>
    <row r="884" spans="1:2" s="4" customFormat="1" x14ac:dyDescent="0.3">
      <c r="A884" s="20"/>
      <c r="B884" s="69"/>
    </row>
    <row r="885" spans="1:2" s="4" customFormat="1" x14ac:dyDescent="0.3">
      <c r="A885" s="20"/>
      <c r="B885" s="69"/>
    </row>
    <row r="886" spans="1:2" s="4" customFormat="1" x14ac:dyDescent="0.3">
      <c r="A886" s="20"/>
      <c r="B886" s="69"/>
    </row>
    <row r="887" spans="1:2" s="4" customFormat="1" x14ac:dyDescent="0.3">
      <c r="A887" s="20"/>
      <c r="B887" s="69"/>
    </row>
    <row r="888" spans="1:2" s="4" customFormat="1" x14ac:dyDescent="0.3">
      <c r="A888" s="20"/>
      <c r="B888" s="69"/>
    </row>
    <row r="889" spans="1:2" s="4" customFormat="1" x14ac:dyDescent="0.3">
      <c r="A889" s="20"/>
      <c r="B889" s="69"/>
    </row>
    <row r="890" spans="1:2" s="4" customFormat="1" x14ac:dyDescent="0.3">
      <c r="A890" s="20"/>
      <c r="B890" s="69"/>
    </row>
    <row r="891" spans="1:2" s="4" customFormat="1" x14ac:dyDescent="0.3">
      <c r="A891" s="20"/>
      <c r="B891" s="69"/>
    </row>
    <row r="892" spans="1:2" s="4" customFormat="1" x14ac:dyDescent="0.3">
      <c r="A892" s="20"/>
      <c r="B892" s="69"/>
    </row>
    <row r="893" spans="1:2" s="4" customFormat="1" x14ac:dyDescent="0.3">
      <c r="A893" s="20"/>
      <c r="B893" s="69"/>
    </row>
    <row r="894" spans="1:2" s="4" customFormat="1" x14ac:dyDescent="0.3">
      <c r="A894" s="20"/>
      <c r="B894" s="69"/>
    </row>
    <row r="895" spans="1:2" s="4" customFormat="1" x14ac:dyDescent="0.3">
      <c r="A895" s="20"/>
      <c r="B895" s="69"/>
    </row>
    <row r="896" spans="1:2" s="4" customFormat="1" x14ac:dyDescent="0.3">
      <c r="A896" s="20"/>
      <c r="B896" s="69"/>
    </row>
    <row r="897" spans="1:2" s="4" customFormat="1" x14ac:dyDescent="0.3">
      <c r="A897" s="20"/>
      <c r="B897" s="69"/>
    </row>
    <row r="898" spans="1:2" s="4" customFormat="1" x14ac:dyDescent="0.3">
      <c r="A898" s="20"/>
      <c r="B898" s="69"/>
    </row>
    <row r="899" spans="1:2" s="4" customFormat="1" x14ac:dyDescent="0.3">
      <c r="A899" s="20"/>
      <c r="B899" s="69"/>
    </row>
    <row r="900" spans="1:2" s="4" customFormat="1" x14ac:dyDescent="0.3">
      <c r="A900" s="20"/>
      <c r="B900" s="69"/>
    </row>
    <row r="901" spans="1:2" s="4" customFormat="1" x14ac:dyDescent="0.3">
      <c r="A901" s="20"/>
      <c r="B901" s="69"/>
    </row>
    <row r="902" spans="1:2" s="4" customFormat="1" x14ac:dyDescent="0.3">
      <c r="A902" s="20"/>
      <c r="B902" s="69"/>
    </row>
    <row r="903" spans="1:2" s="4" customFormat="1" x14ac:dyDescent="0.3">
      <c r="A903" s="20"/>
      <c r="B903" s="69"/>
    </row>
    <row r="904" spans="1:2" s="4" customFormat="1" x14ac:dyDescent="0.3">
      <c r="A904" s="20"/>
      <c r="B904" s="69"/>
    </row>
    <row r="905" spans="1:2" s="4" customFormat="1" x14ac:dyDescent="0.3">
      <c r="A905" s="20"/>
      <c r="B905" s="69"/>
    </row>
    <row r="906" spans="1:2" s="4" customFormat="1" x14ac:dyDescent="0.3">
      <c r="A906" s="20"/>
      <c r="B906" s="69"/>
    </row>
    <row r="907" spans="1:2" s="4" customFormat="1" x14ac:dyDescent="0.3">
      <c r="A907" s="20"/>
      <c r="B907" s="69"/>
    </row>
    <row r="908" spans="1:2" s="4" customFormat="1" x14ac:dyDescent="0.3">
      <c r="A908" s="20"/>
      <c r="B908" s="69"/>
    </row>
    <row r="909" spans="1:2" s="4" customFormat="1" x14ac:dyDescent="0.3">
      <c r="A909" s="20"/>
      <c r="B909" s="69"/>
    </row>
    <row r="910" spans="1:2" s="4" customFormat="1" x14ac:dyDescent="0.3">
      <c r="A910" s="20"/>
      <c r="B910" s="69"/>
    </row>
    <row r="911" spans="1:2" s="4" customFormat="1" x14ac:dyDescent="0.3">
      <c r="A911" s="20"/>
      <c r="B911" s="69"/>
    </row>
    <row r="912" spans="1:2" s="4" customFormat="1" x14ac:dyDescent="0.3">
      <c r="A912" s="20"/>
      <c r="B912" s="69"/>
    </row>
    <row r="913" spans="1:2" s="4" customFormat="1" x14ac:dyDescent="0.3">
      <c r="A913" s="20"/>
      <c r="B913" s="69"/>
    </row>
    <row r="914" spans="1:2" s="4" customFormat="1" x14ac:dyDescent="0.3">
      <c r="A914" s="20"/>
      <c r="B914" s="69"/>
    </row>
    <row r="915" spans="1:2" s="4" customFormat="1" x14ac:dyDescent="0.3">
      <c r="A915" s="20"/>
      <c r="B915" s="69"/>
    </row>
    <row r="916" spans="1:2" s="4" customFormat="1" x14ac:dyDescent="0.3">
      <c r="A916" s="20"/>
      <c r="B916" s="69"/>
    </row>
    <row r="917" spans="1:2" s="4" customFormat="1" x14ac:dyDescent="0.3">
      <c r="A917" s="20"/>
      <c r="B917" s="69"/>
    </row>
    <row r="918" spans="1:2" s="4" customFormat="1" x14ac:dyDescent="0.3">
      <c r="A918" s="20"/>
      <c r="B918" s="69"/>
    </row>
    <row r="919" spans="1:2" s="4" customFormat="1" x14ac:dyDescent="0.3">
      <c r="A919" s="20"/>
      <c r="B919" s="69"/>
    </row>
    <row r="920" spans="1:2" s="4" customFormat="1" x14ac:dyDescent="0.3">
      <c r="A920" s="20"/>
      <c r="B920" s="69"/>
    </row>
    <row r="921" spans="1:2" s="4" customFormat="1" x14ac:dyDescent="0.3">
      <c r="A921" s="20"/>
      <c r="B921" s="69"/>
    </row>
    <row r="922" spans="1:2" s="4" customFormat="1" x14ac:dyDescent="0.3">
      <c r="A922" s="20"/>
      <c r="B922" s="69"/>
    </row>
    <row r="923" spans="1:2" s="4" customFormat="1" x14ac:dyDescent="0.3">
      <c r="A923" s="20"/>
      <c r="B923" s="69"/>
    </row>
    <row r="924" spans="1:2" s="4" customFormat="1" x14ac:dyDescent="0.3">
      <c r="A924" s="20"/>
      <c r="B924" s="69"/>
    </row>
    <row r="925" spans="1:2" s="4" customFormat="1" x14ac:dyDescent="0.3">
      <c r="A925" s="20"/>
      <c r="B925" s="69"/>
    </row>
    <row r="926" spans="1:2" s="4" customFormat="1" x14ac:dyDescent="0.3">
      <c r="A926" s="20"/>
      <c r="B926" s="69"/>
    </row>
    <row r="927" spans="1:2" s="4" customFormat="1" x14ac:dyDescent="0.3">
      <c r="A927" s="20"/>
      <c r="B927" s="69"/>
    </row>
    <row r="928" spans="1:2" s="4" customFormat="1" x14ac:dyDescent="0.3">
      <c r="A928" s="20"/>
      <c r="B928" s="69"/>
    </row>
    <row r="929" spans="1:2" s="4" customFormat="1" x14ac:dyDescent="0.3">
      <c r="A929" s="20"/>
      <c r="B929" s="69"/>
    </row>
    <row r="930" spans="1:2" s="4" customFormat="1" x14ac:dyDescent="0.3">
      <c r="A930" s="20"/>
      <c r="B930" s="69"/>
    </row>
    <row r="931" spans="1:2" s="4" customFormat="1" x14ac:dyDescent="0.3">
      <c r="A931" s="20"/>
      <c r="B931" s="69"/>
    </row>
    <row r="932" spans="1:2" s="4" customFormat="1" x14ac:dyDescent="0.3">
      <c r="A932" s="20"/>
      <c r="B932" s="69"/>
    </row>
    <row r="933" spans="1:2" s="4" customFormat="1" x14ac:dyDescent="0.3">
      <c r="A933" s="20"/>
      <c r="B933" s="69"/>
    </row>
    <row r="934" spans="1:2" s="4" customFormat="1" x14ac:dyDescent="0.3">
      <c r="A934" s="20"/>
      <c r="B934" s="69"/>
    </row>
    <row r="935" spans="1:2" s="4" customFormat="1" x14ac:dyDescent="0.3">
      <c r="A935" s="20"/>
      <c r="B935" s="69"/>
    </row>
    <row r="936" spans="1:2" s="4" customFormat="1" x14ac:dyDescent="0.3">
      <c r="A936" s="20"/>
      <c r="B936" s="69"/>
    </row>
    <row r="937" spans="1:2" s="4" customFormat="1" x14ac:dyDescent="0.3">
      <c r="A937" s="20"/>
      <c r="B937" s="69"/>
    </row>
    <row r="938" spans="1:2" s="4" customFormat="1" x14ac:dyDescent="0.3">
      <c r="A938" s="20"/>
      <c r="B938" s="69"/>
    </row>
    <row r="939" spans="1:2" s="4" customFormat="1" x14ac:dyDescent="0.3">
      <c r="A939" s="20"/>
      <c r="B939" s="69"/>
    </row>
    <row r="940" spans="1:2" s="4" customFormat="1" x14ac:dyDescent="0.3">
      <c r="A940" s="20"/>
      <c r="B940" s="69"/>
    </row>
    <row r="941" spans="1:2" s="4" customFormat="1" x14ac:dyDescent="0.3">
      <c r="A941" s="20"/>
      <c r="B941" s="69"/>
    </row>
    <row r="942" spans="1:2" s="4" customFormat="1" x14ac:dyDescent="0.3">
      <c r="A942" s="20"/>
      <c r="B942" s="69"/>
    </row>
    <row r="943" spans="1:2" s="4" customFormat="1" x14ac:dyDescent="0.3">
      <c r="A943" s="20"/>
      <c r="B943" s="69"/>
    </row>
    <row r="944" spans="1:2" s="4" customFormat="1" x14ac:dyDescent="0.3">
      <c r="A944" s="20"/>
      <c r="B944" s="69"/>
    </row>
    <row r="945" spans="1:2" s="4" customFormat="1" x14ac:dyDescent="0.3">
      <c r="A945" s="20"/>
      <c r="B945" s="69"/>
    </row>
    <row r="946" spans="1:2" s="4" customFormat="1" x14ac:dyDescent="0.3">
      <c r="A946" s="20"/>
      <c r="B946" s="69"/>
    </row>
    <row r="947" spans="1:2" s="4" customFormat="1" x14ac:dyDescent="0.3">
      <c r="A947" s="20"/>
      <c r="B947" s="69"/>
    </row>
    <row r="948" spans="1:2" s="4" customFormat="1" x14ac:dyDescent="0.3">
      <c r="A948" s="20"/>
      <c r="B948" s="69"/>
    </row>
    <row r="949" spans="1:2" s="4" customFormat="1" x14ac:dyDescent="0.3">
      <c r="A949" s="20"/>
      <c r="B949" s="69"/>
    </row>
    <row r="950" spans="1:2" s="4" customFormat="1" x14ac:dyDescent="0.3">
      <c r="A950" s="20"/>
      <c r="B950" s="69"/>
    </row>
    <row r="951" spans="1:2" s="4" customFormat="1" x14ac:dyDescent="0.3">
      <c r="A951" s="20"/>
      <c r="B951" s="69"/>
    </row>
    <row r="952" spans="1:2" s="4" customFormat="1" x14ac:dyDescent="0.3">
      <c r="A952" s="20"/>
      <c r="B952" s="69"/>
    </row>
    <row r="953" spans="1:2" s="4" customFormat="1" x14ac:dyDescent="0.3">
      <c r="A953" s="20"/>
      <c r="B953" s="69"/>
    </row>
    <row r="954" spans="1:2" s="4" customFormat="1" x14ac:dyDescent="0.3">
      <c r="A954" s="20"/>
      <c r="B954" s="69"/>
    </row>
    <row r="955" spans="1:2" s="4" customFormat="1" x14ac:dyDescent="0.3">
      <c r="A955" s="20"/>
      <c r="B955" s="69"/>
    </row>
    <row r="956" spans="1:2" s="4" customFormat="1" x14ac:dyDescent="0.3">
      <c r="A956" s="20"/>
      <c r="B956" s="69"/>
    </row>
    <row r="957" spans="1:2" s="4" customFormat="1" x14ac:dyDescent="0.3">
      <c r="A957" s="20"/>
      <c r="B957" s="69"/>
    </row>
    <row r="958" spans="1:2" s="4" customFormat="1" x14ac:dyDescent="0.3">
      <c r="A958" s="20"/>
      <c r="B958" s="69"/>
    </row>
    <row r="959" spans="1:2" s="4" customFormat="1" x14ac:dyDescent="0.3">
      <c r="A959" s="20"/>
      <c r="B959" s="69"/>
    </row>
    <row r="960" spans="1:2" s="4" customFormat="1" x14ac:dyDescent="0.3">
      <c r="A960" s="20"/>
      <c r="B960" s="69"/>
    </row>
    <row r="961" spans="1:2" s="4" customFormat="1" x14ac:dyDescent="0.3">
      <c r="A961" s="20"/>
      <c r="B961" s="69"/>
    </row>
    <row r="962" spans="1:2" s="4" customFormat="1" x14ac:dyDescent="0.3">
      <c r="A962" s="20"/>
      <c r="B962" s="69"/>
    </row>
    <row r="963" spans="1:2" s="4" customFormat="1" x14ac:dyDescent="0.3">
      <c r="A963" s="20"/>
      <c r="B963" s="69"/>
    </row>
    <row r="964" spans="1:2" s="4" customFormat="1" x14ac:dyDescent="0.3">
      <c r="A964" s="20"/>
      <c r="B964" s="69"/>
    </row>
    <row r="965" spans="1:2" s="4" customFormat="1" x14ac:dyDescent="0.3">
      <c r="A965" s="20"/>
      <c r="B965" s="69"/>
    </row>
    <row r="966" spans="1:2" s="4" customFormat="1" x14ac:dyDescent="0.3">
      <c r="A966" s="20"/>
      <c r="B966" s="69"/>
    </row>
    <row r="967" spans="1:2" s="4" customFormat="1" x14ac:dyDescent="0.3">
      <c r="A967" s="20"/>
      <c r="B967" s="69"/>
    </row>
    <row r="968" spans="1:2" s="4" customFormat="1" x14ac:dyDescent="0.3">
      <c r="A968" s="20"/>
      <c r="B968" s="69"/>
    </row>
    <row r="969" spans="1:2" s="4" customFormat="1" x14ac:dyDescent="0.3">
      <c r="A969" s="20"/>
      <c r="B969" s="69"/>
    </row>
    <row r="970" spans="1:2" s="4" customFormat="1" x14ac:dyDescent="0.3">
      <c r="A970" s="20"/>
      <c r="B970" s="69"/>
    </row>
    <row r="971" spans="1:2" s="4" customFormat="1" x14ac:dyDescent="0.3">
      <c r="A971" s="20"/>
      <c r="B971" s="69"/>
    </row>
    <row r="972" spans="1:2" s="4" customFormat="1" x14ac:dyDescent="0.3">
      <c r="A972" s="20"/>
      <c r="B972" s="69"/>
    </row>
    <row r="973" spans="1:2" s="4" customFormat="1" x14ac:dyDescent="0.3">
      <c r="A973" s="20"/>
      <c r="B973" s="69"/>
    </row>
    <row r="974" spans="1:2" s="4" customFormat="1" x14ac:dyDescent="0.3">
      <c r="A974" s="20"/>
      <c r="B974" s="69"/>
    </row>
    <row r="975" spans="1:2" s="4" customFormat="1" x14ac:dyDescent="0.3">
      <c r="A975" s="20"/>
      <c r="B975" s="69"/>
    </row>
    <row r="976" spans="1:2" s="4" customFormat="1" x14ac:dyDescent="0.3">
      <c r="A976" s="20"/>
      <c r="B976" s="69"/>
    </row>
    <row r="977" spans="1:2" s="4" customFormat="1" x14ac:dyDescent="0.3">
      <c r="A977" s="20"/>
      <c r="B977" s="69"/>
    </row>
    <row r="978" spans="1:2" s="4" customFormat="1" x14ac:dyDescent="0.3">
      <c r="A978" s="20"/>
      <c r="B978" s="69"/>
    </row>
    <row r="979" spans="1:2" s="4" customFormat="1" x14ac:dyDescent="0.3">
      <c r="A979" s="20"/>
      <c r="B979" s="69"/>
    </row>
    <row r="980" spans="1:2" s="4" customFormat="1" x14ac:dyDescent="0.3">
      <c r="A980" s="20"/>
      <c r="B980" s="69"/>
    </row>
    <row r="981" spans="1:2" s="4" customFormat="1" x14ac:dyDescent="0.3">
      <c r="A981" s="20"/>
      <c r="B981" s="69"/>
    </row>
    <row r="982" spans="1:2" s="4" customFormat="1" x14ac:dyDescent="0.3">
      <c r="A982" s="20"/>
      <c r="B982" s="69"/>
    </row>
    <row r="983" spans="1:2" s="4" customFormat="1" x14ac:dyDescent="0.3">
      <c r="A983" s="20"/>
      <c r="B983" s="69"/>
    </row>
    <row r="984" spans="1:2" s="4" customFormat="1" x14ac:dyDescent="0.3">
      <c r="A984" s="20"/>
      <c r="B984" s="69"/>
    </row>
    <row r="985" spans="1:2" s="4" customFormat="1" x14ac:dyDescent="0.3">
      <c r="A985" s="20"/>
      <c r="B985" s="69"/>
    </row>
    <row r="986" spans="1:2" s="4" customFormat="1" x14ac:dyDescent="0.3">
      <c r="A986" s="20"/>
      <c r="B986" s="69"/>
    </row>
    <row r="987" spans="1:2" s="4" customFormat="1" x14ac:dyDescent="0.3">
      <c r="A987" s="20"/>
      <c r="B987" s="69"/>
    </row>
    <row r="988" spans="1:2" s="4" customFormat="1" x14ac:dyDescent="0.3">
      <c r="A988" s="20"/>
      <c r="B988" s="69"/>
    </row>
    <row r="989" spans="1:2" s="4" customFormat="1" x14ac:dyDescent="0.3">
      <c r="A989" s="20"/>
      <c r="B989" s="69"/>
    </row>
    <row r="990" spans="1:2" s="4" customFormat="1" x14ac:dyDescent="0.3">
      <c r="A990" s="20"/>
      <c r="B990" s="69"/>
    </row>
    <row r="991" spans="1:2" s="4" customFormat="1" x14ac:dyDescent="0.3">
      <c r="A991" s="20"/>
      <c r="B991" s="69"/>
    </row>
    <row r="992" spans="1:2" s="4" customFormat="1" x14ac:dyDescent="0.3">
      <c r="A992" s="20"/>
      <c r="B992" s="69"/>
    </row>
    <row r="993" spans="1:17" s="4" customFormat="1" x14ac:dyDescent="0.3">
      <c r="A993" s="20"/>
      <c r="B993" s="69"/>
    </row>
    <row r="994" spans="1:17" s="4" customFormat="1" x14ac:dyDescent="0.3">
      <c r="A994" s="20"/>
      <c r="B994" s="69"/>
    </row>
    <row r="995" spans="1:17" s="4" customFormat="1" x14ac:dyDescent="0.3">
      <c r="A995" s="20"/>
      <c r="B995" s="69"/>
    </row>
    <row r="996" spans="1:17" s="4" customFormat="1" x14ac:dyDescent="0.3">
      <c r="A996" s="20"/>
      <c r="B996" s="69"/>
    </row>
    <row r="997" spans="1:17" s="4" customFormat="1" x14ac:dyDescent="0.3">
      <c r="A997" s="20"/>
      <c r="B997" s="69"/>
    </row>
    <row r="998" spans="1:17" s="4" customFormat="1" x14ac:dyDescent="0.3">
      <c r="A998" s="20"/>
      <c r="B998" s="69"/>
    </row>
    <row r="999" spans="1:17" s="4" customFormat="1" x14ac:dyDescent="0.3">
      <c r="A999" s="20"/>
      <c r="B999" s="69"/>
    </row>
    <row r="1000" spans="1:17" s="4" customFormat="1" x14ac:dyDescent="0.3">
      <c r="A1000" s="20"/>
      <c r="B1000" s="69"/>
    </row>
    <row r="1001" spans="1:17" s="4" customFormat="1" x14ac:dyDescent="0.3">
      <c r="A1001" s="20"/>
      <c r="B1001" s="69"/>
    </row>
    <row r="1002" spans="1:17" s="4" customFormat="1" x14ac:dyDescent="0.3">
      <c r="A1002" s="20"/>
      <c r="B1002" s="69"/>
    </row>
    <row r="1003" spans="1:17" s="4" customFormat="1" x14ac:dyDescent="0.3">
      <c r="A1003" s="20"/>
      <c r="B1003" s="69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</row>
    <row r="1004" spans="1:17" s="4" customFormat="1" x14ac:dyDescent="0.3">
      <c r="A1004" s="20"/>
      <c r="B1004" s="69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</row>
    <row r="1005" spans="1:17" s="4" customFormat="1" x14ac:dyDescent="0.3">
      <c r="A1005" s="20"/>
      <c r="B1005" s="69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</row>
    <row r="1006" spans="1:17" s="4" customFormat="1" x14ac:dyDescent="0.3">
      <c r="A1006" s="20"/>
      <c r="B1006" s="69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</row>
    <row r="1007" spans="1:17" s="4" customFormat="1" x14ac:dyDescent="0.3">
      <c r="A1007" s="20"/>
      <c r="B1007" s="69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</row>
    <row r="1008" spans="1:17" s="4" customFormat="1" x14ac:dyDescent="0.3">
      <c r="A1008" s="20"/>
      <c r="B1008" s="69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</row>
    <row r="1009" spans="1:17" s="4" customFormat="1" x14ac:dyDescent="0.3">
      <c r="A1009" s="20"/>
      <c r="B1009" s="69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</row>
    <row r="1010" spans="1:17" s="4" customFormat="1" x14ac:dyDescent="0.3">
      <c r="A1010" s="20"/>
      <c r="B1010" s="69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</row>
    <row r="1011" spans="1:17" s="4" customFormat="1" x14ac:dyDescent="0.3">
      <c r="A1011" s="20"/>
      <c r="B1011" s="69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</row>
    <row r="1012" spans="1:17" x14ac:dyDescent="0.3">
      <c r="C1012" s="6"/>
      <c r="E1012" s="6"/>
      <c r="F1012" s="6"/>
      <c r="L1012" s="6"/>
    </row>
    <row r="1013" spans="1:17" x14ac:dyDescent="0.3">
      <c r="C1013" s="6"/>
      <c r="E1013" s="6"/>
      <c r="F1013" s="6"/>
      <c r="L1013" s="6"/>
    </row>
    <row r="1014" spans="1:17" x14ac:dyDescent="0.3">
      <c r="C1014" s="6"/>
      <c r="E1014" s="6"/>
      <c r="F1014" s="6"/>
      <c r="L1014" s="6"/>
    </row>
    <row r="1015" spans="1:17" x14ac:dyDescent="0.3">
      <c r="C1015" s="6"/>
      <c r="E1015" s="6"/>
      <c r="F1015" s="6"/>
      <c r="L1015" s="6"/>
    </row>
    <row r="1016" spans="1:17" x14ac:dyDescent="0.3">
      <c r="C1016" s="6"/>
      <c r="E1016" s="6"/>
      <c r="F1016" s="6"/>
      <c r="L1016" s="6"/>
    </row>
    <row r="1017" spans="1:17" x14ac:dyDescent="0.3">
      <c r="C1017" s="6"/>
      <c r="E1017" s="6"/>
      <c r="F1017" s="6"/>
      <c r="L1017" s="6"/>
    </row>
    <row r="1018" spans="1:17" x14ac:dyDescent="0.3">
      <c r="C1018" s="6"/>
      <c r="E1018" s="6"/>
      <c r="F1018" s="6"/>
      <c r="L1018" s="6"/>
    </row>
    <row r="1019" spans="1:17" x14ac:dyDescent="0.3">
      <c r="C1019" s="6"/>
      <c r="E1019" s="6"/>
      <c r="F1019" s="6"/>
      <c r="L1019" s="6"/>
    </row>
    <row r="1020" spans="1:17" x14ac:dyDescent="0.3">
      <c r="C1020" s="6"/>
      <c r="E1020" s="6"/>
      <c r="F1020" s="6"/>
      <c r="L1020" s="6"/>
    </row>
    <row r="1021" spans="1:17" x14ac:dyDescent="0.3">
      <c r="C1021" s="6"/>
      <c r="E1021" s="6"/>
      <c r="F1021" s="6"/>
      <c r="L1021" s="6"/>
    </row>
    <row r="1022" spans="1:17" x14ac:dyDescent="0.3">
      <c r="C1022" s="6"/>
      <c r="E1022" s="6"/>
      <c r="F1022" s="6"/>
      <c r="L1022" s="6"/>
    </row>
    <row r="1023" spans="1:17" x14ac:dyDescent="0.3">
      <c r="C1023" s="6"/>
      <c r="E1023" s="6"/>
      <c r="F1023" s="6"/>
      <c r="L1023" s="6"/>
    </row>
    <row r="1024" spans="1:17" x14ac:dyDescent="0.3">
      <c r="C1024" s="6"/>
      <c r="E1024" s="6"/>
      <c r="F1024" s="6"/>
      <c r="L1024" s="6"/>
    </row>
    <row r="1025" spans="3:12" x14ac:dyDescent="0.3">
      <c r="C1025" s="6"/>
      <c r="E1025" s="6"/>
      <c r="F1025" s="6"/>
      <c r="L1025" s="6"/>
    </row>
    <row r="1026" spans="3:12" x14ac:dyDescent="0.3">
      <c r="C1026" s="6"/>
      <c r="E1026" s="6"/>
      <c r="F1026" s="6"/>
      <c r="L1026" s="6"/>
    </row>
    <row r="1027" spans="3:12" x14ac:dyDescent="0.3">
      <c r="C1027" s="6"/>
      <c r="E1027" s="6"/>
      <c r="F1027" s="6"/>
      <c r="L1027" s="6"/>
    </row>
    <row r="1028" spans="3:12" x14ac:dyDescent="0.3">
      <c r="C1028" s="6"/>
      <c r="E1028" s="6"/>
      <c r="F1028" s="6"/>
      <c r="L1028" s="6"/>
    </row>
    <row r="1029" spans="3:12" x14ac:dyDescent="0.3">
      <c r="C1029" s="6"/>
      <c r="E1029" s="6"/>
      <c r="F1029" s="6"/>
      <c r="L1029" s="6"/>
    </row>
    <row r="1030" spans="3:12" x14ac:dyDescent="0.3">
      <c r="C1030" s="6"/>
      <c r="E1030" s="6"/>
      <c r="F1030" s="6"/>
      <c r="L1030" s="6"/>
    </row>
    <row r="1031" spans="3:12" x14ac:dyDescent="0.3">
      <c r="C1031" s="6"/>
      <c r="E1031" s="6"/>
      <c r="F1031" s="6"/>
      <c r="L1031" s="6"/>
    </row>
    <row r="1032" spans="3:12" x14ac:dyDescent="0.3">
      <c r="C1032" s="6"/>
      <c r="E1032" s="6"/>
      <c r="F1032" s="6"/>
      <c r="L1032" s="6"/>
    </row>
    <row r="1033" spans="3:12" x14ac:dyDescent="0.3">
      <c r="C1033" s="6"/>
      <c r="E1033" s="6"/>
      <c r="F1033" s="6"/>
      <c r="L1033" s="6"/>
    </row>
    <row r="1034" spans="3:12" x14ac:dyDescent="0.3">
      <c r="C1034" s="6"/>
      <c r="E1034" s="6"/>
      <c r="F1034" s="6"/>
      <c r="L1034" s="6"/>
    </row>
    <row r="1035" spans="3:12" x14ac:dyDescent="0.3">
      <c r="C1035" s="6"/>
      <c r="E1035" s="6"/>
      <c r="F1035" s="6"/>
      <c r="L1035" s="6"/>
    </row>
    <row r="1036" spans="3:12" x14ac:dyDescent="0.3">
      <c r="C1036" s="6"/>
      <c r="E1036" s="6"/>
      <c r="F1036" s="6"/>
      <c r="L1036" s="6"/>
    </row>
    <row r="1037" spans="3:12" x14ac:dyDescent="0.3">
      <c r="C1037" s="6"/>
      <c r="E1037" s="6"/>
      <c r="F1037" s="6"/>
      <c r="L1037" s="6"/>
    </row>
    <row r="1038" spans="3:12" x14ac:dyDescent="0.3">
      <c r="C1038" s="6"/>
      <c r="E1038" s="6"/>
      <c r="F1038" s="6"/>
      <c r="L1038" s="6"/>
    </row>
    <row r="1039" spans="3:12" x14ac:dyDescent="0.3">
      <c r="C1039" s="6"/>
      <c r="E1039" s="6"/>
      <c r="F1039" s="6"/>
      <c r="L1039" s="6"/>
    </row>
    <row r="1040" spans="3:12" x14ac:dyDescent="0.3">
      <c r="C1040" s="6"/>
      <c r="E1040" s="6"/>
      <c r="F1040" s="6"/>
      <c r="L1040" s="6"/>
    </row>
    <row r="1041" spans="3:12" x14ac:dyDescent="0.3">
      <c r="C1041" s="6"/>
      <c r="E1041" s="6"/>
      <c r="F1041" s="6"/>
      <c r="L1041" s="6"/>
    </row>
    <row r="1042" spans="3:12" x14ac:dyDescent="0.3">
      <c r="C1042" s="6"/>
      <c r="E1042" s="6"/>
      <c r="F1042" s="6"/>
      <c r="L1042" s="6"/>
    </row>
    <row r="1043" spans="3:12" x14ac:dyDescent="0.3">
      <c r="C1043" s="6"/>
      <c r="E1043" s="6"/>
      <c r="F1043" s="6"/>
      <c r="L1043" s="6"/>
    </row>
    <row r="1044" spans="3:12" x14ac:dyDescent="0.3">
      <c r="C1044" s="6"/>
      <c r="E1044" s="6"/>
      <c r="F1044" s="6"/>
      <c r="L1044" s="6"/>
    </row>
    <row r="1045" spans="3:12" x14ac:dyDescent="0.3">
      <c r="C1045" s="6"/>
      <c r="E1045" s="6"/>
      <c r="F1045" s="6"/>
      <c r="L1045" s="6"/>
    </row>
    <row r="1046" spans="3:12" x14ac:dyDescent="0.3">
      <c r="C1046" s="6"/>
      <c r="E1046" s="6"/>
      <c r="F1046" s="6"/>
      <c r="L1046" s="6"/>
    </row>
    <row r="1047" spans="3:12" x14ac:dyDescent="0.3">
      <c r="C1047" s="6"/>
      <c r="E1047" s="6"/>
      <c r="F1047" s="6"/>
      <c r="L1047" s="6"/>
    </row>
    <row r="1048" spans="3:12" x14ac:dyDescent="0.3">
      <c r="C1048" s="6"/>
      <c r="E1048" s="6"/>
      <c r="F1048" s="6"/>
      <c r="L1048" s="6"/>
    </row>
    <row r="1049" spans="3:12" x14ac:dyDescent="0.3">
      <c r="C1049" s="6"/>
      <c r="E1049" s="6"/>
      <c r="F1049" s="6"/>
      <c r="L1049" s="6"/>
    </row>
    <row r="1050" spans="3:12" x14ac:dyDescent="0.3">
      <c r="C1050" s="6"/>
      <c r="E1050" s="6"/>
      <c r="F1050" s="6"/>
      <c r="L1050" s="6"/>
    </row>
    <row r="1051" spans="3:12" x14ac:dyDescent="0.3">
      <c r="C1051" s="6"/>
      <c r="E1051" s="6"/>
      <c r="F1051" s="6"/>
      <c r="L1051" s="6"/>
    </row>
    <row r="1052" spans="3:12" x14ac:dyDescent="0.3">
      <c r="C1052" s="6"/>
      <c r="E1052" s="6"/>
      <c r="F1052" s="6"/>
      <c r="L1052" s="6"/>
    </row>
    <row r="1053" spans="3:12" x14ac:dyDescent="0.3">
      <c r="C1053" s="6"/>
      <c r="E1053" s="6"/>
      <c r="F1053" s="6"/>
      <c r="L1053" s="6"/>
    </row>
    <row r="1054" spans="3:12" x14ac:dyDescent="0.3">
      <c r="C1054" s="6"/>
      <c r="E1054" s="6"/>
      <c r="F1054" s="6"/>
      <c r="L1054" s="6"/>
    </row>
    <row r="1055" spans="3:12" x14ac:dyDescent="0.3">
      <c r="C1055" s="6"/>
      <c r="E1055" s="6"/>
      <c r="F1055" s="6"/>
      <c r="L1055" s="6"/>
    </row>
    <row r="1056" spans="3:12" x14ac:dyDescent="0.3">
      <c r="C1056" s="6"/>
      <c r="E1056" s="6"/>
      <c r="F1056" s="6"/>
      <c r="L1056" s="6"/>
    </row>
    <row r="1057" spans="3:12" x14ac:dyDescent="0.3">
      <c r="C1057" s="6"/>
      <c r="E1057" s="6"/>
      <c r="F1057" s="6"/>
      <c r="L1057" s="6"/>
    </row>
    <row r="1058" spans="3:12" x14ac:dyDescent="0.3">
      <c r="C1058" s="6"/>
      <c r="E1058" s="6"/>
      <c r="F1058" s="6"/>
      <c r="L1058" s="6"/>
    </row>
    <row r="1059" spans="3:12" x14ac:dyDescent="0.3">
      <c r="C1059" s="6"/>
      <c r="E1059" s="6"/>
      <c r="F1059" s="6"/>
      <c r="L1059" s="6"/>
    </row>
    <row r="1060" spans="3:12" x14ac:dyDescent="0.3">
      <c r="C1060" s="6"/>
      <c r="E1060" s="6"/>
      <c r="F1060" s="6"/>
      <c r="L1060" s="6"/>
    </row>
    <row r="1061" spans="3:12" x14ac:dyDescent="0.3">
      <c r="C1061" s="6"/>
      <c r="E1061" s="6"/>
      <c r="F1061" s="6"/>
      <c r="L1061" s="6"/>
    </row>
    <row r="1062" spans="3:12" x14ac:dyDescent="0.3">
      <c r="C1062" s="6"/>
      <c r="E1062" s="6"/>
      <c r="F1062" s="6"/>
      <c r="L1062" s="6"/>
    </row>
    <row r="1063" spans="3:12" x14ac:dyDescent="0.3">
      <c r="C1063" s="6"/>
      <c r="E1063" s="6"/>
      <c r="F1063" s="6"/>
      <c r="L1063" s="6"/>
    </row>
    <row r="1064" spans="3:12" x14ac:dyDescent="0.3">
      <c r="C1064" s="6"/>
      <c r="E1064" s="6"/>
      <c r="F1064" s="6"/>
      <c r="L1064" s="6"/>
    </row>
    <row r="1065" spans="3:12" x14ac:dyDescent="0.3">
      <c r="C1065" s="6"/>
      <c r="E1065" s="6"/>
      <c r="F1065" s="6"/>
      <c r="L1065" s="6"/>
    </row>
    <row r="1066" spans="3:12" x14ac:dyDescent="0.3">
      <c r="C1066" s="6"/>
      <c r="E1066" s="6"/>
      <c r="F1066" s="6"/>
      <c r="L1066" s="6"/>
    </row>
    <row r="1067" spans="3:12" x14ac:dyDescent="0.3">
      <c r="C1067" s="6"/>
      <c r="E1067" s="6"/>
      <c r="F1067" s="6"/>
      <c r="L1067" s="6"/>
    </row>
    <row r="1068" spans="3:12" x14ac:dyDescent="0.3">
      <c r="C1068" s="6"/>
      <c r="E1068" s="6"/>
      <c r="F1068" s="6"/>
      <c r="L1068" s="6"/>
    </row>
    <row r="1069" spans="3:12" x14ac:dyDescent="0.3">
      <c r="C1069" s="6"/>
      <c r="E1069" s="6"/>
      <c r="F1069" s="6"/>
      <c r="L1069" s="6"/>
    </row>
    <row r="1070" spans="3:12" x14ac:dyDescent="0.3">
      <c r="C1070" s="6"/>
      <c r="E1070" s="6"/>
      <c r="F1070" s="6"/>
      <c r="L1070" s="6"/>
    </row>
    <row r="1071" spans="3:12" x14ac:dyDescent="0.3">
      <c r="C1071" s="6"/>
      <c r="E1071" s="6"/>
      <c r="F1071" s="6"/>
      <c r="L1071" s="6"/>
    </row>
    <row r="1072" spans="3:12" x14ac:dyDescent="0.3">
      <c r="C1072" s="6"/>
      <c r="E1072" s="6"/>
      <c r="F1072" s="6"/>
      <c r="L1072" s="6"/>
    </row>
    <row r="1073" spans="3:12" x14ac:dyDescent="0.3">
      <c r="C1073" s="6"/>
      <c r="E1073" s="6"/>
      <c r="F1073" s="6"/>
      <c r="L1073" s="6"/>
    </row>
    <row r="1074" spans="3:12" x14ac:dyDescent="0.3">
      <c r="C1074" s="6"/>
      <c r="E1074" s="6"/>
      <c r="F1074" s="6"/>
      <c r="L1074" s="6"/>
    </row>
    <row r="1075" spans="3:12" x14ac:dyDescent="0.3">
      <c r="C1075" s="6"/>
      <c r="E1075" s="6"/>
      <c r="F1075" s="6"/>
      <c r="L1075" s="6"/>
    </row>
    <row r="1076" spans="3:12" x14ac:dyDescent="0.3">
      <c r="C1076" s="6"/>
      <c r="E1076" s="6"/>
      <c r="F1076" s="6"/>
      <c r="L1076" s="6"/>
    </row>
    <row r="1077" spans="3:12" x14ac:dyDescent="0.3">
      <c r="C1077" s="6"/>
      <c r="E1077" s="6"/>
      <c r="F1077" s="6"/>
      <c r="L1077" s="6"/>
    </row>
    <row r="1078" spans="3:12" x14ac:dyDescent="0.3">
      <c r="C1078" s="6"/>
      <c r="E1078" s="6"/>
      <c r="F1078" s="6"/>
      <c r="L1078" s="6"/>
    </row>
    <row r="1079" spans="3:12" x14ac:dyDescent="0.3">
      <c r="C1079" s="6"/>
      <c r="E1079" s="6"/>
      <c r="F1079" s="6"/>
      <c r="L1079" s="6"/>
    </row>
    <row r="1080" spans="3:12" x14ac:dyDescent="0.3">
      <c r="C1080" s="6"/>
      <c r="E1080" s="6"/>
      <c r="F1080" s="6"/>
      <c r="L1080" s="6"/>
    </row>
    <row r="1081" spans="3:12" x14ac:dyDescent="0.3">
      <c r="C1081" s="6"/>
      <c r="E1081" s="6"/>
      <c r="F1081" s="6"/>
      <c r="L1081" s="6"/>
    </row>
    <row r="1082" spans="3:12" x14ac:dyDescent="0.3">
      <c r="C1082" s="6"/>
      <c r="E1082" s="6"/>
      <c r="F1082" s="6"/>
      <c r="L1082" s="6"/>
    </row>
    <row r="1083" spans="3:12" x14ac:dyDescent="0.3">
      <c r="C1083" s="6"/>
      <c r="E1083" s="6"/>
      <c r="F1083" s="6"/>
      <c r="L1083" s="6"/>
    </row>
    <row r="1084" spans="3:12" x14ac:dyDescent="0.3">
      <c r="C1084" s="6"/>
      <c r="E1084" s="6"/>
      <c r="F1084" s="6"/>
      <c r="L1084" s="6"/>
    </row>
    <row r="1085" spans="3:12" x14ac:dyDescent="0.3">
      <c r="C1085" s="6"/>
      <c r="E1085" s="6"/>
      <c r="F1085" s="6"/>
      <c r="L1085" s="6"/>
    </row>
    <row r="1086" spans="3:12" x14ac:dyDescent="0.3">
      <c r="C1086" s="6"/>
      <c r="E1086" s="6"/>
      <c r="F1086" s="6"/>
      <c r="L1086" s="6"/>
    </row>
    <row r="1087" spans="3:12" x14ac:dyDescent="0.3">
      <c r="C1087" s="6"/>
      <c r="E1087" s="6"/>
      <c r="F1087" s="6"/>
      <c r="L1087" s="6"/>
    </row>
    <row r="1088" spans="3:12" x14ac:dyDescent="0.3">
      <c r="C1088" s="6"/>
      <c r="E1088" s="6"/>
      <c r="F1088" s="6"/>
      <c r="L1088" s="6"/>
    </row>
    <row r="1089" spans="3:12" x14ac:dyDescent="0.3">
      <c r="C1089" s="6"/>
      <c r="E1089" s="6"/>
      <c r="F1089" s="6"/>
      <c r="L1089" s="6"/>
    </row>
    <row r="1090" spans="3:12" x14ac:dyDescent="0.3">
      <c r="C1090" s="6"/>
      <c r="E1090" s="6"/>
      <c r="F1090" s="6"/>
      <c r="L1090" s="6"/>
    </row>
    <row r="1091" spans="3:12" x14ac:dyDescent="0.3">
      <c r="C1091" s="6"/>
      <c r="E1091" s="6"/>
      <c r="F1091" s="6"/>
      <c r="L1091" s="6"/>
    </row>
    <row r="1092" spans="3:12" x14ac:dyDescent="0.3">
      <c r="C1092" s="6"/>
      <c r="E1092" s="6"/>
      <c r="F1092" s="6"/>
      <c r="L1092" s="6"/>
    </row>
    <row r="1093" spans="3:12" x14ac:dyDescent="0.3">
      <c r="C1093" s="6"/>
      <c r="E1093" s="6"/>
      <c r="F1093" s="6"/>
      <c r="L1093" s="6"/>
    </row>
    <row r="1094" spans="3:12" x14ac:dyDescent="0.3">
      <c r="C1094" s="6"/>
      <c r="E1094" s="6"/>
      <c r="F1094" s="6"/>
      <c r="L1094" s="6"/>
    </row>
    <row r="1095" spans="3:12" x14ac:dyDescent="0.3">
      <c r="C1095" s="6"/>
      <c r="E1095" s="6"/>
      <c r="F1095" s="6"/>
      <c r="L1095" s="6"/>
    </row>
    <row r="1096" spans="3:12" x14ac:dyDescent="0.3">
      <c r="C1096" s="6"/>
      <c r="E1096" s="6"/>
      <c r="F1096" s="6"/>
      <c r="L1096" s="6"/>
    </row>
    <row r="1097" spans="3:12" x14ac:dyDescent="0.3">
      <c r="C1097" s="6"/>
      <c r="E1097" s="6"/>
      <c r="F1097" s="6"/>
      <c r="L1097" s="6"/>
    </row>
    <row r="1098" spans="3:12" x14ac:dyDescent="0.3">
      <c r="C1098" s="6"/>
      <c r="E1098" s="6"/>
      <c r="F1098" s="6"/>
      <c r="L1098" s="6"/>
    </row>
    <row r="1099" spans="3:12" x14ac:dyDescent="0.3">
      <c r="C1099" s="6"/>
      <c r="E1099" s="6"/>
      <c r="F1099" s="6"/>
      <c r="L1099" s="6"/>
    </row>
    <row r="1100" spans="3:12" x14ac:dyDescent="0.3">
      <c r="C1100" s="6"/>
      <c r="E1100" s="6"/>
      <c r="F1100" s="6"/>
      <c r="L1100" s="6"/>
    </row>
    <row r="1101" spans="3:12" x14ac:dyDescent="0.3">
      <c r="C1101" s="6"/>
      <c r="E1101" s="6"/>
      <c r="F1101" s="6"/>
      <c r="L1101" s="6"/>
    </row>
    <row r="1102" spans="3:12" x14ac:dyDescent="0.3">
      <c r="C1102" s="6"/>
      <c r="E1102" s="6"/>
      <c r="F1102" s="6"/>
      <c r="L1102" s="6"/>
    </row>
    <row r="1103" spans="3:12" x14ac:dyDescent="0.3">
      <c r="C1103" s="6"/>
      <c r="E1103" s="6"/>
      <c r="F1103" s="6"/>
      <c r="L1103" s="6"/>
    </row>
    <row r="1104" spans="3:12" x14ac:dyDescent="0.3">
      <c r="C1104" s="6"/>
      <c r="E1104" s="6"/>
      <c r="F1104" s="6"/>
      <c r="L1104" s="6"/>
    </row>
    <row r="1105" spans="3:12" x14ac:dyDescent="0.3">
      <c r="C1105" s="6"/>
      <c r="E1105" s="6"/>
      <c r="F1105" s="6"/>
      <c r="L1105" s="6"/>
    </row>
    <row r="1106" spans="3:12" x14ac:dyDescent="0.3">
      <c r="C1106" s="6"/>
      <c r="E1106" s="6"/>
      <c r="F1106" s="6"/>
      <c r="L1106" s="6"/>
    </row>
    <row r="1107" spans="3:12" x14ac:dyDescent="0.3">
      <c r="C1107" s="6"/>
      <c r="E1107" s="6"/>
      <c r="F1107" s="6"/>
      <c r="L1107" s="6"/>
    </row>
    <row r="1108" spans="3:12" x14ac:dyDescent="0.3">
      <c r="C1108" s="6"/>
      <c r="E1108" s="6"/>
      <c r="F1108" s="6"/>
      <c r="L1108" s="6"/>
    </row>
    <row r="1109" spans="3:12" x14ac:dyDescent="0.3">
      <c r="C1109" s="6"/>
      <c r="E1109" s="6"/>
      <c r="F1109" s="6"/>
      <c r="L1109" s="6"/>
    </row>
    <row r="1110" spans="3:12" x14ac:dyDescent="0.3">
      <c r="C1110" s="6"/>
      <c r="E1110" s="6"/>
      <c r="F1110" s="6"/>
      <c r="L1110" s="6"/>
    </row>
    <row r="1111" spans="3:12" x14ac:dyDescent="0.3">
      <c r="C1111" s="6"/>
      <c r="E1111" s="6"/>
      <c r="F1111" s="6"/>
      <c r="L1111" s="6"/>
    </row>
    <row r="1112" spans="3:12" x14ac:dyDescent="0.3">
      <c r="C1112" s="6"/>
      <c r="E1112" s="6"/>
      <c r="F1112" s="6"/>
      <c r="L1112" s="6"/>
    </row>
    <row r="1113" spans="3:12" x14ac:dyDescent="0.3">
      <c r="C1113" s="6"/>
      <c r="E1113" s="6"/>
      <c r="F1113" s="6"/>
      <c r="L1113" s="6"/>
    </row>
    <row r="1114" spans="3:12" x14ac:dyDescent="0.3">
      <c r="C1114" s="6"/>
      <c r="E1114" s="6"/>
      <c r="F1114" s="6"/>
      <c r="L1114" s="6"/>
    </row>
    <row r="1115" spans="3:12" x14ac:dyDescent="0.3">
      <c r="C1115" s="6"/>
      <c r="E1115" s="6"/>
      <c r="F1115" s="6"/>
      <c r="L1115" s="6"/>
    </row>
    <row r="1116" spans="3:12" x14ac:dyDescent="0.3">
      <c r="C1116" s="6"/>
      <c r="E1116" s="6"/>
      <c r="F1116" s="6"/>
      <c r="L1116" s="6"/>
    </row>
    <row r="1117" spans="3:12" x14ac:dyDescent="0.3">
      <c r="C1117" s="6"/>
      <c r="E1117" s="6"/>
      <c r="F1117" s="6"/>
      <c r="L1117" s="6"/>
    </row>
    <row r="1118" spans="3:12" x14ac:dyDescent="0.3">
      <c r="C1118" s="6"/>
      <c r="E1118" s="6"/>
      <c r="F1118" s="6"/>
      <c r="L1118" s="6"/>
    </row>
    <row r="1119" spans="3:12" x14ac:dyDescent="0.3">
      <c r="C1119" s="6"/>
      <c r="E1119" s="6"/>
      <c r="F1119" s="6"/>
      <c r="L1119" s="6"/>
    </row>
    <row r="1120" spans="3:12" x14ac:dyDescent="0.3">
      <c r="C1120" s="6"/>
      <c r="E1120" s="6"/>
      <c r="F1120" s="6"/>
      <c r="L1120" s="6"/>
    </row>
    <row r="1121" spans="3:12" x14ac:dyDescent="0.3">
      <c r="C1121" s="6"/>
      <c r="E1121" s="6"/>
      <c r="F1121" s="6"/>
      <c r="L1121" s="6"/>
    </row>
    <row r="1122" spans="3:12" x14ac:dyDescent="0.3">
      <c r="C1122" s="6"/>
      <c r="E1122" s="6"/>
      <c r="F1122" s="6"/>
      <c r="L1122" s="6"/>
    </row>
    <row r="1123" spans="3:12" x14ac:dyDescent="0.3">
      <c r="C1123" s="6"/>
      <c r="E1123" s="6"/>
      <c r="F1123" s="6"/>
      <c r="L1123" s="6"/>
    </row>
    <row r="1124" spans="3:12" x14ac:dyDescent="0.3">
      <c r="C1124" s="6"/>
      <c r="E1124" s="6"/>
      <c r="F1124" s="6"/>
      <c r="L1124" s="6"/>
    </row>
    <row r="1125" spans="3:12" x14ac:dyDescent="0.3">
      <c r="C1125" s="6"/>
      <c r="E1125" s="6"/>
      <c r="F1125" s="6"/>
      <c r="L1125" s="6"/>
    </row>
    <row r="1126" spans="3:12" x14ac:dyDescent="0.3">
      <c r="C1126" s="6"/>
      <c r="E1126" s="6"/>
      <c r="F1126" s="6"/>
      <c r="L1126" s="6"/>
    </row>
    <row r="1127" spans="3:12" x14ac:dyDescent="0.3">
      <c r="C1127" s="6"/>
      <c r="E1127" s="6"/>
      <c r="F1127" s="6"/>
      <c r="L1127" s="6"/>
    </row>
    <row r="1128" spans="3:12" x14ac:dyDescent="0.3">
      <c r="C1128" s="6"/>
      <c r="E1128" s="6"/>
      <c r="F1128" s="6"/>
      <c r="L1128" s="6"/>
    </row>
    <row r="1129" spans="3:12" x14ac:dyDescent="0.3">
      <c r="C1129" s="6"/>
      <c r="E1129" s="6"/>
      <c r="F1129" s="6"/>
      <c r="L1129" s="6"/>
    </row>
    <row r="1130" spans="3:12" x14ac:dyDescent="0.3">
      <c r="C1130" s="6"/>
      <c r="E1130" s="6"/>
      <c r="F1130" s="6"/>
      <c r="L1130" s="6"/>
    </row>
    <row r="1131" spans="3:12" x14ac:dyDescent="0.3">
      <c r="C1131" s="6"/>
      <c r="E1131" s="6"/>
      <c r="F1131" s="6"/>
      <c r="L1131" s="6"/>
    </row>
    <row r="1132" spans="3:12" x14ac:dyDescent="0.3">
      <c r="C1132" s="6"/>
      <c r="E1132" s="6"/>
      <c r="F1132" s="6"/>
      <c r="L1132" s="6"/>
    </row>
    <row r="1133" spans="3:12" x14ac:dyDescent="0.3">
      <c r="C1133" s="6"/>
      <c r="E1133" s="6"/>
      <c r="F1133" s="6"/>
      <c r="L1133" s="6"/>
    </row>
    <row r="1134" spans="3:12" x14ac:dyDescent="0.3">
      <c r="C1134" s="6"/>
      <c r="E1134" s="6"/>
      <c r="F1134" s="6"/>
      <c r="L1134" s="6"/>
    </row>
    <row r="1135" spans="3:12" x14ac:dyDescent="0.3">
      <c r="C1135" s="6"/>
      <c r="E1135" s="6"/>
      <c r="F1135" s="6"/>
      <c r="L1135" s="6"/>
    </row>
    <row r="1136" spans="3:12" x14ac:dyDescent="0.3">
      <c r="C1136" s="6"/>
      <c r="E1136" s="6"/>
      <c r="F1136" s="6"/>
      <c r="L1136" s="6"/>
    </row>
    <row r="1137" spans="3:12" x14ac:dyDescent="0.3">
      <c r="C1137" s="6"/>
      <c r="E1137" s="6"/>
      <c r="F1137" s="6"/>
      <c r="L1137" s="6"/>
    </row>
    <row r="1138" spans="3:12" x14ac:dyDescent="0.3">
      <c r="C1138" s="6"/>
      <c r="E1138" s="6"/>
      <c r="F1138" s="6"/>
      <c r="L1138" s="6"/>
    </row>
    <row r="1139" spans="3:12" x14ac:dyDescent="0.3">
      <c r="C1139" s="6"/>
      <c r="E1139" s="6"/>
      <c r="F1139" s="6"/>
      <c r="L1139" s="6"/>
    </row>
    <row r="1140" spans="3:12" x14ac:dyDescent="0.3">
      <c r="C1140" s="6"/>
      <c r="E1140" s="6"/>
      <c r="F1140" s="6"/>
      <c r="L1140" s="6"/>
    </row>
    <row r="1141" spans="3:12" x14ac:dyDescent="0.3">
      <c r="C1141" s="6"/>
      <c r="E1141" s="6"/>
      <c r="F1141" s="6"/>
      <c r="L1141" s="6"/>
    </row>
    <row r="1142" spans="3:12" x14ac:dyDescent="0.3">
      <c r="C1142" s="6"/>
      <c r="E1142" s="6"/>
      <c r="F1142" s="6"/>
      <c r="L1142" s="6"/>
    </row>
    <row r="1143" spans="3:12" x14ac:dyDescent="0.3">
      <c r="C1143" s="6"/>
      <c r="E1143" s="6"/>
      <c r="F1143" s="6"/>
      <c r="L1143" s="6"/>
    </row>
    <row r="1144" spans="3:12" x14ac:dyDescent="0.3">
      <c r="C1144" s="6"/>
      <c r="E1144" s="6"/>
      <c r="F1144" s="6"/>
      <c r="L1144" s="6"/>
    </row>
    <row r="1145" spans="3:12" x14ac:dyDescent="0.3">
      <c r="C1145" s="6"/>
      <c r="E1145" s="6"/>
      <c r="F1145" s="6"/>
      <c r="L1145" s="6"/>
    </row>
    <row r="1146" spans="3:12" x14ac:dyDescent="0.3">
      <c r="C1146" s="6"/>
      <c r="E1146" s="6"/>
      <c r="F1146" s="6"/>
      <c r="L1146" s="6"/>
    </row>
    <row r="1147" spans="3:12" x14ac:dyDescent="0.3">
      <c r="C1147" s="6"/>
      <c r="E1147" s="6"/>
      <c r="F1147" s="6"/>
      <c r="L1147" s="6"/>
    </row>
    <row r="1148" spans="3:12" x14ac:dyDescent="0.3">
      <c r="C1148" s="6"/>
      <c r="E1148" s="6"/>
      <c r="F1148" s="6"/>
      <c r="L1148" s="6"/>
    </row>
    <row r="1149" spans="3:12" x14ac:dyDescent="0.3">
      <c r="C1149" s="6"/>
      <c r="E1149" s="6"/>
      <c r="F1149" s="6"/>
      <c r="L1149" s="6"/>
    </row>
    <row r="1150" spans="3:12" x14ac:dyDescent="0.3">
      <c r="C1150" s="6"/>
      <c r="E1150" s="6"/>
      <c r="F1150" s="6"/>
      <c r="L1150" s="6"/>
    </row>
    <row r="1151" spans="3:12" x14ac:dyDescent="0.3">
      <c r="C1151" s="6"/>
      <c r="E1151" s="6"/>
      <c r="F1151" s="6"/>
      <c r="L1151" s="6"/>
    </row>
    <row r="1152" spans="3:12" x14ac:dyDescent="0.3">
      <c r="C1152" s="6"/>
      <c r="E1152" s="6"/>
      <c r="F1152" s="6"/>
      <c r="L1152" s="6"/>
    </row>
    <row r="1153" spans="3:12" x14ac:dyDescent="0.3">
      <c r="C1153" s="6"/>
      <c r="E1153" s="6"/>
      <c r="F1153" s="6"/>
      <c r="L1153" s="6"/>
    </row>
    <row r="1154" spans="3:12" x14ac:dyDescent="0.3">
      <c r="C1154" s="6"/>
      <c r="E1154" s="6"/>
      <c r="F1154" s="6"/>
      <c r="L1154" s="6"/>
    </row>
    <row r="1155" spans="3:12" x14ac:dyDescent="0.3">
      <c r="C1155" s="6"/>
      <c r="E1155" s="6"/>
      <c r="F1155" s="6"/>
      <c r="L1155" s="6"/>
    </row>
    <row r="1156" spans="3:12" x14ac:dyDescent="0.3">
      <c r="C1156" s="6"/>
      <c r="E1156" s="6"/>
      <c r="F1156" s="6"/>
      <c r="L1156" s="6"/>
    </row>
    <row r="1157" spans="3:12" x14ac:dyDescent="0.3">
      <c r="C1157" s="6"/>
      <c r="E1157" s="6"/>
      <c r="F1157" s="6"/>
      <c r="L1157" s="6"/>
    </row>
    <row r="1158" spans="3:12" x14ac:dyDescent="0.3">
      <c r="C1158" s="6"/>
      <c r="E1158" s="6"/>
      <c r="F1158" s="6"/>
      <c r="L1158" s="6"/>
    </row>
    <row r="1159" spans="3:12" x14ac:dyDescent="0.3">
      <c r="C1159" s="6"/>
      <c r="E1159" s="6"/>
      <c r="F1159" s="6"/>
      <c r="L1159" s="6"/>
    </row>
    <row r="1160" spans="3:12" x14ac:dyDescent="0.3">
      <c r="C1160" s="6"/>
      <c r="E1160" s="6"/>
      <c r="F1160" s="6"/>
      <c r="L1160" s="6"/>
    </row>
    <row r="1161" spans="3:12" x14ac:dyDescent="0.3">
      <c r="C1161" s="6"/>
      <c r="E1161" s="6"/>
      <c r="F1161" s="6"/>
      <c r="L1161" s="6"/>
    </row>
    <row r="1162" spans="3:12" x14ac:dyDescent="0.3">
      <c r="C1162" s="6"/>
      <c r="E1162" s="6"/>
      <c r="F1162" s="6"/>
      <c r="L1162" s="6"/>
    </row>
    <row r="1163" spans="3:12" x14ac:dyDescent="0.3">
      <c r="C1163" s="6"/>
      <c r="E1163" s="6"/>
      <c r="F1163" s="6"/>
      <c r="L1163" s="6"/>
    </row>
    <row r="1164" spans="3:12" x14ac:dyDescent="0.3">
      <c r="C1164" s="6"/>
      <c r="E1164" s="6"/>
      <c r="F1164" s="6"/>
      <c r="L1164" s="6"/>
    </row>
    <row r="1165" spans="3:12" x14ac:dyDescent="0.3">
      <c r="C1165" s="6"/>
      <c r="E1165" s="6"/>
      <c r="F1165" s="6"/>
      <c r="L1165" s="6"/>
    </row>
    <row r="1166" spans="3:12" x14ac:dyDescent="0.3">
      <c r="C1166" s="6"/>
      <c r="E1166" s="6"/>
      <c r="F1166" s="6"/>
      <c r="L1166" s="6"/>
    </row>
    <row r="1167" spans="3:12" x14ac:dyDescent="0.3">
      <c r="C1167" s="6"/>
      <c r="E1167" s="6"/>
      <c r="F1167" s="6"/>
      <c r="L1167" s="6"/>
    </row>
    <row r="1168" spans="3:12" x14ac:dyDescent="0.3">
      <c r="C1168" s="6"/>
      <c r="E1168" s="6"/>
      <c r="F1168" s="6"/>
      <c r="L1168" s="6"/>
    </row>
    <row r="1169" spans="3:12" x14ac:dyDescent="0.3">
      <c r="C1169" s="6"/>
      <c r="E1169" s="6"/>
      <c r="F1169" s="6"/>
      <c r="L1169" s="6"/>
    </row>
    <row r="1170" spans="3:12" x14ac:dyDescent="0.3">
      <c r="C1170" s="6"/>
      <c r="E1170" s="6"/>
      <c r="F1170" s="6"/>
      <c r="L1170" s="6"/>
    </row>
    <row r="1171" spans="3:12" x14ac:dyDescent="0.3">
      <c r="C1171" s="6"/>
      <c r="E1171" s="6"/>
      <c r="F1171" s="6"/>
      <c r="L1171" s="6"/>
    </row>
    <row r="1172" spans="3:12" x14ac:dyDescent="0.3">
      <c r="C1172" s="6"/>
      <c r="E1172" s="6"/>
      <c r="F1172" s="6"/>
      <c r="L1172" s="6"/>
    </row>
    <row r="1173" spans="3:12" x14ac:dyDescent="0.3">
      <c r="C1173" s="6"/>
      <c r="E1173" s="6"/>
      <c r="F1173" s="6"/>
      <c r="L1173" s="6"/>
    </row>
    <row r="1174" spans="3:12" x14ac:dyDescent="0.3">
      <c r="C1174" s="6"/>
      <c r="E1174" s="6"/>
      <c r="F1174" s="6"/>
      <c r="L1174" s="6"/>
    </row>
    <row r="1175" spans="3:12" x14ac:dyDescent="0.3">
      <c r="C1175" s="6"/>
      <c r="E1175" s="6"/>
      <c r="F1175" s="6"/>
      <c r="L1175" s="6"/>
    </row>
    <row r="1176" spans="3:12" x14ac:dyDescent="0.3">
      <c r="C1176" s="6"/>
      <c r="E1176" s="6"/>
      <c r="F1176" s="6"/>
      <c r="L1176" s="6"/>
    </row>
    <row r="1177" spans="3:12" x14ac:dyDescent="0.3">
      <c r="C1177" s="6"/>
      <c r="E1177" s="6"/>
      <c r="F1177" s="6"/>
      <c r="L1177" s="6"/>
    </row>
    <row r="1178" spans="3:12" x14ac:dyDescent="0.3">
      <c r="C1178" s="6"/>
      <c r="E1178" s="6"/>
      <c r="F1178" s="6"/>
      <c r="L1178" s="6"/>
    </row>
    <row r="1179" spans="3:12" x14ac:dyDescent="0.3">
      <c r="C1179" s="6"/>
      <c r="E1179" s="6"/>
      <c r="F1179" s="6"/>
      <c r="L1179" s="6"/>
    </row>
    <row r="1180" spans="3:12" x14ac:dyDescent="0.3">
      <c r="C1180" s="6"/>
      <c r="E1180" s="6"/>
      <c r="F1180" s="6"/>
      <c r="L1180" s="6"/>
    </row>
    <row r="1181" spans="3:12" x14ac:dyDescent="0.3">
      <c r="C1181" s="6"/>
      <c r="E1181" s="6"/>
      <c r="F1181" s="6"/>
      <c r="L1181" s="6"/>
    </row>
    <row r="1182" spans="3:12" x14ac:dyDescent="0.3">
      <c r="C1182" s="6"/>
      <c r="E1182" s="6"/>
      <c r="F1182" s="6"/>
      <c r="L1182" s="6"/>
    </row>
    <row r="1183" spans="3:12" x14ac:dyDescent="0.3">
      <c r="C1183" s="6"/>
      <c r="E1183" s="6"/>
      <c r="F1183" s="6"/>
      <c r="L1183" s="6"/>
    </row>
    <row r="1184" spans="3:12" x14ac:dyDescent="0.3">
      <c r="C1184" s="6"/>
      <c r="E1184" s="6"/>
      <c r="F1184" s="6"/>
      <c r="L1184" s="6"/>
    </row>
    <row r="1185" spans="3:12" x14ac:dyDescent="0.3">
      <c r="C1185" s="6"/>
      <c r="E1185" s="6"/>
      <c r="F1185" s="6"/>
      <c r="L1185" s="6"/>
    </row>
    <row r="1186" spans="3:12" x14ac:dyDescent="0.3">
      <c r="C1186" s="6"/>
      <c r="E1186" s="6"/>
      <c r="F1186" s="6"/>
      <c r="L1186" s="6"/>
    </row>
    <row r="1187" spans="3:12" x14ac:dyDescent="0.3">
      <c r="C1187" s="6"/>
      <c r="E1187" s="6"/>
      <c r="F1187" s="6"/>
      <c r="L1187" s="6"/>
    </row>
    <row r="1188" spans="3:12" x14ac:dyDescent="0.3">
      <c r="C1188" s="6"/>
      <c r="E1188" s="6"/>
      <c r="F1188" s="6"/>
      <c r="L1188" s="6"/>
    </row>
    <row r="1189" spans="3:12" x14ac:dyDescent="0.3">
      <c r="C1189" s="6"/>
      <c r="E1189" s="6"/>
      <c r="F1189" s="6"/>
      <c r="L1189" s="6"/>
    </row>
    <row r="1190" spans="3:12" x14ac:dyDescent="0.3">
      <c r="C1190" s="6"/>
      <c r="E1190" s="6"/>
      <c r="F1190" s="6"/>
      <c r="L1190" s="6"/>
    </row>
    <row r="1191" spans="3:12" x14ac:dyDescent="0.3">
      <c r="C1191" s="6"/>
      <c r="E1191" s="6"/>
      <c r="F1191" s="6"/>
      <c r="L1191" s="6"/>
    </row>
    <row r="1192" spans="3:12" x14ac:dyDescent="0.3">
      <c r="C1192" s="6"/>
      <c r="E1192" s="6"/>
      <c r="F1192" s="6"/>
      <c r="L1192" s="6"/>
    </row>
    <row r="1193" spans="3:12" x14ac:dyDescent="0.3">
      <c r="C1193" s="6"/>
      <c r="E1193" s="6"/>
      <c r="F1193" s="6"/>
      <c r="L1193" s="6"/>
    </row>
    <row r="1194" spans="3:12" x14ac:dyDescent="0.3">
      <c r="C1194" s="6"/>
      <c r="E1194" s="6"/>
      <c r="F1194" s="6"/>
      <c r="L1194" s="6"/>
    </row>
    <row r="1195" spans="3:12" x14ac:dyDescent="0.3">
      <c r="C1195" s="6"/>
      <c r="E1195" s="6"/>
      <c r="F1195" s="6"/>
      <c r="L1195" s="6"/>
    </row>
    <row r="1196" spans="3:12" x14ac:dyDescent="0.3">
      <c r="C1196" s="6"/>
      <c r="E1196" s="6"/>
      <c r="F1196" s="6"/>
      <c r="L1196" s="6"/>
    </row>
    <row r="1197" spans="3:12" x14ac:dyDescent="0.3">
      <c r="C1197" s="6"/>
      <c r="E1197" s="6"/>
      <c r="F1197" s="6"/>
      <c r="L1197" s="6"/>
    </row>
    <row r="1198" spans="3:12" x14ac:dyDescent="0.3">
      <c r="C1198" s="6"/>
      <c r="E1198" s="6"/>
      <c r="F1198" s="6"/>
      <c r="L1198" s="6"/>
    </row>
    <row r="1199" spans="3:12" x14ac:dyDescent="0.3">
      <c r="C1199" s="6"/>
      <c r="E1199" s="6"/>
      <c r="F1199" s="6"/>
      <c r="L1199" s="6"/>
    </row>
    <row r="1200" spans="3:12" x14ac:dyDescent="0.3">
      <c r="C1200" s="6"/>
      <c r="E1200" s="6"/>
      <c r="F1200" s="6"/>
      <c r="L1200" s="6"/>
    </row>
    <row r="1201" spans="3:12" x14ac:dyDescent="0.3">
      <c r="C1201" s="6"/>
      <c r="E1201" s="6"/>
      <c r="F1201" s="6"/>
      <c r="L1201" s="6"/>
    </row>
    <row r="1202" spans="3:12" x14ac:dyDescent="0.3">
      <c r="C1202" s="6"/>
      <c r="E1202" s="6"/>
      <c r="F1202" s="6"/>
      <c r="L1202" s="6"/>
    </row>
    <row r="1203" spans="3:12" x14ac:dyDescent="0.3">
      <c r="C1203" s="6"/>
      <c r="E1203" s="6"/>
      <c r="F1203" s="6"/>
      <c r="L1203" s="6"/>
    </row>
    <row r="1204" spans="3:12" x14ac:dyDescent="0.3">
      <c r="C1204" s="6"/>
      <c r="E1204" s="6"/>
      <c r="F1204" s="6"/>
      <c r="L1204" s="6"/>
    </row>
    <row r="1205" spans="3:12" x14ac:dyDescent="0.3">
      <c r="C1205" s="6"/>
      <c r="E1205" s="6"/>
      <c r="F1205" s="6"/>
      <c r="L1205" s="6"/>
    </row>
    <row r="1206" spans="3:12" x14ac:dyDescent="0.3">
      <c r="C1206" s="6"/>
      <c r="E1206" s="6"/>
      <c r="F1206" s="6"/>
      <c r="L1206" s="6"/>
    </row>
    <row r="1207" spans="3:12" x14ac:dyDescent="0.3">
      <c r="C1207" s="6"/>
      <c r="E1207" s="6"/>
      <c r="F1207" s="6"/>
      <c r="L1207" s="6"/>
    </row>
    <row r="1208" spans="3:12" x14ac:dyDescent="0.3">
      <c r="C1208" s="6"/>
      <c r="E1208" s="6"/>
      <c r="F1208" s="6"/>
      <c r="L1208" s="6"/>
    </row>
    <row r="1209" spans="3:12" x14ac:dyDescent="0.3">
      <c r="C1209" s="6"/>
      <c r="E1209" s="6"/>
      <c r="F1209" s="6"/>
      <c r="L1209" s="6"/>
    </row>
    <row r="1210" spans="3:12" x14ac:dyDescent="0.3">
      <c r="C1210" s="6"/>
      <c r="E1210" s="6"/>
      <c r="F1210" s="6"/>
      <c r="L1210" s="6"/>
    </row>
    <row r="1211" spans="3:12" x14ac:dyDescent="0.3">
      <c r="C1211" s="6"/>
      <c r="E1211" s="6"/>
      <c r="F1211" s="6"/>
      <c r="L1211" s="6"/>
    </row>
    <row r="1212" spans="3:12" x14ac:dyDescent="0.3">
      <c r="C1212" s="6"/>
      <c r="E1212" s="6"/>
      <c r="F1212" s="6"/>
      <c r="L1212" s="6"/>
    </row>
    <row r="1213" spans="3:12" x14ac:dyDescent="0.3">
      <c r="C1213" s="6"/>
      <c r="E1213" s="6"/>
      <c r="F1213" s="6"/>
      <c r="L1213" s="6"/>
    </row>
    <row r="1214" spans="3:12" x14ac:dyDescent="0.3">
      <c r="C1214" s="6"/>
      <c r="E1214" s="6"/>
      <c r="F1214" s="6"/>
      <c r="L1214" s="6"/>
    </row>
    <row r="1215" spans="3:12" x14ac:dyDescent="0.3">
      <c r="C1215" s="6"/>
      <c r="E1215" s="6"/>
      <c r="F1215" s="6"/>
      <c r="L1215" s="6"/>
    </row>
    <row r="1216" spans="3:12" x14ac:dyDescent="0.3">
      <c r="C1216" s="6"/>
      <c r="E1216" s="6"/>
      <c r="F1216" s="6"/>
      <c r="L1216" s="6"/>
    </row>
    <row r="1217" spans="3:12" x14ac:dyDescent="0.3">
      <c r="C1217" s="6"/>
      <c r="E1217" s="6"/>
      <c r="F1217" s="6"/>
      <c r="L1217" s="6"/>
    </row>
    <row r="1218" spans="3:12" x14ac:dyDescent="0.3">
      <c r="C1218" s="6"/>
      <c r="E1218" s="6"/>
      <c r="F1218" s="6"/>
      <c r="L1218" s="6"/>
    </row>
    <row r="1219" spans="3:12" x14ac:dyDescent="0.3">
      <c r="C1219" s="6"/>
      <c r="E1219" s="6"/>
      <c r="F1219" s="6"/>
      <c r="L1219" s="6"/>
    </row>
    <row r="1220" spans="3:12" x14ac:dyDescent="0.3">
      <c r="C1220" s="6"/>
      <c r="E1220" s="6"/>
      <c r="F1220" s="6"/>
      <c r="L1220" s="6"/>
    </row>
    <row r="1221" spans="3:12" x14ac:dyDescent="0.3">
      <c r="C1221" s="6"/>
      <c r="E1221" s="6"/>
      <c r="F1221" s="6"/>
      <c r="L1221" s="6"/>
    </row>
    <row r="1222" spans="3:12" x14ac:dyDescent="0.3">
      <c r="C1222" s="6"/>
      <c r="E1222" s="6"/>
      <c r="F1222" s="6"/>
      <c r="L1222" s="6"/>
    </row>
    <row r="1223" spans="3:12" x14ac:dyDescent="0.3">
      <c r="C1223" s="6"/>
      <c r="E1223" s="6"/>
      <c r="F1223" s="6"/>
      <c r="L1223" s="6"/>
    </row>
    <row r="1224" spans="3:12" x14ac:dyDescent="0.3">
      <c r="C1224" s="6"/>
      <c r="E1224" s="6"/>
      <c r="F1224" s="6"/>
      <c r="L1224" s="6"/>
    </row>
    <row r="1225" spans="3:12" x14ac:dyDescent="0.3">
      <c r="C1225" s="6"/>
      <c r="E1225" s="6"/>
      <c r="F1225" s="6"/>
      <c r="L1225" s="6"/>
    </row>
    <row r="1226" spans="3:12" x14ac:dyDescent="0.3">
      <c r="C1226" s="6"/>
      <c r="E1226" s="6"/>
      <c r="F1226" s="6"/>
      <c r="L1226" s="6"/>
    </row>
    <row r="1227" spans="3:12" x14ac:dyDescent="0.3">
      <c r="C1227" s="6"/>
      <c r="E1227" s="6"/>
      <c r="F1227" s="6"/>
      <c r="L1227" s="6"/>
    </row>
    <row r="1228" spans="3:12" x14ac:dyDescent="0.3">
      <c r="C1228" s="6"/>
      <c r="E1228" s="6"/>
      <c r="F1228" s="6"/>
      <c r="L1228" s="6"/>
    </row>
    <row r="1229" spans="3:12" x14ac:dyDescent="0.3">
      <c r="C1229" s="6"/>
      <c r="E1229" s="6"/>
      <c r="F1229" s="6"/>
      <c r="L1229" s="6"/>
    </row>
    <row r="1230" spans="3:12" x14ac:dyDescent="0.3">
      <c r="C1230" s="6"/>
      <c r="E1230" s="6"/>
      <c r="F1230" s="6"/>
      <c r="L1230" s="6"/>
    </row>
    <row r="1231" spans="3:12" x14ac:dyDescent="0.3">
      <c r="C1231" s="6"/>
      <c r="E1231" s="6"/>
      <c r="F1231" s="6"/>
      <c r="L1231" s="6"/>
    </row>
    <row r="1232" spans="3:12" x14ac:dyDescent="0.3">
      <c r="C1232" s="6"/>
      <c r="E1232" s="6"/>
      <c r="F1232" s="6"/>
      <c r="L1232" s="6"/>
    </row>
    <row r="1233" spans="3:12" x14ac:dyDescent="0.3">
      <c r="C1233" s="6"/>
      <c r="E1233" s="6"/>
      <c r="F1233" s="6"/>
      <c r="L1233" s="6"/>
    </row>
    <row r="1234" spans="3:12" x14ac:dyDescent="0.3">
      <c r="C1234" s="6"/>
      <c r="E1234" s="6"/>
      <c r="F1234" s="6"/>
      <c r="L1234" s="6"/>
    </row>
    <row r="1235" spans="3:12" x14ac:dyDescent="0.3">
      <c r="C1235" s="6"/>
      <c r="E1235" s="6"/>
      <c r="F1235" s="6"/>
      <c r="L1235" s="6"/>
    </row>
    <row r="1236" spans="3:12" x14ac:dyDescent="0.3">
      <c r="C1236" s="6"/>
      <c r="E1236" s="6"/>
      <c r="F1236" s="6"/>
      <c r="L1236" s="6"/>
    </row>
    <row r="1237" spans="3:12" x14ac:dyDescent="0.3">
      <c r="C1237" s="6"/>
      <c r="E1237" s="6"/>
      <c r="F1237" s="6"/>
      <c r="L1237" s="6"/>
    </row>
    <row r="1238" spans="3:12" x14ac:dyDescent="0.3">
      <c r="C1238" s="6"/>
      <c r="E1238" s="6"/>
      <c r="F1238" s="6"/>
      <c r="L1238" s="6"/>
    </row>
    <row r="1239" spans="3:12" x14ac:dyDescent="0.3">
      <c r="C1239" s="6"/>
      <c r="E1239" s="6"/>
      <c r="F1239" s="6"/>
      <c r="L1239" s="6"/>
    </row>
    <row r="1240" spans="3:12" x14ac:dyDescent="0.3">
      <c r="C1240" s="6"/>
      <c r="E1240" s="6"/>
      <c r="F1240" s="6"/>
      <c r="L1240" s="6"/>
    </row>
    <row r="1241" spans="3:12" x14ac:dyDescent="0.3">
      <c r="C1241" s="6"/>
      <c r="E1241" s="6"/>
      <c r="F1241" s="6"/>
      <c r="L1241" s="6"/>
    </row>
    <row r="1242" spans="3:12" x14ac:dyDescent="0.3">
      <c r="C1242" s="6"/>
      <c r="E1242" s="6"/>
      <c r="F1242" s="6"/>
      <c r="L1242" s="6"/>
    </row>
    <row r="1243" spans="3:12" x14ac:dyDescent="0.3">
      <c r="C1243" s="6"/>
      <c r="E1243" s="6"/>
      <c r="F1243" s="6"/>
      <c r="L1243" s="6"/>
    </row>
    <row r="1244" spans="3:12" x14ac:dyDescent="0.3">
      <c r="C1244" s="6"/>
      <c r="E1244" s="6"/>
      <c r="F1244" s="6"/>
      <c r="L1244" s="6"/>
    </row>
    <row r="1245" spans="3:12" x14ac:dyDescent="0.3">
      <c r="C1245" s="6"/>
      <c r="E1245" s="6"/>
      <c r="F1245" s="6"/>
      <c r="L1245" s="6"/>
    </row>
    <row r="1246" spans="3:12" x14ac:dyDescent="0.3">
      <c r="C1246" s="6"/>
      <c r="E1246" s="6"/>
      <c r="F1246" s="6"/>
      <c r="L1246" s="6"/>
    </row>
    <row r="1247" spans="3:12" x14ac:dyDescent="0.3">
      <c r="C1247" s="6"/>
      <c r="E1247" s="6"/>
      <c r="F1247" s="6"/>
      <c r="L1247" s="6"/>
    </row>
    <row r="1248" spans="3:12" x14ac:dyDescent="0.3">
      <c r="C1248" s="6"/>
      <c r="E1248" s="6"/>
      <c r="F1248" s="6"/>
      <c r="L1248" s="6"/>
    </row>
    <row r="1249" spans="3:12" x14ac:dyDescent="0.3">
      <c r="C1249" s="6"/>
      <c r="E1249" s="6"/>
      <c r="F1249" s="6"/>
      <c r="L1249" s="6"/>
    </row>
    <row r="1250" spans="3:12" x14ac:dyDescent="0.3">
      <c r="C1250" s="6"/>
      <c r="E1250" s="6"/>
      <c r="F1250" s="6"/>
      <c r="L1250" s="6"/>
    </row>
    <row r="1251" spans="3:12" x14ac:dyDescent="0.3">
      <c r="C1251" s="6"/>
      <c r="E1251" s="6"/>
      <c r="F1251" s="6"/>
      <c r="L1251" s="6"/>
    </row>
    <row r="1252" spans="3:12" x14ac:dyDescent="0.3">
      <c r="C1252" s="6"/>
      <c r="E1252" s="6"/>
      <c r="F1252" s="6"/>
      <c r="L1252" s="6"/>
    </row>
    <row r="1253" spans="3:12" x14ac:dyDescent="0.3">
      <c r="C1253" s="6"/>
      <c r="E1253" s="6"/>
      <c r="F1253" s="6"/>
      <c r="L1253" s="6"/>
    </row>
    <row r="1254" spans="3:12" x14ac:dyDescent="0.3">
      <c r="C1254" s="6"/>
      <c r="E1254" s="6"/>
      <c r="F1254" s="6"/>
      <c r="L1254" s="6"/>
    </row>
    <row r="1255" spans="3:12" x14ac:dyDescent="0.3">
      <c r="C1255" s="6"/>
      <c r="E1255" s="6"/>
      <c r="F1255" s="6"/>
      <c r="L1255" s="6"/>
    </row>
    <row r="1256" spans="3:12" x14ac:dyDescent="0.3">
      <c r="C1256" s="6"/>
      <c r="E1256" s="6"/>
      <c r="F1256" s="6"/>
      <c r="L1256" s="6"/>
    </row>
    <row r="1257" spans="3:12" x14ac:dyDescent="0.3">
      <c r="C1257" s="6"/>
      <c r="E1257" s="6"/>
      <c r="F1257" s="6"/>
      <c r="L1257" s="6"/>
    </row>
    <row r="1258" spans="3:12" x14ac:dyDescent="0.3">
      <c r="C1258" s="6"/>
      <c r="E1258" s="6"/>
      <c r="F1258" s="6"/>
      <c r="L1258" s="6"/>
    </row>
    <row r="1259" spans="3:12" x14ac:dyDescent="0.3">
      <c r="C1259" s="6"/>
      <c r="E1259" s="6"/>
      <c r="F1259" s="6"/>
      <c r="L1259" s="6"/>
    </row>
    <row r="1260" spans="3:12" x14ac:dyDescent="0.3">
      <c r="C1260" s="6"/>
      <c r="E1260" s="6"/>
      <c r="F1260" s="6"/>
      <c r="L1260" s="6"/>
    </row>
    <row r="1261" spans="3:12" x14ac:dyDescent="0.3">
      <c r="C1261" s="6"/>
      <c r="E1261" s="6"/>
      <c r="F1261" s="6"/>
      <c r="L1261" s="6"/>
    </row>
    <row r="1262" spans="3:12" x14ac:dyDescent="0.3">
      <c r="C1262" s="6"/>
      <c r="E1262" s="6"/>
      <c r="F1262" s="6"/>
      <c r="L1262" s="6"/>
    </row>
    <row r="1263" spans="3:12" x14ac:dyDescent="0.3">
      <c r="C1263" s="6"/>
      <c r="E1263" s="6"/>
      <c r="F1263" s="6"/>
      <c r="L1263" s="6"/>
    </row>
    <row r="1264" spans="3:12" x14ac:dyDescent="0.3">
      <c r="C1264" s="6"/>
      <c r="E1264" s="6"/>
      <c r="F1264" s="6"/>
      <c r="L1264" s="6"/>
    </row>
    <row r="1265" spans="3:12" x14ac:dyDescent="0.3">
      <c r="C1265" s="6"/>
      <c r="E1265" s="6"/>
      <c r="F1265" s="6"/>
      <c r="L1265" s="6"/>
    </row>
    <row r="1266" spans="3:12" x14ac:dyDescent="0.3">
      <c r="C1266" s="6"/>
      <c r="E1266" s="6"/>
      <c r="F1266" s="6"/>
      <c r="L1266" s="6"/>
    </row>
    <row r="1267" spans="3:12" x14ac:dyDescent="0.3">
      <c r="C1267" s="6"/>
      <c r="E1267" s="6"/>
      <c r="F1267" s="6"/>
      <c r="L1267" s="6"/>
    </row>
    <row r="1268" spans="3:12" x14ac:dyDescent="0.3">
      <c r="C1268" s="6"/>
      <c r="E1268" s="6"/>
      <c r="F1268" s="6"/>
      <c r="L1268" s="6"/>
    </row>
    <row r="1269" spans="3:12" x14ac:dyDescent="0.3">
      <c r="C1269" s="6"/>
      <c r="E1269" s="6"/>
      <c r="F1269" s="6"/>
      <c r="L1269" s="6"/>
    </row>
    <row r="1270" spans="3:12" x14ac:dyDescent="0.3">
      <c r="C1270" s="6"/>
      <c r="E1270" s="6"/>
      <c r="F1270" s="6"/>
      <c r="L1270" s="6"/>
    </row>
    <row r="1271" spans="3:12" x14ac:dyDescent="0.3">
      <c r="C1271" s="6"/>
      <c r="E1271" s="6"/>
      <c r="F1271" s="6"/>
      <c r="L1271" s="6"/>
    </row>
    <row r="1272" spans="3:12" x14ac:dyDescent="0.3">
      <c r="C1272" s="6"/>
      <c r="E1272" s="6"/>
      <c r="F1272" s="6"/>
      <c r="L1272" s="6"/>
    </row>
    <row r="1273" spans="3:12" x14ac:dyDescent="0.3">
      <c r="C1273" s="6"/>
      <c r="E1273" s="6"/>
      <c r="F1273" s="6"/>
      <c r="L1273" s="6"/>
    </row>
    <row r="1274" spans="3:12" x14ac:dyDescent="0.3">
      <c r="C1274" s="6"/>
      <c r="E1274" s="6"/>
      <c r="F1274" s="6"/>
      <c r="L1274" s="6"/>
    </row>
    <row r="1275" spans="3:12" x14ac:dyDescent="0.3">
      <c r="C1275" s="6"/>
      <c r="E1275" s="6"/>
      <c r="F1275" s="6"/>
      <c r="L1275" s="6"/>
    </row>
    <row r="1276" spans="3:12" x14ac:dyDescent="0.3">
      <c r="C1276" s="6"/>
      <c r="E1276" s="6"/>
      <c r="F1276" s="6"/>
      <c r="L1276" s="6"/>
    </row>
    <row r="1277" spans="3:12" x14ac:dyDescent="0.3">
      <c r="C1277" s="6"/>
      <c r="E1277" s="6"/>
      <c r="F1277" s="6"/>
      <c r="L1277" s="6"/>
    </row>
    <row r="1278" spans="3:12" x14ac:dyDescent="0.3">
      <c r="C1278" s="6"/>
      <c r="E1278" s="6"/>
      <c r="F1278" s="6"/>
      <c r="L1278" s="6"/>
    </row>
    <row r="1279" spans="3:12" x14ac:dyDescent="0.3">
      <c r="C1279" s="6"/>
      <c r="E1279" s="6"/>
      <c r="F1279" s="6"/>
      <c r="L1279" s="6"/>
    </row>
    <row r="1280" spans="3:12" x14ac:dyDescent="0.3">
      <c r="C1280" s="6"/>
      <c r="E1280" s="6"/>
      <c r="F1280" s="6"/>
      <c r="L1280" s="6"/>
    </row>
    <row r="1281" spans="3:12" x14ac:dyDescent="0.3">
      <c r="C1281" s="6"/>
      <c r="E1281" s="6"/>
      <c r="F1281" s="6"/>
      <c r="L1281" s="6"/>
    </row>
    <row r="1282" spans="3:12" x14ac:dyDescent="0.3">
      <c r="C1282" s="6"/>
      <c r="E1282" s="6"/>
      <c r="F1282" s="6"/>
      <c r="L1282" s="6"/>
    </row>
    <row r="1283" spans="3:12" x14ac:dyDescent="0.3">
      <c r="C1283" s="6"/>
      <c r="E1283" s="6"/>
      <c r="F1283" s="6"/>
      <c r="L1283" s="6"/>
    </row>
    <row r="1284" spans="3:12" x14ac:dyDescent="0.3">
      <c r="C1284" s="6"/>
      <c r="E1284" s="6"/>
      <c r="F1284" s="6"/>
      <c r="L1284" s="6"/>
    </row>
    <row r="1285" spans="3:12" x14ac:dyDescent="0.3">
      <c r="C1285" s="6"/>
      <c r="E1285" s="6"/>
      <c r="F1285" s="6"/>
      <c r="L1285" s="6"/>
    </row>
    <row r="1286" spans="3:12" x14ac:dyDescent="0.3">
      <c r="C1286" s="6"/>
      <c r="E1286" s="6"/>
      <c r="F1286" s="6"/>
      <c r="L1286" s="6"/>
    </row>
  </sheetData>
  <mergeCells count="2">
    <mergeCell ref="A54:B54"/>
    <mergeCell ref="A56:B5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0CF0-1D11-46C8-88E4-556EB400A544}">
  <dimension ref="A1:Q27"/>
  <sheetViews>
    <sheetView topLeftCell="E1" zoomScale="85" zoomScaleNormal="85" workbookViewId="0">
      <selection activeCell="Q27" sqref="Q27"/>
    </sheetView>
  </sheetViews>
  <sheetFormatPr defaultRowHeight="14.4" x14ac:dyDescent="0.3"/>
  <cols>
    <col min="2" max="2" width="10.6640625" bestFit="1" customWidth="1"/>
    <col min="3" max="3" width="11.5546875" bestFit="1" customWidth="1"/>
    <col min="17" max="17" width="10.44140625" bestFit="1" customWidth="1"/>
  </cols>
  <sheetData>
    <row r="1" spans="1:17" ht="15" thickBot="1" x14ac:dyDescent="0.35">
      <c r="A1" s="15"/>
      <c r="B1" s="66"/>
      <c r="C1" s="22"/>
      <c r="D1" s="2"/>
      <c r="E1" s="25"/>
      <c r="F1" s="3"/>
      <c r="G1" s="2"/>
      <c r="H1" s="2"/>
      <c r="I1" s="2"/>
      <c r="J1" s="2"/>
      <c r="K1" s="2"/>
      <c r="L1" s="25"/>
      <c r="M1" s="2"/>
      <c r="N1" s="2"/>
      <c r="O1" s="2"/>
      <c r="P1" s="2"/>
      <c r="Q1" s="2"/>
    </row>
    <row r="2" spans="1:17" x14ac:dyDescent="0.3">
      <c r="A2" s="14"/>
      <c r="B2" s="67"/>
      <c r="C2" s="24" t="s">
        <v>0</v>
      </c>
      <c r="D2" s="143"/>
      <c r="E2" s="171" t="s">
        <v>3</v>
      </c>
      <c r="F2" s="219" t="s">
        <v>2</v>
      </c>
      <c r="G2" s="171">
        <v>1</v>
      </c>
      <c r="H2" s="219">
        <v>2</v>
      </c>
      <c r="I2" s="219">
        <v>3</v>
      </c>
      <c r="J2" s="219">
        <v>4</v>
      </c>
      <c r="K2" s="173">
        <v>5</v>
      </c>
      <c r="L2" s="171">
        <v>6</v>
      </c>
      <c r="M2" s="172">
        <v>7</v>
      </c>
      <c r="N2" s="173">
        <v>8</v>
      </c>
      <c r="O2" s="171">
        <v>9</v>
      </c>
      <c r="P2" s="173">
        <v>10</v>
      </c>
      <c r="Q2" s="263" t="s">
        <v>49</v>
      </c>
    </row>
    <row r="3" spans="1:17" ht="15" thickBot="1" x14ac:dyDescent="0.35">
      <c r="A3" s="14"/>
      <c r="B3" s="63" t="s">
        <v>1</v>
      </c>
      <c r="C3" s="23" t="s">
        <v>4</v>
      </c>
      <c r="D3" s="213" t="s">
        <v>5</v>
      </c>
      <c r="E3" s="174"/>
      <c r="F3" s="88"/>
      <c r="G3" s="230"/>
      <c r="H3" s="88"/>
      <c r="I3" s="88"/>
      <c r="J3" s="88"/>
      <c r="K3" s="175"/>
      <c r="L3" s="174"/>
      <c r="M3" s="90"/>
      <c r="N3" s="175"/>
      <c r="O3" s="174"/>
      <c r="P3" s="175"/>
      <c r="Q3" s="264"/>
    </row>
    <row r="4" spans="1:17" x14ac:dyDescent="0.3">
      <c r="A4" s="143">
        <v>1</v>
      </c>
      <c r="B4" s="64" t="s">
        <v>36</v>
      </c>
      <c r="C4" s="36" t="s">
        <v>35</v>
      </c>
      <c r="D4" s="37" t="s">
        <v>6</v>
      </c>
      <c r="E4" s="82">
        <f t="shared" ref="E4:F6" si="0">F4/1.3</f>
        <v>-8.8757396449704142</v>
      </c>
      <c r="F4" s="98">
        <f t="shared" si="0"/>
        <v>-11.538461538461538</v>
      </c>
      <c r="G4" s="231">
        <v>-15</v>
      </c>
      <c r="H4" s="83">
        <f t="shared" ref="H4:K6" si="1">G4*1.3</f>
        <v>-19.5</v>
      </c>
      <c r="I4" s="83">
        <f t="shared" si="1"/>
        <v>-25.35</v>
      </c>
      <c r="J4" s="83">
        <f t="shared" si="1"/>
        <v>-32.955000000000005</v>
      </c>
      <c r="K4" s="84">
        <f t="shared" si="1"/>
        <v>-42.841500000000011</v>
      </c>
      <c r="L4" s="82">
        <f>K4*1.35</f>
        <v>-57.836025000000021</v>
      </c>
      <c r="M4" s="83">
        <f>L4*1.4</f>
        <v>-80.970435000000023</v>
      </c>
      <c r="N4" s="84">
        <f t="shared" ref="N4:N6" si="2">M4*1.45</f>
        <v>-117.40713075000004</v>
      </c>
      <c r="O4" s="82">
        <f>Q4*1.5</f>
        <v>-255.36050938125007</v>
      </c>
      <c r="P4" s="84">
        <f>O4*1.55</f>
        <v>-395.8087895409376</v>
      </c>
      <c r="Q4" s="265">
        <f>N4*1.45</f>
        <v>-170.24033958750005</v>
      </c>
    </row>
    <row r="5" spans="1:17" x14ac:dyDescent="0.3">
      <c r="A5" s="149">
        <v>1</v>
      </c>
      <c r="B5" s="68"/>
      <c r="C5" s="38" t="s">
        <v>35</v>
      </c>
      <c r="D5" s="214" t="s">
        <v>7</v>
      </c>
      <c r="E5" s="176">
        <f t="shared" si="0"/>
        <v>-17.751479289940828</v>
      </c>
      <c r="F5" s="161">
        <f t="shared" si="0"/>
        <v>-23.076923076923077</v>
      </c>
      <c r="G5" s="232">
        <f>G4*2</f>
        <v>-30</v>
      </c>
      <c r="H5" s="30">
        <f t="shared" si="1"/>
        <v>-39</v>
      </c>
      <c r="I5" s="30">
        <f t="shared" si="1"/>
        <v>-50.7</v>
      </c>
      <c r="J5" s="30">
        <f t="shared" si="1"/>
        <v>-65.910000000000011</v>
      </c>
      <c r="K5" s="85">
        <f t="shared" si="1"/>
        <v>-85.683000000000021</v>
      </c>
      <c r="L5" s="176">
        <f>K5*1.35</f>
        <v>-115.67205000000004</v>
      </c>
      <c r="M5" s="30">
        <f>L5*1.4</f>
        <v>-161.94087000000005</v>
      </c>
      <c r="N5" s="85">
        <f t="shared" si="2"/>
        <v>-234.81426150000007</v>
      </c>
      <c r="O5" s="176">
        <f>Q5*1.5</f>
        <v>-510.72101876250014</v>
      </c>
      <c r="P5" s="85">
        <f>O5*1.55</f>
        <v>-791.61757908187519</v>
      </c>
      <c r="Q5" s="266">
        <f>N5*1.45</f>
        <v>-340.48067917500009</v>
      </c>
    </row>
    <row r="6" spans="1:17" ht="15" thickBot="1" x14ac:dyDescent="0.35">
      <c r="A6" s="17">
        <v>1</v>
      </c>
      <c r="B6" s="144"/>
      <c r="C6" s="39" t="s">
        <v>35</v>
      </c>
      <c r="D6" s="215" t="s">
        <v>8</v>
      </c>
      <c r="E6" s="177">
        <f t="shared" si="0"/>
        <v>-35.502958579881657</v>
      </c>
      <c r="F6" s="162">
        <f t="shared" si="0"/>
        <v>-46.153846153846153</v>
      </c>
      <c r="G6" s="233">
        <f>G4*4</f>
        <v>-60</v>
      </c>
      <c r="H6" s="86">
        <f t="shared" si="1"/>
        <v>-78</v>
      </c>
      <c r="I6" s="86">
        <f t="shared" si="1"/>
        <v>-101.4</v>
      </c>
      <c r="J6" s="86">
        <f t="shared" si="1"/>
        <v>-131.82000000000002</v>
      </c>
      <c r="K6" s="87">
        <f t="shared" si="1"/>
        <v>-171.36600000000004</v>
      </c>
      <c r="L6" s="177">
        <f>K6*1.35</f>
        <v>-231.34410000000008</v>
      </c>
      <c r="M6" s="86">
        <f>L6*1.4</f>
        <v>-323.88174000000009</v>
      </c>
      <c r="N6" s="87">
        <f t="shared" si="2"/>
        <v>-469.62852300000014</v>
      </c>
      <c r="O6" s="177">
        <f>Q6*1.5</f>
        <v>-1021.4420375250003</v>
      </c>
      <c r="P6" s="87">
        <f>O6*1.55</f>
        <v>-1583.2351581637504</v>
      </c>
      <c r="Q6" s="267">
        <f>N6*1.45</f>
        <v>-680.96135835000018</v>
      </c>
    </row>
    <row r="7" spans="1:17" ht="15" thickBot="1" x14ac:dyDescent="0.35">
      <c r="A7" s="17">
        <v>1</v>
      </c>
      <c r="B7" s="1"/>
      <c r="C7" s="1"/>
      <c r="D7" s="1"/>
      <c r="E7" s="178"/>
      <c r="F7" s="141"/>
      <c r="G7" s="178"/>
      <c r="H7" s="141"/>
      <c r="I7" s="141"/>
      <c r="J7" s="141"/>
      <c r="K7" s="179"/>
      <c r="L7" s="178"/>
      <c r="M7" s="141"/>
      <c r="N7" s="179"/>
      <c r="O7" s="178"/>
      <c r="P7" s="179"/>
      <c r="Q7" s="268"/>
    </row>
    <row r="8" spans="1:17" x14ac:dyDescent="0.3">
      <c r="A8" s="17">
        <v>1</v>
      </c>
      <c r="B8" s="145" t="s">
        <v>48</v>
      </c>
      <c r="C8" s="36" t="s">
        <v>45</v>
      </c>
      <c r="D8" s="37" t="s">
        <v>6</v>
      </c>
      <c r="E8" s="251">
        <f t="shared" ref="E8:F13" si="3">F8/1.3</f>
        <v>23.668639053254434</v>
      </c>
      <c r="F8" s="252">
        <f t="shared" si="3"/>
        <v>30.769230769230766</v>
      </c>
      <c r="G8" s="253">
        <f>50*0.8</f>
        <v>40</v>
      </c>
      <c r="H8" s="254">
        <f t="shared" ref="H8:K13" si="4">G8*1.3</f>
        <v>52</v>
      </c>
      <c r="I8" s="31">
        <f t="shared" si="4"/>
        <v>67.600000000000009</v>
      </c>
      <c r="J8" s="31">
        <f t="shared" si="4"/>
        <v>87.88000000000001</v>
      </c>
      <c r="K8" s="32">
        <f t="shared" si="4"/>
        <v>114.24400000000001</v>
      </c>
      <c r="L8" s="180">
        <f>K8*1.35</f>
        <v>154.22940000000003</v>
      </c>
      <c r="M8" s="31">
        <f t="shared" ref="M8:M13" si="5">L8*1.4</f>
        <v>215.92116000000001</v>
      </c>
      <c r="N8" s="32">
        <f t="shared" ref="N8:N13" si="6">M8*1.45</f>
        <v>313.08568200000002</v>
      </c>
      <c r="O8" s="180">
        <f>Q8*1.5</f>
        <v>680.96135834999995</v>
      </c>
      <c r="P8" s="32">
        <f t="shared" ref="P8:P13" si="7">O8*1.55</f>
        <v>1055.4901054425</v>
      </c>
      <c r="Q8" s="269">
        <f t="shared" ref="Q8:Q13" si="8">N8*1.45</f>
        <v>453.97423889999999</v>
      </c>
    </row>
    <row r="9" spans="1:17" x14ac:dyDescent="0.3">
      <c r="A9" s="17">
        <v>1</v>
      </c>
      <c r="B9" s="146"/>
      <c r="C9" s="38" t="s">
        <v>45</v>
      </c>
      <c r="D9" s="214" t="s">
        <v>7</v>
      </c>
      <c r="E9" s="255">
        <f>F9/1.3</f>
        <v>59.171597633136088</v>
      </c>
      <c r="F9" s="256">
        <f t="shared" si="3"/>
        <v>76.92307692307692</v>
      </c>
      <c r="G9" s="257">
        <f>G8*2.5</f>
        <v>100</v>
      </c>
      <c r="H9" s="258">
        <f t="shared" si="4"/>
        <v>130</v>
      </c>
      <c r="I9" s="27">
        <f t="shared" si="4"/>
        <v>169</v>
      </c>
      <c r="J9" s="27">
        <f t="shared" si="4"/>
        <v>219.70000000000002</v>
      </c>
      <c r="K9" s="33">
        <f t="shared" si="4"/>
        <v>285.61</v>
      </c>
      <c r="L9" s="181">
        <f>K9*1.35</f>
        <v>385.57350000000002</v>
      </c>
      <c r="M9" s="27">
        <f t="shared" si="5"/>
        <v>539.80290000000002</v>
      </c>
      <c r="N9" s="33">
        <f t="shared" si="6"/>
        <v>782.71420499999999</v>
      </c>
      <c r="O9" s="181">
        <f>Q9*1.5</f>
        <v>1702.4033958750001</v>
      </c>
      <c r="P9" s="33">
        <f t="shared" si="7"/>
        <v>2638.7252636062503</v>
      </c>
      <c r="Q9" s="270">
        <f t="shared" si="8"/>
        <v>1134.93559725</v>
      </c>
    </row>
    <row r="10" spans="1:17" ht="15" thickBot="1" x14ac:dyDescent="0.35">
      <c r="A10" s="17">
        <v>1</v>
      </c>
      <c r="B10" s="146"/>
      <c r="C10" s="39" t="s">
        <v>45</v>
      </c>
      <c r="D10" s="215" t="s">
        <v>8</v>
      </c>
      <c r="E10" s="259">
        <f t="shared" ref="E10:E13" si="9">F10/1.3</f>
        <v>147.92899408284023</v>
      </c>
      <c r="F10" s="260">
        <f t="shared" si="3"/>
        <v>192.30769230769229</v>
      </c>
      <c r="G10" s="261">
        <f>G8*6.25</f>
        <v>250</v>
      </c>
      <c r="H10" s="262">
        <f t="shared" si="4"/>
        <v>325</v>
      </c>
      <c r="I10" s="34">
        <f t="shared" si="4"/>
        <v>422.5</v>
      </c>
      <c r="J10" s="34">
        <f t="shared" si="4"/>
        <v>549.25</v>
      </c>
      <c r="K10" s="35">
        <f t="shared" si="4"/>
        <v>714.02499999999998</v>
      </c>
      <c r="L10" s="182">
        <f>K10*1.35</f>
        <v>963.93375000000003</v>
      </c>
      <c r="M10" s="34">
        <f t="shared" si="5"/>
        <v>1349.5072499999999</v>
      </c>
      <c r="N10" s="35">
        <f t="shared" si="6"/>
        <v>1956.7855124999999</v>
      </c>
      <c r="O10" s="182">
        <f>Q10*1.5</f>
        <v>4256.0084896874996</v>
      </c>
      <c r="P10" s="35">
        <f t="shared" si="7"/>
        <v>6596.8131590156245</v>
      </c>
      <c r="Q10" s="271">
        <f t="shared" si="8"/>
        <v>2837.3389931249999</v>
      </c>
    </row>
    <row r="11" spans="1:17" x14ac:dyDescent="0.3">
      <c r="A11" s="17">
        <v>1</v>
      </c>
      <c r="B11" s="146"/>
      <c r="C11" s="36" t="s">
        <v>46</v>
      </c>
      <c r="D11" s="37" t="s">
        <v>6</v>
      </c>
      <c r="E11" s="220">
        <f t="shared" si="9"/>
        <v>7.0652653890311751E-2</v>
      </c>
      <c r="F11" s="227">
        <f t="shared" si="3"/>
        <v>9.1848450057405273E-2</v>
      </c>
      <c r="G11" s="237">
        <f>G8/335</f>
        <v>0.11940298507462686</v>
      </c>
      <c r="H11" s="58">
        <f t="shared" si="4"/>
        <v>0.15522388059701492</v>
      </c>
      <c r="I11" s="46">
        <f t="shared" si="4"/>
        <v>0.20179104477611939</v>
      </c>
      <c r="J11" s="46">
        <f t="shared" si="4"/>
        <v>0.26232835820895523</v>
      </c>
      <c r="K11" s="47">
        <f t="shared" si="4"/>
        <v>0.34102686567164181</v>
      </c>
      <c r="L11" s="183">
        <f>L8/250</f>
        <v>0.61691760000000007</v>
      </c>
      <c r="M11" s="46">
        <f t="shared" si="5"/>
        <v>0.86368464</v>
      </c>
      <c r="N11" s="47">
        <f t="shared" si="6"/>
        <v>1.2523427279999999</v>
      </c>
      <c r="O11" s="183">
        <f>O8/165</f>
        <v>4.1270385354545454</v>
      </c>
      <c r="P11" s="47">
        <f t="shared" si="7"/>
        <v>6.3969097299545457</v>
      </c>
      <c r="Q11" s="272">
        <f t="shared" si="8"/>
        <v>1.8158969555999998</v>
      </c>
    </row>
    <row r="12" spans="1:17" x14ac:dyDescent="0.3">
      <c r="A12" s="17">
        <v>1</v>
      </c>
      <c r="B12" s="146"/>
      <c r="C12" s="38" t="s">
        <v>46</v>
      </c>
      <c r="D12" s="214" t="s">
        <v>7</v>
      </c>
      <c r="E12" s="221">
        <f t="shared" si="9"/>
        <v>0.17663163472577936</v>
      </c>
      <c r="F12" s="228">
        <f t="shared" si="3"/>
        <v>0.22962112514351318</v>
      </c>
      <c r="G12" s="238">
        <f>G11*2.5</f>
        <v>0.29850746268656714</v>
      </c>
      <c r="H12" s="26">
        <f t="shared" si="4"/>
        <v>0.38805970149253727</v>
      </c>
      <c r="I12" s="48">
        <f t="shared" si="4"/>
        <v>0.5044776119402985</v>
      </c>
      <c r="J12" s="48">
        <f t="shared" si="4"/>
        <v>0.65582089552238809</v>
      </c>
      <c r="K12" s="49">
        <f t="shared" si="4"/>
        <v>0.8525671641791045</v>
      </c>
      <c r="L12" s="184">
        <f>L11*2.5</f>
        <v>1.5422940000000001</v>
      </c>
      <c r="M12" s="48">
        <f t="shared" si="5"/>
        <v>2.1592115999999999</v>
      </c>
      <c r="N12" s="49">
        <f t="shared" si="6"/>
        <v>3.1308568199999995</v>
      </c>
      <c r="O12" s="184">
        <f>O11*2.5</f>
        <v>10.317596338636363</v>
      </c>
      <c r="P12" s="49">
        <f t="shared" si="7"/>
        <v>15.992274324886363</v>
      </c>
      <c r="Q12" s="204">
        <f t="shared" si="8"/>
        <v>4.5397423889999988</v>
      </c>
    </row>
    <row r="13" spans="1:17" ht="15" thickBot="1" x14ac:dyDescent="0.35">
      <c r="A13" s="17">
        <v>1</v>
      </c>
      <c r="B13" s="147"/>
      <c r="C13" s="39" t="s">
        <v>46</v>
      </c>
      <c r="D13" s="215" t="s">
        <v>8</v>
      </c>
      <c r="E13" s="39">
        <f t="shared" si="9"/>
        <v>0.44157908681444841</v>
      </c>
      <c r="F13" s="229">
        <f t="shared" si="3"/>
        <v>0.57405281285878296</v>
      </c>
      <c r="G13" s="239">
        <f>G11*6.25</f>
        <v>0.74626865671641784</v>
      </c>
      <c r="H13" s="59">
        <f t="shared" si="4"/>
        <v>0.9701492537313432</v>
      </c>
      <c r="I13" s="50">
        <f t="shared" si="4"/>
        <v>1.2611940298507462</v>
      </c>
      <c r="J13" s="50">
        <f t="shared" si="4"/>
        <v>1.6395522388059702</v>
      </c>
      <c r="K13" s="51">
        <f t="shared" si="4"/>
        <v>2.1314179104477615</v>
      </c>
      <c r="L13" s="185">
        <f>L11*6.25</f>
        <v>3.8557350000000006</v>
      </c>
      <c r="M13" s="50">
        <f t="shared" si="5"/>
        <v>5.3980290000000002</v>
      </c>
      <c r="N13" s="51">
        <f t="shared" si="6"/>
        <v>7.82714205</v>
      </c>
      <c r="O13" s="185">
        <f>O11*6.25</f>
        <v>25.793990846590908</v>
      </c>
      <c r="P13" s="51">
        <f t="shared" si="7"/>
        <v>39.98068581221591</v>
      </c>
      <c r="Q13" s="273">
        <f t="shared" si="8"/>
        <v>11.3493559725</v>
      </c>
    </row>
    <row r="14" spans="1:17" ht="15" thickBot="1" x14ac:dyDescent="0.35">
      <c r="A14" s="17">
        <v>1</v>
      </c>
      <c r="B14" s="12"/>
      <c r="C14" s="12"/>
      <c r="D14" s="12"/>
      <c r="E14" s="186"/>
      <c r="F14" s="155"/>
      <c r="G14" s="186"/>
      <c r="H14" s="155"/>
      <c r="I14" s="155"/>
      <c r="J14" s="155"/>
      <c r="K14" s="187"/>
      <c r="L14" s="186"/>
      <c r="M14" s="155"/>
      <c r="N14" s="187"/>
      <c r="O14" s="186"/>
      <c r="P14" s="187"/>
      <c r="Q14" s="274"/>
    </row>
    <row r="15" spans="1:17" x14ac:dyDescent="0.3">
      <c r="A15" s="17">
        <v>1</v>
      </c>
      <c r="B15" s="145" t="s">
        <v>10</v>
      </c>
      <c r="C15" s="36" t="s">
        <v>9</v>
      </c>
      <c r="D15" s="37" t="s">
        <v>6</v>
      </c>
      <c r="E15" s="180">
        <f t="shared" ref="E15:F20" si="10">F15/1.3</f>
        <v>23.668639053254434</v>
      </c>
      <c r="F15" s="163">
        <f t="shared" si="10"/>
        <v>30.769230769230766</v>
      </c>
      <c r="G15" s="234">
        <f>50*0.8</f>
        <v>40</v>
      </c>
      <c r="H15" s="31">
        <f t="shared" ref="H15:K20" si="11">G15*1.3</f>
        <v>52</v>
      </c>
      <c r="I15" s="31">
        <f t="shared" si="11"/>
        <v>67.600000000000009</v>
      </c>
      <c r="J15" s="31">
        <f t="shared" si="11"/>
        <v>87.88000000000001</v>
      </c>
      <c r="K15" s="32">
        <f t="shared" si="11"/>
        <v>114.24400000000001</v>
      </c>
      <c r="L15" s="180">
        <f>K15*1.35</f>
        <v>154.22940000000003</v>
      </c>
      <c r="M15" s="31">
        <f t="shared" ref="M15:M20" si="12">L15*1.4</f>
        <v>215.92116000000001</v>
      </c>
      <c r="N15" s="32">
        <f t="shared" ref="N15:N20" si="13">M15*1.45</f>
        <v>313.08568200000002</v>
      </c>
      <c r="O15" s="180">
        <f>Q15*1.5</f>
        <v>680.96135834999995</v>
      </c>
      <c r="P15" s="32">
        <f t="shared" ref="P15:P20" si="14">O15*1.55</f>
        <v>1055.4901054425</v>
      </c>
      <c r="Q15" s="269">
        <f t="shared" ref="Q15:Q20" si="15">N15*1.45</f>
        <v>453.97423889999999</v>
      </c>
    </row>
    <row r="16" spans="1:17" x14ac:dyDescent="0.3">
      <c r="A16" s="17">
        <v>1</v>
      </c>
      <c r="B16" s="146"/>
      <c r="C16" s="38" t="s">
        <v>9</v>
      </c>
      <c r="D16" s="214" t="s">
        <v>7</v>
      </c>
      <c r="E16" s="181">
        <f>F16/1.3</f>
        <v>59.171597633136088</v>
      </c>
      <c r="F16" s="164">
        <f t="shared" si="10"/>
        <v>76.92307692307692</v>
      </c>
      <c r="G16" s="235">
        <f>G15*2.5</f>
        <v>100</v>
      </c>
      <c r="H16" s="27">
        <f t="shared" si="11"/>
        <v>130</v>
      </c>
      <c r="I16" s="27">
        <f t="shared" si="11"/>
        <v>169</v>
      </c>
      <c r="J16" s="27">
        <f t="shared" si="11"/>
        <v>219.70000000000002</v>
      </c>
      <c r="K16" s="33">
        <f t="shared" si="11"/>
        <v>285.61</v>
      </c>
      <c r="L16" s="181">
        <f>K16*1.35</f>
        <v>385.57350000000002</v>
      </c>
      <c r="M16" s="27">
        <f t="shared" si="12"/>
        <v>539.80290000000002</v>
      </c>
      <c r="N16" s="33">
        <f t="shared" si="13"/>
        <v>782.71420499999999</v>
      </c>
      <c r="O16" s="181">
        <f>Q16*1.5</f>
        <v>1702.4033958750001</v>
      </c>
      <c r="P16" s="33">
        <f t="shared" si="14"/>
        <v>2638.7252636062503</v>
      </c>
      <c r="Q16" s="270">
        <f t="shared" si="15"/>
        <v>1134.93559725</v>
      </c>
    </row>
    <row r="17" spans="1:17" ht="15" thickBot="1" x14ac:dyDescent="0.35">
      <c r="A17" s="17">
        <v>1</v>
      </c>
      <c r="B17" s="146"/>
      <c r="C17" s="39" t="s">
        <v>9</v>
      </c>
      <c r="D17" s="215" t="s">
        <v>8</v>
      </c>
      <c r="E17" s="182">
        <f t="shared" si="10"/>
        <v>147.92899408284023</v>
      </c>
      <c r="F17" s="165">
        <f t="shared" si="10"/>
        <v>192.30769230769229</v>
      </c>
      <c r="G17" s="236">
        <f>G15*6.25</f>
        <v>250</v>
      </c>
      <c r="H17" s="34">
        <f t="shared" si="11"/>
        <v>325</v>
      </c>
      <c r="I17" s="34">
        <f t="shared" si="11"/>
        <v>422.5</v>
      </c>
      <c r="J17" s="34">
        <f t="shared" si="11"/>
        <v>549.25</v>
      </c>
      <c r="K17" s="35">
        <f t="shared" si="11"/>
        <v>714.02499999999998</v>
      </c>
      <c r="L17" s="182">
        <f>K17*1.35</f>
        <v>963.93375000000003</v>
      </c>
      <c r="M17" s="34">
        <f t="shared" si="12"/>
        <v>1349.5072499999999</v>
      </c>
      <c r="N17" s="35">
        <f t="shared" si="13"/>
        <v>1956.7855124999999</v>
      </c>
      <c r="O17" s="182">
        <f>Q17*1.5</f>
        <v>4256.0084896874996</v>
      </c>
      <c r="P17" s="35">
        <f t="shared" si="14"/>
        <v>6596.8131590156245</v>
      </c>
      <c r="Q17" s="271">
        <f t="shared" si="15"/>
        <v>2837.3389931249999</v>
      </c>
    </row>
    <row r="18" spans="1:17" x14ac:dyDescent="0.3">
      <c r="A18" s="17">
        <v>1</v>
      </c>
      <c r="B18" s="146"/>
      <c r="C18" s="36" t="s">
        <v>11</v>
      </c>
      <c r="D18" s="37" t="s">
        <v>6</v>
      </c>
      <c r="E18" s="220">
        <f t="shared" si="10"/>
        <v>0.14344629729245112</v>
      </c>
      <c r="F18" s="227">
        <f t="shared" si="10"/>
        <v>0.18648018648018647</v>
      </c>
      <c r="G18" s="237">
        <f>G15/165</f>
        <v>0.24242424242424243</v>
      </c>
      <c r="H18" s="58">
        <f t="shared" si="11"/>
        <v>0.31515151515151518</v>
      </c>
      <c r="I18" s="46">
        <f t="shared" si="11"/>
        <v>0.40969696969696973</v>
      </c>
      <c r="J18" s="46">
        <f t="shared" si="11"/>
        <v>0.53260606060606064</v>
      </c>
      <c r="K18" s="47">
        <f t="shared" si="11"/>
        <v>0.69238787878787889</v>
      </c>
      <c r="L18" s="183">
        <f>L15/125</f>
        <v>1.2338352000000001</v>
      </c>
      <c r="M18" s="46">
        <f t="shared" si="12"/>
        <v>1.72736928</v>
      </c>
      <c r="N18" s="47">
        <f t="shared" si="13"/>
        <v>2.5046854559999998</v>
      </c>
      <c r="O18" s="183">
        <f>O15/85</f>
        <v>8.0113100982352936</v>
      </c>
      <c r="P18" s="47">
        <f t="shared" si="14"/>
        <v>12.417530652264706</v>
      </c>
      <c r="Q18" s="272">
        <f t="shared" si="15"/>
        <v>3.6317939111999995</v>
      </c>
    </row>
    <row r="19" spans="1:17" x14ac:dyDescent="0.3">
      <c r="A19" s="17">
        <v>1</v>
      </c>
      <c r="B19" s="146"/>
      <c r="C19" s="38" t="s">
        <v>11</v>
      </c>
      <c r="D19" s="214" t="s">
        <v>7</v>
      </c>
      <c r="E19" s="221">
        <f t="shared" si="10"/>
        <v>0.35861574323112783</v>
      </c>
      <c r="F19" s="228">
        <f t="shared" si="10"/>
        <v>0.46620046620046618</v>
      </c>
      <c r="G19" s="238">
        <f>G18*2.5</f>
        <v>0.60606060606060608</v>
      </c>
      <c r="H19" s="26">
        <f t="shared" si="11"/>
        <v>0.78787878787878796</v>
      </c>
      <c r="I19" s="48">
        <f t="shared" si="11"/>
        <v>1.0242424242424244</v>
      </c>
      <c r="J19" s="48">
        <f t="shared" si="11"/>
        <v>1.3315151515151518</v>
      </c>
      <c r="K19" s="49">
        <f t="shared" si="11"/>
        <v>1.7309696969696973</v>
      </c>
      <c r="L19" s="184">
        <f>L18*2.5</f>
        <v>3.0845880000000001</v>
      </c>
      <c r="M19" s="48">
        <f t="shared" si="12"/>
        <v>4.3184231999999998</v>
      </c>
      <c r="N19" s="49">
        <f t="shared" si="13"/>
        <v>6.2617136399999991</v>
      </c>
      <c r="O19" s="184">
        <f>O18*2.5</f>
        <v>20.028275245588233</v>
      </c>
      <c r="P19" s="49">
        <f t="shared" si="14"/>
        <v>31.043826630661762</v>
      </c>
      <c r="Q19" s="204">
        <f t="shared" si="15"/>
        <v>9.0794847779999976</v>
      </c>
    </row>
    <row r="20" spans="1:17" ht="15" thickBot="1" x14ac:dyDescent="0.35">
      <c r="A20" s="17">
        <v>1</v>
      </c>
      <c r="B20" s="147"/>
      <c r="C20" s="39" t="s">
        <v>11</v>
      </c>
      <c r="D20" s="215" t="s">
        <v>8</v>
      </c>
      <c r="E20" s="39">
        <f t="shared" si="10"/>
        <v>0.89653935807781959</v>
      </c>
      <c r="F20" s="229">
        <f t="shared" si="10"/>
        <v>1.1655011655011656</v>
      </c>
      <c r="G20" s="239">
        <f>G18*6.25</f>
        <v>1.5151515151515151</v>
      </c>
      <c r="H20" s="59">
        <f t="shared" si="11"/>
        <v>1.9696969696969697</v>
      </c>
      <c r="I20" s="50">
        <f t="shared" si="11"/>
        <v>2.5606060606060606</v>
      </c>
      <c r="J20" s="50">
        <f t="shared" si="11"/>
        <v>3.3287878787878786</v>
      </c>
      <c r="K20" s="51">
        <f t="shared" si="11"/>
        <v>4.3274242424242422</v>
      </c>
      <c r="L20" s="185">
        <f>L18*6.25</f>
        <v>7.7114700000000012</v>
      </c>
      <c r="M20" s="50">
        <f t="shared" si="12"/>
        <v>10.796058</v>
      </c>
      <c r="N20" s="51">
        <f t="shared" si="13"/>
        <v>15.6542841</v>
      </c>
      <c r="O20" s="185">
        <f>O18*6.25</f>
        <v>50.070688113970583</v>
      </c>
      <c r="P20" s="51">
        <f t="shared" si="14"/>
        <v>77.609566576654402</v>
      </c>
      <c r="Q20" s="273">
        <f t="shared" si="15"/>
        <v>22.698711944999999</v>
      </c>
    </row>
    <row r="21" spans="1:17" ht="15" thickBot="1" x14ac:dyDescent="0.35">
      <c r="A21" s="17">
        <v>1</v>
      </c>
      <c r="B21" s="68"/>
      <c r="C21" s="6"/>
      <c r="D21" s="6"/>
      <c r="E21" s="188"/>
      <c r="F21" s="4"/>
      <c r="G21" s="188"/>
      <c r="H21" s="4"/>
      <c r="I21" s="4"/>
      <c r="J21" s="4"/>
      <c r="K21" s="189"/>
      <c r="L21" s="188"/>
      <c r="M21" s="4"/>
      <c r="N21" s="189"/>
      <c r="O21" s="188"/>
      <c r="P21" s="189"/>
      <c r="Q21" s="189"/>
    </row>
    <row r="22" spans="1:17" x14ac:dyDescent="0.3">
      <c r="A22" s="17">
        <v>1</v>
      </c>
      <c r="B22" s="145" t="s">
        <v>12</v>
      </c>
      <c r="C22" s="36" t="s">
        <v>13</v>
      </c>
      <c r="D22" s="37" t="s">
        <v>6</v>
      </c>
      <c r="E22" s="117">
        <f t="shared" ref="E22:F25" si="16">F22/1.3</f>
        <v>23.668639053254434</v>
      </c>
      <c r="F22" s="118">
        <f t="shared" si="16"/>
        <v>30.769230769230766</v>
      </c>
      <c r="G22" s="240">
        <f>50*0.8</f>
        <v>40</v>
      </c>
      <c r="H22" s="41">
        <f t="shared" ref="H22:K27" si="17">G22*1.3</f>
        <v>52</v>
      </c>
      <c r="I22" s="41">
        <f t="shared" si="17"/>
        <v>67.600000000000009</v>
      </c>
      <c r="J22" s="41">
        <f t="shared" si="17"/>
        <v>87.88000000000001</v>
      </c>
      <c r="K22" s="42">
        <f t="shared" si="17"/>
        <v>114.24400000000001</v>
      </c>
      <c r="L22" s="117">
        <f>K22*1.35</f>
        <v>154.22940000000003</v>
      </c>
      <c r="M22" s="41">
        <f t="shared" ref="M22:M27" si="18">L22*1.4</f>
        <v>215.92116000000001</v>
      </c>
      <c r="N22" s="42">
        <f t="shared" ref="N22:N27" si="19">M22*1.45</f>
        <v>313.08568200000002</v>
      </c>
      <c r="O22" s="117">
        <f>Q22*1.5</f>
        <v>680.96135834999995</v>
      </c>
      <c r="P22" s="42">
        <f t="shared" ref="P22:P27" si="20">O22*1.55</f>
        <v>1055.4901054425</v>
      </c>
      <c r="Q22" s="42">
        <f t="shared" ref="Q22:Q27" si="21">N22*1.45</f>
        <v>453.97423889999999</v>
      </c>
    </row>
    <row r="23" spans="1:17" x14ac:dyDescent="0.3">
      <c r="A23" s="17">
        <v>1</v>
      </c>
      <c r="B23" s="68"/>
      <c r="C23" s="38" t="s">
        <v>13</v>
      </c>
      <c r="D23" s="214" t="s">
        <v>7</v>
      </c>
      <c r="E23" s="190">
        <f t="shared" si="16"/>
        <v>59.171597633136088</v>
      </c>
      <c r="F23" s="166">
        <f t="shared" si="16"/>
        <v>76.92307692307692</v>
      </c>
      <c r="G23" s="241">
        <f>G22*2.5</f>
        <v>100</v>
      </c>
      <c r="H23" s="28">
        <f t="shared" si="17"/>
        <v>130</v>
      </c>
      <c r="I23" s="28">
        <f t="shared" si="17"/>
        <v>169</v>
      </c>
      <c r="J23" s="28">
        <f t="shared" si="17"/>
        <v>219.70000000000002</v>
      </c>
      <c r="K23" s="43">
        <f t="shared" si="17"/>
        <v>285.61</v>
      </c>
      <c r="L23" s="190">
        <f>K23*1.35</f>
        <v>385.57350000000002</v>
      </c>
      <c r="M23" s="28">
        <f t="shared" si="18"/>
        <v>539.80290000000002</v>
      </c>
      <c r="N23" s="43">
        <f t="shared" si="19"/>
        <v>782.71420499999999</v>
      </c>
      <c r="O23" s="190">
        <f>Q23*1.5</f>
        <v>1702.4033958750001</v>
      </c>
      <c r="P23" s="43">
        <f t="shared" si="20"/>
        <v>2638.7252636062503</v>
      </c>
      <c r="Q23" s="43">
        <f t="shared" si="21"/>
        <v>1134.93559725</v>
      </c>
    </row>
    <row r="24" spans="1:17" ht="15" thickBot="1" x14ac:dyDescent="0.35">
      <c r="A24" s="17">
        <v>1</v>
      </c>
      <c r="B24" s="1"/>
      <c r="C24" s="39" t="s">
        <v>13</v>
      </c>
      <c r="D24" s="215" t="s">
        <v>8</v>
      </c>
      <c r="E24" s="191">
        <f t="shared" si="16"/>
        <v>147.92899408284023</v>
      </c>
      <c r="F24" s="167">
        <f t="shared" si="16"/>
        <v>192.30769230769229</v>
      </c>
      <c r="G24" s="242">
        <f>G22*6.25</f>
        <v>250</v>
      </c>
      <c r="H24" s="44">
        <f t="shared" si="17"/>
        <v>325</v>
      </c>
      <c r="I24" s="44">
        <f t="shared" si="17"/>
        <v>422.5</v>
      </c>
      <c r="J24" s="44">
        <f t="shared" si="17"/>
        <v>549.25</v>
      </c>
      <c r="K24" s="45">
        <f t="shared" si="17"/>
        <v>714.02499999999998</v>
      </c>
      <c r="L24" s="191">
        <f>K24*1.35</f>
        <v>963.93375000000003</v>
      </c>
      <c r="M24" s="44">
        <f t="shared" si="18"/>
        <v>1349.5072499999999</v>
      </c>
      <c r="N24" s="45">
        <f t="shared" si="19"/>
        <v>1956.7855124999999</v>
      </c>
      <c r="O24" s="191">
        <f>Q24*1.5</f>
        <v>4256.0084896874996</v>
      </c>
      <c r="P24" s="45">
        <f t="shared" si="20"/>
        <v>6596.8131590156245</v>
      </c>
      <c r="Q24" s="45">
        <f t="shared" si="21"/>
        <v>2837.3389931249999</v>
      </c>
    </row>
    <row r="25" spans="1:17" x14ac:dyDescent="0.3">
      <c r="A25" s="150">
        <v>1</v>
      </c>
      <c r="B25" s="12"/>
      <c r="C25" s="36" t="s">
        <v>14</v>
      </c>
      <c r="D25" s="37" t="s">
        <v>6</v>
      </c>
      <c r="E25" s="192">
        <f>F25/1.3</f>
        <v>0.67624683009298381</v>
      </c>
      <c r="F25" s="168">
        <f t="shared" si="16"/>
        <v>0.879120879120879</v>
      </c>
      <c r="G25" s="243">
        <f>G22/35</f>
        <v>1.1428571428571428</v>
      </c>
      <c r="H25" s="52">
        <f t="shared" si="17"/>
        <v>1.4857142857142858</v>
      </c>
      <c r="I25" s="52">
        <f t="shared" si="17"/>
        <v>1.9314285714285715</v>
      </c>
      <c r="J25" s="52">
        <f t="shared" si="17"/>
        <v>2.5108571428571431</v>
      </c>
      <c r="K25" s="53">
        <f t="shared" si="17"/>
        <v>3.2641142857142862</v>
      </c>
      <c r="L25" s="192">
        <f>L22/25</f>
        <v>6.1691760000000011</v>
      </c>
      <c r="M25" s="52">
        <f t="shared" si="18"/>
        <v>8.6368464000000014</v>
      </c>
      <c r="N25" s="53">
        <f t="shared" si="19"/>
        <v>12.523427280000002</v>
      </c>
      <c r="O25" s="192">
        <f>O22/16.5</f>
        <v>41.270385354545454</v>
      </c>
      <c r="P25" s="53">
        <f t="shared" si="20"/>
        <v>63.969097299545453</v>
      </c>
      <c r="Q25" s="53">
        <f t="shared" si="21"/>
        <v>18.158969556000002</v>
      </c>
    </row>
    <row r="26" spans="1:17" x14ac:dyDescent="0.3">
      <c r="A26" s="148">
        <v>2</v>
      </c>
      <c r="B26" s="29"/>
      <c r="C26" s="38" t="s">
        <v>14</v>
      </c>
      <c r="D26" s="214" t="s">
        <v>7</v>
      </c>
      <c r="E26" s="193">
        <f t="shared" ref="E26:F27" si="22">F26/1.3</f>
        <v>1.6906170752324596</v>
      </c>
      <c r="F26" s="169">
        <f t="shared" si="22"/>
        <v>2.1978021978021975</v>
      </c>
      <c r="G26" s="244">
        <f>G25*2.5</f>
        <v>2.8571428571428568</v>
      </c>
      <c r="H26" s="54">
        <f t="shared" si="17"/>
        <v>3.714285714285714</v>
      </c>
      <c r="I26" s="54">
        <f t="shared" si="17"/>
        <v>4.8285714285714283</v>
      </c>
      <c r="J26" s="54">
        <f t="shared" si="17"/>
        <v>6.2771428571428567</v>
      </c>
      <c r="K26" s="55">
        <f t="shared" si="17"/>
        <v>8.1602857142857133</v>
      </c>
      <c r="L26" s="193">
        <f>L25*2.5</f>
        <v>15.422940000000002</v>
      </c>
      <c r="M26" s="54">
        <f t="shared" si="18"/>
        <v>21.592116000000001</v>
      </c>
      <c r="N26" s="55">
        <f t="shared" si="19"/>
        <v>31.3085682</v>
      </c>
      <c r="O26" s="193">
        <f>O25*2.5</f>
        <v>103.17596338636363</v>
      </c>
      <c r="P26" s="55">
        <f t="shared" si="20"/>
        <v>159.92274324886364</v>
      </c>
      <c r="Q26" s="55">
        <f t="shared" si="21"/>
        <v>45.397423889999999</v>
      </c>
    </row>
    <row r="27" spans="1:17" ht="15" thickBot="1" x14ac:dyDescent="0.35">
      <c r="A27" s="18">
        <v>2</v>
      </c>
      <c r="B27" s="76"/>
      <c r="C27" s="39" t="s">
        <v>14</v>
      </c>
      <c r="D27" s="215" t="s">
        <v>8</v>
      </c>
      <c r="E27" s="194">
        <f t="shared" si="22"/>
        <v>4.2265426880811487</v>
      </c>
      <c r="F27" s="170">
        <f t="shared" si="22"/>
        <v>5.4945054945054936</v>
      </c>
      <c r="G27" s="245">
        <f>G25*6.25</f>
        <v>7.1428571428571423</v>
      </c>
      <c r="H27" s="56">
        <f t="shared" si="17"/>
        <v>9.2857142857142847</v>
      </c>
      <c r="I27" s="56">
        <f t="shared" si="17"/>
        <v>12.071428571428571</v>
      </c>
      <c r="J27" s="56">
        <f t="shared" si="17"/>
        <v>15.692857142857143</v>
      </c>
      <c r="K27" s="57">
        <f t="shared" si="17"/>
        <v>20.400714285714287</v>
      </c>
      <c r="L27" s="194">
        <f>L25*6.25</f>
        <v>38.557350000000007</v>
      </c>
      <c r="M27" s="56">
        <f t="shared" si="18"/>
        <v>53.980290000000004</v>
      </c>
      <c r="N27" s="57">
        <f t="shared" si="19"/>
        <v>78.271420500000005</v>
      </c>
      <c r="O27" s="194">
        <f>O25*6.25</f>
        <v>257.93990846590907</v>
      </c>
      <c r="P27" s="57">
        <f t="shared" si="20"/>
        <v>399.8068581221591</v>
      </c>
      <c r="Q27" s="57">
        <f t="shared" si="21"/>
        <v>113.493559725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A451-D2E9-4091-9C43-14877232B8A8}">
  <dimension ref="A1:Q26"/>
  <sheetViews>
    <sheetView topLeftCell="E1" zoomScale="85" zoomScaleNormal="85" workbookViewId="0">
      <selection activeCell="Q26" sqref="Q26"/>
    </sheetView>
  </sheetViews>
  <sheetFormatPr defaultRowHeight="14.4" x14ac:dyDescent="0.3"/>
  <cols>
    <col min="2" max="2" width="10.6640625" bestFit="1" customWidth="1"/>
    <col min="3" max="3" width="11.5546875" bestFit="1" customWidth="1"/>
    <col min="17" max="17" width="10.44140625" bestFit="1" customWidth="1"/>
  </cols>
  <sheetData>
    <row r="1" spans="1:17" x14ac:dyDescent="0.3">
      <c r="A1" s="14"/>
      <c r="B1" s="67"/>
      <c r="C1" s="24" t="s">
        <v>0</v>
      </c>
      <c r="D1" s="143"/>
      <c r="E1" s="171" t="s">
        <v>3</v>
      </c>
      <c r="F1" s="219" t="s">
        <v>2</v>
      </c>
      <c r="G1" s="171">
        <v>1</v>
      </c>
      <c r="H1" s="219">
        <v>2</v>
      </c>
      <c r="I1" s="219">
        <v>3</v>
      </c>
      <c r="J1" s="219">
        <v>4</v>
      </c>
      <c r="K1" s="173">
        <v>5</v>
      </c>
      <c r="L1" s="171">
        <v>6</v>
      </c>
      <c r="M1" s="172">
        <v>7</v>
      </c>
      <c r="N1" s="173">
        <v>8</v>
      </c>
      <c r="O1" s="171">
        <v>9</v>
      </c>
      <c r="P1" s="173">
        <v>10</v>
      </c>
      <c r="Q1" s="263" t="s">
        <v>49</v>
      </c>
    </row>
    <row r="2" spans="1:17" ht="15" thickBot="1" x14ac:dyDescent="0.35">
      <c r="A2" s="14"/>
      <c r="B2" s="63" t="s">
        <v>1</v>
      </c>
      <c r="C2" s="23" t="s">
        <v>4</v>
      </c>
      <c r="D2" s="213" t="s">
        <v>5</v>
      </c>
      <c r="E2" s="174"/>
      <c r="F2" s="88"/>
      <c r="G2" s="230"/>
      <c r="H2" s="88"/>
      <c r="I2" s="88"/>
      <c r="J2" s="88"/>
      <c r="K2" s="175"/>
      <c r="L2" s="174"/>
      <c r="M2" s="90"/>
      <c r="N2" s="175"/>
      <c r="O2" s="174"/>
      <c r="P2" s="175"/>
      <c r="Q2" s="264"/>
    </row>
    <row r="3" spans="1:17" x14ac:dyDescent="0.3">
      <c r="A3" s="143">
        <v>1</v>
      </c>
      <c r="B3" s="64" t="s">
        <v>36</v>
      </c>
      <c r="C3" s="36" t="s">
        <v>35</v>
      </c>
      <c r="D3" s="37" t="s">
        <v>6</v>
      </c>
      <c r="E3" s="82">
        <f t="shared" ref="E3:F5" si="0">F3/1.3</f>
        <v>-8.8757396449704142</v>
      </c>
      <c r="F3" s="98">
        <f t="shared" si="0"/>
        <v>-11.538461538461538</v>
      </c>
      <c r="G3" s="231">
        <v>-15</v>
      </c>
      <c r="H3" s="83">
        <f t="shared" ref="H3:K5" si="1">G3*1.3</f>
        <v>-19.5</v>
      </c>
      <c r="I3" s="83">
        <f t="shared" si="1"/>
        <v>-25.35</v>
      </c>
      <c r="J3" s="83">
        <f t="shared" si="1"/>
        <v>-32.955000000000005</v>
      </c>
      <c r="K3" s="84">
        <f t="shared" si="1"/>
        <v>-42.841500000000011</v>
      </c>
      <c r="L3" s="82">
        <f>K3*1.35</f>
        <v>-57.836025000000021</v>
      </c>
      <c r="M3" s="83">
        <f>L3*1.4</f>
        <v>-80.970435000000023</v>
      </c>
      <c r="N3" s="84">
        <f t="shared" ref="N3:N5" si="2">M3*1.45</f>
        <v>-117.40713075000004</v>
      </c>
      <c r="O3" s="82">
        <f>Q3*1.5</f>
        <v>-255.36050938125007</v>
      </c>
      <c r="P3" s="84">
        <f>O3*1.55</f>
        <v>-395.8087895409376</v>
      </c>
      <c r="Q3" s="265">
        <f>N3*1.45</f>
        <v>-170.24033958750005</v>
      </c>
    </row>
    <row r="4" spans="1:17" x14ac:dyDescent="0.3">
      <c r="A4" s="149">
        <v>1</v>
      </c>
      <c r="B4" s="68"/>
      <c r="C4" s="38" t="s">
        <v>35</v>
      </c>
      <c r="D4" s="214" t="s">
        <v>7</v>
      </c>
      <c r="E4" s="176">
        <f t="shared" si="0"/>
        <v>-17.751479289940828</v>
      </c>
      <c r="F4" s="161">
        <f t="shared" si="0"/>
        <v>-23.076923076923077</v>
      </c>
      <c r="G4" s="232">
        <f>G3*2</f>
        <v>-30</v>
      </c>
      <c r="H4" s="30">
        <f t="shared" si="1"/>
        <v>-39</v>
      </c>
      <c r="I4" s="30">
        <f t="shared" si="1"/>
        <v>-50.7</v>
      </c>
      <c r="J4" s="30">
        <f t="shared" si="1"/>
        <v>-65.910000000000011</v>
      </c>
      <c r="K4" s="85">
        <f t="shared" si="1"/>
        <v>-85.683000000000021</v>
      </c>
      <c r="L4" s="176">
        <f>K4*1.35</f>
        <v>-115.67205000000004</v>
      </c>
      <c r="M4" s="30">
        <f>L4*1.4</f>
        <v>-161.94087000000005</v>
      </c>
      <c r="N4" s="85">
        <f t="shared" si="2"/>
        <v>-234.81426150000007</v>
      </c>
      <c r="O4" s="176">
        <f>Q4*1.5</f>
        <v>-510.72101876250014</v>
      </c>
      <c r="P4" s="85">
        <f>O4*1.55</f>
        <v>-791.61757908187519</v>
      </c>
      <c r="Q4" s="266">
        <f>N4*1.45</f>
        <v>-340.48067917500009</v>
      </c>
    </row>
    <row r="5" spans="1:17" ht="15" thickBot="1" x14ac:dyDescent="0.35">
      <c r="A5" s="17">
        <v>1</v>
      </c>
      <c r="B5" s="144"/>
      <c r="C5" s="39" t="s">
        <v>35</v>
      </c>
      <c r="D5" s="215" t="s">
        <v>8</v>
      </c>
      <c r="E5" s="177">
        <f t="shared" si="0"/>
        <v>-35.502958579881657</v>
      </c>
      <c r="F5" s="162">
        <f t="shared" si="0"/>
        <v>-46.153846153846153</v>
      </c>
      <c r="G5" s="233">
        <f>G3*4</f>
        <v>-60</v>
      </c>
      <c r="H5" s="86">
        <f t="shared" si="1"/>
        <v>-78</v>
      </c>
      <c r="I5" s="86">
        <f t="shared" si="1"/>
        <v>-101.4</v>
      </c>
      <c r="J5" s="86">
        <f t="shared" si="1"/>
        <v>-131.82000000000002</v>
      </c>
      <c r="K5" s="87">
        <f t="shared" si="1"/>
        <v>-171.36600000000004</v>
      </c>
      <c r="L5" s="177">
        <f>K5*1.35</f>
        <v>-231.34410000000008</v>
      </c>
      <c r="M5" s="86">
        <f>L5*1.4</f>
        <v>-323.88174000000009</v>
      </c>
      <c r="N5" s="87">
        <f t="shared" si="2"/>
        <v>-469.62852300000014</v>
      </c>
      <c r="O5" s="177">
        <f>Q5*1.5</f>
        <v>-1021.4420375250003</v>
      </c>
      <c r="P5" s="87">
        <f>O5*1.55</f>
        <v>-1583.2351581637504</v>
      </c>
      <c r="Q5" s="267">
        <f>N5*1.45</f>
        <v>-680.96135835000018</v>
      </c>
    </row>
    <row r="6" spans="1:17" ht="15" thickBot="1" x14ac:dyDescent="0.35">
      <c r="A6" s="17">
        <v>1</v>
      </c>
      <c r="B6" s="1"/>
      <c r="C6" s="1"/>
      <c r="D6" s="1"/>
      <c r="E6" s="178"/>
      <c r="F6" s="141"/>
      <c r="G6" s="178"/>
      <c r="H6" s="141"/>
      <c r="I6" s="141"/>
      <c r="J6" s="141"/>
      <c r="K6" s="179"/>
      <c r="L6" s="178"/>
      <c r="M6" s="141"/>
      <c r="N6" s="179"/>
      <c r="O6" s="178"/>
      <c r="P6" s="179"/>
      <c r="Q6" s="268"/>
    </row>
    <row r="7" spans="1:17" x14ac:dyDescent="0.3">
      <c r="A7" s="17">
        <v>1</v>
      </c>
      <c r="B7" s="145" t="s">
        <v>48</v>
      </c>
      <c r="C7" s="36" t="s">
        <v>45</v>
      </c>
      <c r="D7" s="37" t="s">
        <v>6</v>
      </c>
      <c r="E7" s="251">
        <f t="shared" ref="E7:F12" si="3">F7/1.3</f>
        <v>35.502958579881657</v>
      </c>
      <c r="F7" s="252">
        <f t="shared" si="3"/>
        <v>46.153846153846153</v>
      </c>
      <c r="G7" s="253">
        <f>50*1.2</f>
        <v>60</v>
      </c>
      <c r="H7" s="254">
        <f t="shared" ref="H7:K12" si="4">G7*1.3</f>
        <v>78</v>
      </c>
      <c r="I7" s="31">
        <f t="shared" si="4"/>
        <v>101.4</v>
      </c>
      <c r="J7" s="31">
        <f t="shared" si="4"/>
        <v>131.82000000000002</v>
      </c>
      <c r="K7" s="32">
        <f t="shared" si="4"/>
        <v>171.36600000000004</v>
      </c>
      <c r="L7" s="180">
        <f>K7*1.35</f>
        <v>231.34410000000008</v>
      </c>
      <c r="M7" s="31">
        <f t="shared" ref="M7:M12" si="5">L7*1.4</f>
        <v>323.88174000000009</v>
      </c>
      <c r="N7" s="32">
        <f t="shared" ref="N7:N12" si="6">M7*1.45</f>
        <v>469.62852300000014</v>
      </c>
      <c r="O7" s="180">
        <f>Q7*1.5</f>
        <v>1021.4420375250003</v>
      </c>
      <c r="P7" s="32">
        <f t="shared" ref="P7:P12" si="7">O7*1.55</f>
        <v>1583.2351581637504</v>
      </c>
      <c r="Q7" s="269">
        <f t="shared" ref="Q7:Q12" si="8">N7*1.45</f>
        <v>680.96135835000018</v>
      </c>
    </row>
    <row r="8" spans="1:17" x14ac:dyDescent="0.3">
      <c r="A8" s="17">
        <v>1</v>
      </c>
      <c r="B8" s="146"/>
      <c r="C8" s="38" t="s">
        <v>45</v>
      </c>
      <c r="D8" s="214" t="s">
        <v>7</v>
      </c>
      <c r="E8" s="255">
        <f>F8/1.3</f>
        <v>88.757396449704146</v>
      </c>
      <c r="F8" s="256">
        <f t="shared" si="3"/>
        <v>115.38461538461539</v>
      </c>
      <c r="G8" s="257">
        <f>G7*2.5</f>
        <v>150</v>
      </c>
      <c r="H8" s="258">
        <f t="shared" si="4"/>
        <v>195</v>
      </c>
      <c r="I8" s="27">
        <f t="shared" si="4"/>
        <v>253.5</v>
      </c>
      <c r="J8" s="27">
        <f t="shared" si="4"/>
        <v>329.55</v>
      </c>
      <c r="K8" s="33">
        <f t="shared" si="4"/>
        <v>428.41500000000002</v>
      </c>
      <c r="L8" s="181">
        <f>K8*1.35</f>
        <v>578.36025000000006</v>
      </c>
      <c r="M8" s="27">
        <f t="shared" si="5"/>
        <v>809.70435000000009</v>
      </c>
      <c r="N8" s="33">
        <f t="shared" si="6"/>
        <v>1174.0713075000001</v>
      </c>
      <c r="O8" s="181">
        <f>Q8*1.5</f>
        <v>2553.6050938124999</v>
      </c>
      <c r="P8" s="33">
        <f t="shared" si="7"/>
        <v>3958.0878954093751</v>
      </c>
      <c r="Q8" s="270">
        <f t="shared" si="8"/>
        <v>1702.4033958750001</v>
      </c>
    </row>
    <row r="9" spans="1:17" ht="15" thickBot="1" x14ac:dyDescent="0.35">
      <c r="A9" s="17">
        <v>1</v>
      </c>
      <c r="B9" s="146"/>
      <c r="C9" s="39" t="s">
        <v>45</v>
      </c>
      <c r="D9" s="215" t="s">
        <v>8</v>
      </c>
      <c r="E9" s="259">
        <f t="shared" ref="E9:E12" si="9">F9/1.3</f>
        <v>221.89349112426035</v>
      </c>
      <c r="F9" s="260">
        <f t="shared" si="3"/>
        <v>288.46153846153845</v>
      </c>
      <c r="G9" s="261">
        <f>G7*6.25</f>
        <v>375</v>
      </c>
      <c r="H9" s="262">
        <f t="shared" si="4"/>
        <v>487.5</v>
      </c>
      <c r="I9" s="34">
        <f t="shared" si="4"/>
        <v>633.75</v>
      </c>
      <c r="J9" s="34">
        <f t="shared" si="4"/>
        <v>823.875</v>
      </c>
      <c r="K9" s="35">
        <f t="shared" si="4"/>
        <v>1071.0375000000001</v>
      </c>
      <c r="L9" s="182">
        <f>K9*1.35</f>
        <v>1445.9006250000002</v>
      </c>
      <c r="M9" s="34">
        <f t="shared" si="5"/>
        <v>2024.2608750000002</v>
      </c>
      <c r="N9" s="35">
        <f t="shared" si="6"/>
        <v>2935.1782687500004</v>
      </c>
      <c r="O9" s="182">
        <f>Q9*1.5</f>
        <v>6384.0127345312503</v>
      </c>
      <c r="P9" s="35">
        <f t="shared" si="7"/>
        <v>9895.2197385234376</v>
      </c>
      <c r="Q9" s="271">
        <f t="shared" si="8"/>
        <v>4256.0084896875005</v>
      </c>
    </row>
    <row r="10" spans="1:17" x14ac:dyDescent="0.3">
      <c r="A10" s="17">
        <v>1</v>
      </c>
      <c r="B10" s="146"/>
      <c r="C10" s="36" t="s">
        <v>46</v>
      </c>
      <c r="D10" s="37" t="s">
        <v>6</v>
      </c>
      <c r="E10" s="220">
        <f t="shared" si="9"/>
        <v>1.420118343195266E-2</v>
      </c>
      <c r="F10" s="227">
        <f t="shared" si="3"/>
        <v>1.846153846153846E-2</v>
      </c>
      <c r="G10" s="237">
        <f>G7/2500</f>
        <v>2.4E-2</v>
      </c>
      <c r="H10" s="58">
        <f t="shared" si="4"/>
        <v>3.1200000000000002E-2</v>
      </c>
      <c r="I10" s="46">
        <f t="shared" si="4"/>
        <v>4.0560000000000006E-2</v>
      </c>
      <c r="J10" s="46">
        <f t="shared" si="4"/>
        <v>5.2728000000000011E-2</v>
      </c>
      <c r="K10" s="47">
        <f t="shared" si="4"/>
        <v>6.8546400000000021E-2</v>
      </c>
      <c r="L10" s="183">
        <f>L7/1875</f>
        <v>0.12338352000000004</v>
      </c>
      <c r="M10" s="46">
        <f t="shared" si="5"/>
        <v>0.17273692800000004</v>
      </c>
      <c r="N10" s="47">
        <f t="shared" si="6"/>
        <v>0.25046854560000004</v>
      </c>
      <c r="O10" s="183">
        <f>O7/1250</f>
        <v>0.81715363002000019</v>
      </c>
      <c r="P10" s="47">
        <f t="shared" si="7"/>
        <v>1.2665881265310004</v>
      </c>
      <c r="Q10" s="272">
        <f t="shared" si="8"/>
        <v>0.36317939112000003</v>
      </c>
    </row>
    <row r="11" spans="1:17" x14ac:dyDescent="0.3">
      <c r="A11" s="17">
        <v>1</v>
      </c>
      <c r="B11" s="146"/>
      <c r="C11" s="38" t="s">
        <v>46</v>
      </c>
      <c r="D11" s="214" t="s">
        <v>7</v>
      </c>
      <c r="E11" s="221">
        <f t="shared" si="9"/>
        <v>3.5502958579881651E-2</v>
      </c>
      <c r="F11" s="228">
        <f t="shared" si="3"/>
        <v>4.6153846153846149E-2</v>
      </c>
      <c r="G11" s="238">
        <f>G10*2.5</f>
        <v>0.06</v>
      </c>
      <c r="H11" s="26">
        <f t="shared" si="4"/>
        <v>7.8E-2</v>
      </c>
      <c r="I11" s="48">
        <f t="shared" si="4"/>
        <v>0.1014</v>
      </c>
      <c r="J11" s="48">
        <f t="shared" si="4"/>
        <v>0.13182000000000002</v>
      </c>
      <c r="K11" s="49">
        <f t="shared" si="4"/>
        <v>0.17136600000000005</v>
      </c>
      <c r="L11" s="184">
        <f>L10*2.5</f>
        <v>0.30845880000000009</v>
      </c>
      <c r="M11" s="48">
        <f t="shared" si="5"/>
        <v>0.43184232000000011</v>
      </c>
      <c r="N11" s="49">
        <f t="shared" si="6"/>
        <v>0.62617136400000017</v>
      </c>
      <c r="O11" s="184">
        <f>O10*2.5</f>
        <v>2.0428840750500004</v>
      </c>
      <c r="P11" s="49">
        <f t="shared" si="7"/>
        <v>3.1664703163275005</v>
      </c>
      <c r="Q11" s="204">
        <f t="shared" si="8"/>
        <v>0.90794847780000021</v>
      </c>
    </row>
    <row r="12" spans="1:17" ht="15" thickBot="1" x14ac:dyDescent="0.35">
      <c r="A12" s="17">
        <v>1</v>
      </c>
      <c r="B12" s="147"/>
      <c r="C12" s="39" t="s">
        <v>46</v>
      </c>
      <c r="D12" s="215" t="s">
        <v>8</v>
      </c>
      <c r="E12" s="39">
        <f t="shared" si="9"/>
        <v>8.8757396449704137E-2</v>
      </c>
      <c r="F12" s="229">
        <f t="shared" si="3"/>
        <v>0.11538461538461538</v>
      </c>
      <c r="G12" s="239">
        <f>G10*6.25</f>
        <v>0.15</v>
      </c>
      <c r="H12" s="59">
        <f t="shared" si="4"/>
        <v>0.19500000000000001</v>
      </c>
      <c r="I12" s="50">
        <f t="shared" si="4"/>
        <v>0.2535</v>
      </c>
      <c r="J12" s="50">
        <f t="shared" si="4"/>
        <v>0.32955000000000001</v>
      </c>
      <c r="K12" s="51">
        <f t="shared" si="4"/>
        <v>0.42841500000000005</v>
      </c>
      <c r="L12" s="185">
        <f>L10*6.25</f>
        <v>0.77114700000000025</v>
      </c>
      <c r="M12" s="50">
        <f t="shared" si="5"/>
        <v>1.0796058000000002</v>
      </c>
      <c r="N12" s="51">
        <f t="shared" si="6"/>
        <v>1.5654284100000002</v>
      </c>
      <c r="O12" s="185">
        <f>O10*6.25</f>
        <v>5.1072101876250011</v>
      </c>
      <c r="P12" s="51">
        <f t="shared" si="7"/>
        <v>7.9161757908187518</v>
      </c>
      <c r="Q12" s="273">
        <f t="shared" si="8"/>
        <v>2.2698711945000003</v>
      </c>
    </row>
    <row r="13" spans="1:17" ht="15" thickBot="1" x14ac:dyDescent="0.35">
      <c r="A13" s="17">
        <v>1</v>
      </c>
      <c r="B13" s="12"/>
      <c r="C13" s="12"/>
      <c r="D13" s="12"/>
      <c r="E13" s="186"/>
      <c r="F13" s="155"/>
      <c r="G13" s="186"/>
      <c r="H13" s="155"/>
      <c r="I13" s="155"/>
      <c r="J13" s="155"/>
      <c r="K13" s="187"/>
      <c r="L13" s="186"/>
      <c r="M13" s="155"/>
      <c r="N13" s="187"/>
      <c r="O13" s="186"/>
      <c r="P13" s="187"/>
      <c r="Q13" s="274"/>
    </row>
    <row r="14" spans="1:17" x14ac:dyDescent="0.3">
      <c r="A14" s="17">
        <v>1</v>
      </c>
      <c r="B14" s="145" t="s">
        <v>10</v>
      </c>
      <c r="C14" s="36" t="s">
        <v>9</v>
      </c>
      <c r="D14" s="37" t="s">
        <v>6</v>
      </c>
      <c r="E14" s="180">
        <f t="shared" ref="E14:F19" si="10">F14/1.3</f>
        <v>35.502958579881657</v>
      </c>
      <c r="F14" s="163">
        <f t="shared" si="10"/>
        <v>46.153846153846153</v>
      </c>
      <c r="G14" s="234">
        <f>50*1.2</f>
        <v>60</v>
      </c>
      <c r="H14" s="31">
        <f t="shared" ref="H14:K19" si="11">G14*1.3</f>
        <v>78</v>
      </c>
      <c r="I14" s="31">
        <f t="shared" si="11"/>
        <v>101.4</v>
      </c>
      <c r="J14" s="31">
        <f t="shared" si="11"/>
        <v>131.82000000000002</v>
      </c>
      <c r="K14" s="32">
        <f t="shared" si="11"/>
        <v>171.36600000000004</v>
      </c>
      <c r="L14" s="180">
        <f>K14*1.35</f>
        <v>231.34410000000008</v>
      </c>
      <c r="M14" s="31">
        <f t="shared" ref="M14:M19" si="12">L14*1.4</f>
        <v>323.88174000000009</v>
      </c>
      <c r="N14" s="32">
        <f t="shared" ref="N14:N19" si="13">M14*1.45</f>
        <v>469.62852300000014</v>
      </c>
      <c r="O14" s="180">
        <f>Q14*1.5</f>
        <v>1021.4420375250003</v>
      </c>
      <c r="P14" s="32">
        <f t="shared" ref="P14:P19" si="14">O14*1.55</f>
        <v>1583.2351581637504</v>
      </c>
      <c r="Q14" s="269">
        <f t="shared" ref="Q14:Q19" si="15">N14*1.45</f>
        <v>680.96135835000018</v>
      </c>
    </row>
    <row r="15" spans="1:17" x14ac:dyDescent="0.3">
      <c r="A15" s="17">
        <v>1</v>
      </c>
      <c r="B15" s="146"/>
      <c r="C15" s="38" t="s">
        <v>9</v>
      </c>
      <c r="D15" s="214" t="s">
        <v>7</v>
      </c>
      <c r="E15" s="181">
        <f>F15/1.3</f>
        <v>88.757396449704146</v>
      </c>
      <c r="F15" s="164">
        <f t="shared" si="10"/>
        <v>115.38461538461539</v>
      </c>
      <c r="G15" s="235">
        <f>G14*2.5</f>
        <v>150</v>
      </c>
      <c r="H15" s="27">
        <f t="shared" si="11"/>
        <v>195</v>
      </c>
      <c r="I15" s="27">
        <f t="shared" si="11"/>
        <v>253.5</v>
      </c>
      <c r="J15" s="27">
        <f t="shared" si="11"/>
        <v>329.55</v>
      </c>
      <c r="K15" s="33">
        <f t="shared" si="11"/>
        <v>428.41500000000002</v>
      </c>
      <c r="L15" s="181">
        <f>K15*1.35</f>
        <v>578.36025000000006</v>
      </c>
      <c r="M15" s="27">
        <f t="shared" si="12"/>
        <v>809.70435000000009</v>
      </c>
      <c r="N15" s="33">
        <f t="shared" si="13"/>
        <v>1174.0713075000001</v>
      </c>
      <c r="O15" s="181">
        <f>Q15*1.5</f>
        <v>2553.6050938124999</v>
      </c>
      <c r="P15" s="33">
        <f t="shared" si="14"/>
        <v>3958.0878954093751</v>
      </c>
      <c r="Q15" s="270">
        <f t="shared" si="15"/>
        <v>1702.4033958750001</v>
      </c>
    </row>
    <row r="16" spans="1:17" ht="15" thickBot="1" x14ac:dyDescent="0.35">
      <c r="A16" s="17">
        <v>1</v>
      </c>
      <c r="B16" s="146"/>
      <c r="C16" s="39" t="s">
        <v>9</v>
      </c>
      <c r="D16" s="215" t="s">
        <v>8</v>
      </c>
      <c r="E16" s="182">
        <f t="shared" si="10"/>
        <v>221.89349112426035</v>
      </c>
      <c r="F16" s="165">
        <f t="shared" si="10"/>
        <v>288.46153846153845</v>
      </c>
      <c r="G16" s="236">
        <f>G14*6.25</f>
        <v>375</v>
      </c>
      <c r="H16" s="34">
        <f t="shared" si="11"/>
        <v>487.5</v>
      </c>
      <c r="I16" s="34">
        <f t="shared" si="11"/>
        <v>633.75</v>
      </c>
      <c r="J16" s="34">
        <f t="shared" si="11"/>
        <v>823.875</v>
      </c>
      <c r="K16" s="35">
        <f t="shared" si="11"/>
        <v>1071.0375000000001</v>
      </c>
      <c r="L16" s="182">
        <f>K16*1.35</f>
        <v>1445.9006250000002</v>
      </c>
      <c r="M16" s="34">
        <f t="shared" si="12"/>
        <v>2024.2608750000002</v>
      </c>
      <c r="N16" s="35">
        <f t="shared" si="13"/>
        <v>2935.1782687500004</v>
      </c>
      <c r="O16" s="182">
        <f>Q16*1.5</f>
        <v>6384.0127345312503</v>
      </c>
      <c r="P16" s="35">
        <f t="shared" si="14"/>
        <v>9895.2197385234376</v>
      </c>
      <c r="Q16" s="271">
        <f t="shared" si="15"/>
        <v>4256.0084896875005</v>
      </c>
    </row>
    <row r="17" spans="1:17" x14ac:dyDescent="0.3">
      <c r="A17" s="17">
        <v>1</v>
      </c>
      <c r="B17" s="146"/>
      <c r="C17" s="36" t="s">
        <v>11</v>
      </c>
      <c r="D17" s="37" t="s">
        <v>6</v>
      </c>
      <c r="E17" s="220">
        <f t="shared" si="10"/>
        <v>2.8402366863905321E-2</v>
      </c>
      <c r="F17" s="227">
        <f t="shared" si="10"/>
        <v>3.692307692307692E-2</v>
      </c>
      <c r="G17" s="237">
        <f>G14/1250</f>
        <v>4.8000000000000001E-2</v>
      </c>
      <c r="H17" s="58">
        <f t="shared" si="11"/>
        <v>6.2400000000000004E-2</v>
      </c>
      <c r="I17" s="46">
        <f t="shared" si="11"/>
        <v>8.1120000000000012E-2</v>
      </c>
      <c r="J17" s="46">
        <f t="shared" si="11"/>
        <v>0.10545600000000002</v>
      </c>
      <c r="K17" s="47">
        <f t="shared" si="11"/>
        <v>0.13709280000000004</v>
      </c>
      <c r="L17" s="183">
        <f>L14/935</f>
        <v>0.2474268449197862</v>
      </c>
      <c r="M17" s="46">
        <f t="shared" si="12"/>
        <v>0.34639758288770067</v>
      </c>
      <c r="N17" s="47">
        <f t="shared" si="13"/>
        <v>0.50227649518716599</v>
      </c>
      <c r="O17" s="183">
        <f>O14/625</f>
        <v>1.6343072600400004</v>
      </c>
      <c r="P17" s="47">
        <f t="shared" si="14"/>
        <v>2.5331762530620008</v>
      </c>
      <c r="Q17" s="272">
        <f t="shared" si="15"/>
        <v>0.72830091802139063</v>
      </c>
    </row>
    <row r="18" spans="1:17" x14ac:dyDescent="0.3">
      <c r="A18" s="17">
        <v>1</v>
      </c>
      <c r="B18" s="146"/>
      <c r="C18" s="38" t="s">
        <v>11</v>
      </c>
      <c r="D18" s="214" t="s">
        <v>7</v>
      </c>
      <c r="E18" s="221">
        <f t="shared" si="10"/>
        <v>7.1005917159763302E-2</v>
      </c>
      <c r="F18" s="228">
        <f t="shared" si="10"/>
        <v>9.2307692307692299E-2</v>
      </c>
      <c r="G18" s="238">
        <f>G17*2.5</f>
        <v>0.12</v>
      </c>
      <c r="H18" s="26">
        <f t="shared" si="11"/>
        <v>0.156</v>
      </c>
      <c r="I18" s="48">
        <f t="shared" si="11"/>
        <v>0.20280000000000001</v>
      </c>
      <c r="J18" s="48">
        <f t="shared" si="11"/>
        <v>0.26364000000000004</v>
      </c>
      <c r="K18" s="49">
        <f t="shared" si="11"/>
        <v>0.34273200000000009</v>
      </c>
      <c r="L18" s="184">
        <f>L17*2.5</f>
        <v>0.61856711229946548</v>
      </c>
      <c r="M18" s="48">
        <f t="shared" si="12"/>
        <v>0.86599395721925165</v>
      </c>
      <c r="N18" s="49">
        <f t="shared" si="13"/>
        <v>1.2556912379679148</v>
      </c>
      <c r="O18" s="184">
        <f>O17*2.5</f>
        <v>4.0857681501000007</v>
      </c>
      <c r="P18" s="49">
        <f t="shared" si="14"/>
        <v>6.3329406326550011</v>
      </c>
      <c r="Q18" s="204">
        <f t="shared" si="15"/>
        <v>1.8207522950534765</v>
      </c>
    </row>
    <row r="19" spans="1:17" ht="15" thickBot="1" x14ac:dyDescent="0.35">
      <c r="A19" s="17">
        <v>1</v>
      </c>
      <c r="B19" s="147"/>
      <c r="C19" s="39" t="s">
        <v>11</v>
      </c>
      <c r="D19" s="215" t="s">
        <v>8</v>
      </c>
      <c r="E19" s="39">
        <f t="shared" si="10"/>
        <v>0.17751479289940827</v>
      </c>
      <c r="F19" s="229">
        <f t="shared" si="10"/>
        <v>0.23076923076923075</v>
      </c>
      <c r="G19" s="239">
        <f>G17*6.25</f>
        <v>0.3</v>
      </c>
      <c r="H19" s="59">
        <f t="shared" si="11"/>
        <v>0.39</v>
      </c>
      <c r="I19" s="50">
        <f t="shared" si="11"/>
        <v>0.50700000000000001</v>
      </c>
      <c r="J19" s="50">
        <f t="shared" si="11"/>
        <v>0.65910000000000002</v>
      </c>
      <c r="K19" s="51">
        <f t="shared" si="11"/>
        <v>0.85683000000000009</v>
      </c>
      <c r="L19" s="185">
        <f>L17*6.25</f>
        <v>1.5464177807486637</v>
      </c>
      <c r="M19" s="50">
        <f t="shared" si="12"/>
        <v>2.1649848930481288</v>
      </c>
      <c r="N19" s="51">
        <f t="shared" si="13"/>
        <v>3.1392280949197868</v>
      </c>
      <c r="O19" s="185">
        <f>O17*6.25</f>
        <v>10.214420375250002</v>
      </c>
      <c r="P19" s="51">
        <f t="shared" si="14"/>
        <v>15.832351581637504</v>
      </c>
      <c r="Q19" s="273">
        <f t="shared" si="15"/>
        <v>4.5518807376336907</v>
      </c>
    </row>
    <row r="20" spans="1:17" ht="15" thickBot="1" x14ac:dyDescent="0.35">
      <c r="A20" s="17">
        <v>1</v>
      </c>
      <c r="B20" s="68"/>
      <c r="C20" s="6"/>
      <c r="D20" s="6"/>
      <c r="E20" s="188"/>
      <c r="F20" s="4"/>
      <c r="G20" s="188"/>
      <c r="H20" s="4"/>
      <c r="I20" s="4"/>
      <c r="J20" s="4"/>
      <c r="K20" s="189"/>
      <c r="L20" s="188"/>
      <c r="M20" s="4"/>
      <c r="N20" s="189"/>
      <c r="O20" s="188"/>
      <c r="P20" s="189"/>
      <c r="Q20" s="189"/>
    </row>
    <row r="21" spans="1:17" x14ac:dyDescent="0.3">
      <c r="A21" s="17">
        <v>1</v>
      </c>
      <c r="B21" s="145" t="s">
        <v>12</v>
      </c>
      <c r="C21" s="36" t="s">
        <v>13</v>
      </c>
      <c r="D21" s="37" t="s">
        <v>6</v>
      </c>
      <c r="E21" s="117">
        <f t="shared" ref="E21:F24" si="16">F21/1.3</f>
        <v>35.502958579881657</v>
      </c>
      <c r="F21" s="118">
        <f t="shared" si="16"/>
        <v>46.153846153846153</v>
      </c>
      <c r="G21" s="240">
        <f>50*1.2</f>
        <v>60</v>
      </c>
      <c r="H21" s="41">
        <f t="shared" ref="H21:K26" si="17">G21*1.3</f>
        <v>78</v>
      </c>
      <c r="I21" s="41">
        <f t="shared" si="17"/>
        <v>101.4</v>
      </c>
      <c r="J21" s="41">
        <f t="shared" si="17"/>
        <v>131.82000000000002</v>
      </c>
      <c r="K21" s="42">
        <f t="shared" si="17"/>
        <v>171.36600000000004</v>
      </c>
      <c r="L21" s="117">
        <f>K21*1.35</f>
        <v>231.34410000000008</v>
      </c>
      <c r="M21" s="41">
        <f t="shared" ref="M21:M26" si="18">L21*1.4</f>
        <v>323.88174000000009</v>
      </c>
      <c r="N21" s="42">
        <f t="shared" ref="N21:N26" si="19">M21*1.45</f>
        <v>469.62852300000014</v>
      </c>
      <c r="O21" s="117">
        <f>Q21*1.5</f>
        <v>1021.4420375250003</v>
      </c>
      <c r="P21" s="42">
        <f t="shared" ref="P21:P26" si="20">O21*1.55</f>
        <v>1583.2351581637504</v>
      </c>
      <c r="Q21" s="42">
        <f t="shared" ref="Q21:Q26" si="21">N21*1.45</f>
        <v>680.96135835000018</v>
      </c>
    </row>
    <row r="22" spans="1:17" x14ac:dyDescent="0.3">
      <c r="A22" s="17">
        <v>1</v>
      </c>
      <c r="B22" s="68"/>
      <c r="C22" s="38" t="s">
        <v>13</v>
      </c>
      <c r="D22" s="214" t="s">
        <v>7</v>
      </c>
      <c r="E22" s="190">
        <f t="shared" si="16"/>
        <v>88.757396449704146</v>
      </c>
      <c r="F22" s="166">
        <f t="shared" si="16"/>
        <v>115.38461538461539</v>
      </c>
      <c r="G22" s="241">
        <f>G21*2.5</f>
        <v>150</v>
      </c>
      <c r="H22" s="28">
        <f t="shared" si="17"/>
        <v>195</v>
      </c>
      <c r="I22" s="28">
        <f t="shared" si="17"/>
        <v>253.5</v>
      </c>
      <c r="J22" s="28">
        <f t="shared" si="17"/>
        <v>329.55</v>
      </c>
      <c r="K22" s="43">
        <f t="shared" si="17"/>
        <v>428.41500000000002</v>
      </c>
      <c r="L22" s="190">
        <f>K22*1.35</f>
        <v>578.36025000000006</v>
      </c>
      <c r="M22" s="28">
        <f t="shared" si="18"/>
        <v>809.70435000000009</v>
      </c>
      <c r="N22" s="43">
        <f t="shared" si="19"/>
        <v>1174.0713075000001</v>
      </c>
      <c r="O22" s="190">
        <f>Q22*1.5</f>
        <v>2553.6050938124999</v>
      </c>
      <c r="P22" s="43">
        <f t="shared" si="20"/>
        <v>3958.0878954093751</v>
      </c>
      <c r="Q22" s="43">
        <f t="shared" si="21"/>
        <v>1702.4033958750001</v>
      </c>
    </row>
    <row r="23" spans="1:17" ht="15" thickBot="1" x14ac:dyDescent="0.35">
      <c r="A23" s="17">
        <v>1</v>
      </c>
      <c r="B23" s="1"/>
      <c r="C23" s="39" t="s">
        <v>13</v>
      </c>
      <c r="D23" s="215" t="s">
        <v>8</v>
      </c>
      <c r="E23" s="191">
        <f t="shared" si="16"/>
        <v>221.89349112426035</v>
      </c>
      <c r="F23" s="167">
        <f t="shared" si="16"/>
        <v>288.46153846153845</v>
      </c>
      <c r="G23" s="242">
        <f>G21*6.25</f>
        <v>375</v>
      </c>
      <c r="H23" s="44">
        <f t="shared" si="17"/>
        <v>487.5</v>
      </c>
      <c r="I23" s="44">
        <f t="shared" si="17"/>
        <v>633.75</v>
      </c>
      <c r="J23" s="44">
        <f t="shared" si="17"/>
        <v>823.875</v>
      </c>
      <c r="K23" s="45">
        <f t="shared" si="17"/>
        <v>1071.0375000000001</v>
      </c>
      <c r="L23" s="191">
        <f>K23*1.35</f>
        <v>1445.9006250000002</v>
      </c>
      <c r="M23" s="44">
        <f t="shared" si="18"/>
        <v>2024.2608750000002</v>
      </c>
      <c r="N23" s="45">
        <f t="shared" si="19"/>
        <v>2935.1782687500004</v>
      </c>
      <c r="O23" s="191">
        <f>Q23*1.5</f>
        <v>6384.0127345312503</v>
      </c>
      <c r="P23" s="45">
        <f t="shared" si="20"/>
        <v>9895.2197385234376</v>
      </c>
      <c r="Q23" s="45">
        <f t="shared" si="21"/>
        <v>4256.0084896875005</v>
      </c>
    </row>
    <row r="24" spans="1:17" x14ac:dyDescent="0.3">
      <c r="A24" s="150">
        <v>1</v>
      </c>
      <c r="B24" s="12"/>
      <c r="C24" s="36" t="s">
        <v>14</v>
      </c>
      <c r="D24" s="37" t="s">
        <v>6</v>
      </c>
      <c r="E24" s="192">
        <f>F24/1.3</f>
        <v>0.1420118343195266</v>
      </c>
      <c r="F24" s="168">
        <f t="shared" si="16"/>
        <v>0.1846153846153846</v>
      </c>
      <c r="G24" s="243">
        <f>G21/250</f>
        <v>0.24</v>
      </c>
      <c r="H24" s="52">
        <f t="shared" si="17"/>
        <v>0.312</v>
      </c>
      <c r="I24" s="52">
        <f t="shared" si="17"/>
        <v>0.40560000000000002</v>
      </c>
      <c r="J24" s="52">
        <f t="shared" si="17"/>
        <v>0.52728000000000008</v>
      </c>
      <c r="K24" s="53">
        <f t="shared" si="17"/>
        <v>0.68546400000000018</v>
      </c>
      <c r="L24" s="192">
        <f>L21/185</f>
        <v>1.2505086486486492</v>
      </c>
      <c r="M24" s="52">
        <f t="shared" si="18"/>
        <v>1.7507121081081087</v>
      </c>
      <c r="N24" s="53">
        <f t="shared" si="19"/>
        <v>2.5385325567567576</v>
      </c>
      <c r="O24" s="192">
        <f>O21/125</f>
        <v>8.1715363002000014</v>
      </c>
      <c r="P24" s="53">
        <f t="shared" si="20"/>
        <v>12.665881265310002</v>
      </c>
      <c r="Q24" s="53">
        <f t="shared" si="21"/>
        <v>3.6808722072972984</v>
      </c>
    </row>
    <row r="25" spans="1:17" x14ac:dyDescent="0.3">
      <c r="A25" s="148">
        <v>2</v>
      </c>
      <c r="B25" s="29"/>
      <c r="C25" s="38" t="s">
        <v>14</v>
      </c>
      <c r="D25" s="214" t="s">
        <v>7</v>
      </c>
      <c r="E25" s="193">
        <f t="shared" ref="E25:F26" si="22">F25/1.3</f>
        <v>0.35502958579881655</v>
      </c>
      <c r="F25" s="169">
        <f t="shared" si="22"/>
        <v>0.46153846153846151</v>
      </c>
      <c r="G25" s="244">
        <f>G24*2.5</f>
        <v>0.6</v>
      </c>
      <c r="H25" s="54">
        <f t="shared" si="17"/>
        <v>0.78</v>
      </c>
      <c r="I25" s="54">
        <f t="shared" si="17"/>
        <v>1.014</v>
      </c>
      <c r="J25" s="54">
        <f t="shared" si="17"/>
        <v>1.3182</v>
      </c>
      <c r="K25" s="55">
        <f t="shared" si="17"/>
        <v>1.7136600000000002</v>
      </c>
      <c r="L25" s="193">
        <f>L24*2.5</f>
        <v>3.1262716216216231</v>
      </c>
      <c r="M25" s="54">
        <f t="shared" si="18"/>
        <v>4.3767802702702721</v>
      </c>
      <c r="N25" s="55">
        <f t="shared" si="19"/>
        <v>6.3463313918918942</v>
      </c>
      <c r="O25" s="193">
        <f>O24*2.5</f>
        <v>20.428840750500004</v>
      </c>
      <c r="P25" s="55">
        <f t="shared" si="20"/>
        <v>31.664703163275007</v>
      </c>
      <c r="Q25" s="55">
        <f t="shared" si="21"/>
        <v>9.2021805182432459</v>
      </c>
    </row>
    <row r="26" spans="1:17" ht="15" thickBot="1" x14ac:dyDescent="0.35">
      <c r="A26" s="18">
        <v>2</v>
      </c>
      <c r="B26" s="76"/>
      <c r="C26" s="39" t="s">
        <v>14</v>
      </c>
      <c r="D26" s="215" t="s">
        <v>8</v>
      </c>
      <c r="E26" s="194">
        <f t="shared" si="22"/>
        <v>0.88757396449704129</v>
      </c>
      <c r="F26" s="170">
        <f t="shared" si="22"/>
        <v>1.1538461538461537</v>
      </c>
      <c r="G26" s="245">
        <f>G24*6.25</f>
        <v>1.5</v>
      </c>
      <c r="H26" s="56">
        <f t="shared" si="17"/>
        <v>1.9500000000000002</v>
      </c>
      <c r="I26" s="56">
        <f t="shared" si="17"/>
        <v>2.5350000000000001</v>
      </c>
      <c r="J26" s="56">
        <f t="shared" si="17"/>
        <v>3.2955000000000001</v>
      </c>
      <c r="K26" s="57">
        <f t="shared" si="17"/>
        <v>4.2841500000000003</v>
      </c>
      <c r="L26" s="194">
        <f>L24*6.25</f>
        <v>7.8156790540540575</v>
      </c>
      <c r="M26" s="56">
        <f t="shared" si="18"/>
        <v>10.941950675675679</v>
      </c>
      <c r="N26" s="57">
        <f t="shared" si="19"/>
        <v>15.865828479729734</v>
      </c>
      <c r="O26" s="194">
        <f>O24*6.25</f>
        <v>51.072101876250009</v>
      </c>
      <c r="P26" s="57">
        <f t="shared" si="20"/>
        <v>79.161757908187511</v>
      </c>
      <c r="Q26" s="57">
        <f t="shared" si="21"/>
        <v>23.005451295608115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6098-46ED-4B2A-9075-908537BBF54F}">
  <dimension ref="A1:Q57"/>
  <sheetViews>
    <sheetView topLeftCell="H16" zoomScale="85" zoomScaleNormal="85" workbookViewId="0">
      <selection activeCell="K48" sqref="K48"/>
    </sheetView>
  </sheetViews>
  <sheetFormatPr defaultRowHeight="14.4" x14ac:dyDescent="0.3"/>
  <cols>
    <col min="8" max="8" width="14.6640625" bestFit="1" customWidth="1"/>
    <col min="9" max="9" width="11.88671875" bestFit="1" customWidth="1"/>
    <col min="10" max="10" width="12.6640625" bestFit="1" customWidth="1"/>
    <col min="11" max="14" width="10.5546875" bestFit="1" customWidth="1"/>
    <col min="15" max="16" width="11.6640625" bestFit="1" customWidth="1"/>
    <col min="17" max="17" width="10.6640625" bestFit="1" customWidth="1"/>
  </cols>
  <sheetData>
    <row r="1" spans="1:17" ht="15" thickBot="1" x14ac:dyDescent="0.35">
      <c r="A1" s="15"/>
      <c r="B1" s="66"/>
      <c r="C1" s="22"/>
      <c r="D1" s="2"/>
      <c r="E1" s="25"/>
      <c r="F1" s="3"/>
      <c r="G1" s="2"/>
      <c r="H1" s="2"/>
      <c r="I1" s="2"/>
      <c r="J1" s="2"/>
      <c r="K1" s="2"/>
      <c r="L1" s="25"/>
      <c r="M1" s="2"/>
      <c r="N1" s="2"/>
      <c r="O1" s="2"/>
      <c r="P1" s="2"/>
      <c r="Q1" s="2"/>
    </row>
    <row r="2" spans="1:17" x14ac:dyDescent="0.3">
      <c r="A2" s="14"/>
      <c r="B2" s="171" t="s">
        <v>3</v>
      </c>
      <c r="C2" s="219" t="s">
        <v>2</v>
      </c>
      <c r="D2" s="171">
        <v>1</v>
      </c>
      <c r="E2" s="219">
        <v>2</v>
      </c>
      <c r="F2" s="219">
        <v>3</v>
      </c>
      <c r="G2" s="219">
        <v>4</v>
      </c>
      <c r="H2" s="67"/>
      <c r="I2" s="24" t="s">
        <v>0</v>
      </c>
      <c r="J2" s="143"/>
      <c r="K2" s="263">
        <v>5</v>
      </c>
      <c r="L2" s="171">
        <v>6</v>
      </c>
      <c r="M2" s="172">
        <v>7</v>
      </c>
      <c r="N2" s="173">
        <v>8</v>
      </c>
      <c r="O2" s="171">
        <v>9</v>
      </c>
      <c r="P2" s="173">
        <v>10</v>
      </c>
      <c r="Q2" s="263" t="s">
        <v>49</v>
      </c>
    </row>
    <row r="3" spans="1:17" ht="15" thickBot="1" x14ac:dyDescent="0.35">
      <c r="A3" s="14"/>
      <c r="B3" s="174"/>
      <c r="C3" s="88"/>
      <c r="D3" s="230"/>
      <c r="E3" s="88"/>
      <c r="F3" s="88"/>
      <c r="G3" s="88"/>
      <c r="H3" s="63" t="s">
        <v>1</v>
      </c>
      <c r="I3" s="23" t="s">
        <v>4</v>
      </c>
      <c r="J3" s="213" t="s">
        <v>5</v>
      </c>
      <c r="K3" s="264"/>
      <c r="L3" s="174"/>
      <c r="M3" s="90"/>
      <c r="N3" s="175"/>
      <c r="O3" s="174"/>
      <c r="P3" s="175"/>
      <c r="Q3" s="264"/>
    </row>
    <row r="4" spans="1:17" x14ac:dyDescent="0.3">
      <c r="A4" s="143">
        <v>1</v>
      </c>
      <c r="B4" s="82">
        <f t="shared" ref="B4:C6" si="0">C4/1.3</f>
        <v>-8.8757396449704142</v>
      </c>
      <c r="C4" s="98">
        <f t="shared" si="0"/>
        <v>-11.538461538461538</v>
      </c>
      <c r="D4" s="231">
        <v>-15</v>
      </c>
      <c r="E4" s="83">
        <f t="shared" ref="E4:G6" si="1">D4*1.3</f>
        <v>-19.5</v>
      </c>
      <c r="F4" s="83">
        <f t="shared" si="1"/>
        <v>-25.35</v>
      </c>
      <c r="G4" s="83">
        <f t="shared" si="1"/>
        <v>-32.955000000000005</v>
      </c>
      <c r="H4" s="64" t="s">
        <v>36</v>
      </c>
      <c r="I4" s="36" t="s">
        <v>35</v>
      </c>
      <c r="J4" s="37" t="s">
        <v>6</v>
      </c>
      <c r="K4" s="265">
        <f>G4*1.3</f>
        <v>-42.841500000000011</v>
      </c>
      <c r="L4" s="82">
        <f>K4*1.35</f>
        <v>-57.836025000000021</v>
      </c>
      <c r="M4" s="83">
        <f>L4*1.4</f>
        <v>-80.970435000000023</v>
      </c>
      <c r="N4" s="84">
        <f t="shared" ref="N4:N6" si="2">M4*1.45</f>
        <v>-117.40713075000004</v>
      </c>
      <c r="O4" s="82">
        <f>Q4*1.5</f>
        <v>-255.36050938125007</v>
      </c>
      <c r="P4" s="84">
        <f>O4*1.55</f>
        <v>-395.8087895409376</v>
      </c>
      <c r="Q4" s="265">
        <f>N4*1.45</f>
        <v>-170.24033958750005</v>
      </c>
    </row>
    <row r="5" spans="1:17" x14ac:dyDescent="0.3">
      <c r="A5" s="149">
        <v>1</v>
      </c>
      <c r="B5" s="176">
        <f t="shared" si="0"/>
        <v>-17.751479289940828</v>
      </c>
      <c r="C5" s="161">
        <f t="shared" si="0"/>
        <v>-23.076923076923077</v>
      </c>
      <c r="D5" s="232">
        <f>D4*2</f>
        <v>-30</v>
      </c>
      <c r="E5" s="30">
        <f t="shared" si="1"/>
        <v>-39</v>
      </c>
      <c r="F5" s="30">
        <f t="shared" si="1"/>
        <v>-50.7</v>
      </c>
      <c r="G5" s="30">
        <f t="shared" si="1"/>
        <v>-65.910000000000011</v>
      </c>
      <c r="H5" s="68"/>
      <c r="I5" s="38" t="s">
        <v>35</v>
      </c>
      <c r="J5" s="214" t="s">
        <v>7</v>
      </c>
      <c r="K5" s="266">
        <f>G5*1.3</f>
        <v>-85.683000000000021</v>
      </c>
      <c r="L5" s="176">
        <f>K5*1.35</f>
        <v>-115.67205000000004</v>
      </c>
      <c r="M5" s="30">
        <f>L5*1.4</f>
        <v>-161.94087000000005</v>
      </c>
      <c r="N5" s="85">
        <f t="shared" si="2"/>
        <v>-234.81426150000007</v>
      </c>
      <c r="O5" s="176">
        <f>Q5*1.5</f>
        <v>-510.72101876250014</v>
      </c>
      <c r="P5" s="85">
        <f>O5*1.55</f>
        <v>-791.61757908187519</v>
      </c>
      <c r="Q5" s="266">
        <f>N5*1.45</f>
        <v>-340.48067917500009</v>
      </c>
    </row>
    <row r="6" spans="1:17" ht="15" thickBot="1" x14ac:dyDescent="0.35">
      <c r="A6" s="17">
        <v>1</v>
      </c>
      <c r="B6" s="177">
        <f t="shared" si="0"/>
        <v>-35.502958579881657</v>
      </c>
      <c r="C6" s="162">
        <f t="shared" si="0"/>
        <v>-46.153846153846153</v>
      </c>
      <c r="D6" s="233">
        <f>D4*4</f>
        <v>-60</v>
      </c>
      <c r="E6" s="86">
        <f t="shared" si="1"/>
        <v>-78</v>
      </c>
      <c r="F6" s="86">
        <f t="shared" si="1"/>
        <v>-101.4</v>
      </c>
      <c r="G6" s="86">
        <f t="shared" si="1"/>
        <v>-131.82000000000002</v>
      </c>
      <c r="H6" s="144"/>
      <c r="I6" s="39" t="s">
        <v>35</v>
      </c>
      <c r="J6" s="215" t="s">
        <v>8</v>
      </c>
      <c r="K6" s="267">
        <f>G6*1.3</f>
        <v>-171.36600000000004</v>
      </c>
      <c r="L6" s="177">
        <f>K6*1.35</f>
        <v>-231.34410000000008</v>
      </c>
      <c r="M6" s="86">
        <f>L6*1.4</f>
        <v>-323.88174000000009</v>
      </c>
      <c r="N6" s="87">
        <f t="shared" si="2"/>
        <v>-469.62852300000014</v>
      </c>
      <c r="O6" s="177">
        <f>Q6*1.5</f>
        <v>-1021.4420375250003</v>
      </c>
      <c r="P6" s="87">
        <f>O6*1.55</f>
        <v>-1583.2351581637504</v>
      </c>
      <c r="Q6" s="267">
        <f>N6*1.45</f>
        <v>-680.96135835000018</v>
      </c>
    </row>
    <row r="7" spans="1:17" ht="15" thickBot="1" x14ac:dyDescent="0.35">
      <c r="A7" s="17">
        <v>1</v>
      </c>
      <c r="B7" s="178"/>
      <c r="C7" s="141"/>
      <c r="D7" s="178"/>
      <c r="E7" s="141"/>
      <c r="F7" s="141"/>
      <c r="G7" s="141"/>
      <c r="H7" s="1"/>
      <c r="I7" s="1"/>
      <c r="J7" s="1"/>
      <c r="K7" s="268"/>
      <c r="L7" s="178"/>
      <c r="M7" s="141"/>
      <c r="N7" s="179"/>
      <c r="O7" s="178"/>
      <c r="P7" s="179"/>
      <c r="Q7" s="268"/>
    </row>
    <row r="8" spans="1:17" ht="15" thickBot="1" x14ac:dyDescent="0.35">
      <c r="A8" s="17">
        <v>1</v>
      </c>
      <c r="B8" s="251">
        <f>C8/1.3</f>
        <v>29.585798816568044</v>
      </c>
      <c r="C8" s="252">
        <f>D8/1.3</f>
        <v>38.46153846153846</v>
      </c>
      <c r="D8" s="253">
        <v>50</v>
      </c>
      <c r="E8" s="254">
        <f t="shared" ref="E8:G9" si="3">D8*1.3</f>
        <v>65</v>
      </c>
      <c r="F8" s="254">
        <f t="shared" si="3"/>
        <v>84.5</v>
      </c>
      <c r="G8" s="254">
        <f t="shared" si="3"/>
        <v>109.85000000000001</v>
      </c>
      <c r="H8" s="145" t="s">
        <v>48</v>
      </c>
      <c r="I8" s="36" t="s">
        <v>45</v>
      </c>
      <c r="J8" s="37" t="s">
        <v>6</v>
      </c>
      <c r="K8" s="302">
        <f>L8/1.35</f>
        <v>3.8617611111111103E-2</v>
      </c>
      <c r="L8" s="303">
        <f>3475585/5000000/10*0.75</f>
        <v>5.2133774999999993E-2</v>
      </c>
      <c r="M8" s="304">
        <f>L8*1.4</f>
        <v>7.2987284999999985E-2</v>
      </c>
      <c r="N8" s="305">
        <f>M8*1.45</f>
        <v>0.10583156324999997</v>
      </c>
      <c r="O8" s="303">
        <f>Q8*1.5</f>
        <v>0.23018365006874991</v>
      </c>
      <c r="P8" s="305">
        <f>O8*1.55</f>
        <v>0.35678465760656236</v>
      </c>
      <c r="Q8" s="306">
        <f>N8*1.45</f>
        <v>0.15345576671249994</v>
      </c>
    </row>
    <row r="9" spans="1:17" x14ac:dyDescent="0.3">
      <c r="A9" s="17">
        <v>1</v>
      </c>
      <c r="B9" s="220">
        <f>C9/1.3</f>
        <v>2.9585798816568049E-2</v>
      </c>
      <c r="C9" s="227">
        <f>D9/1.3</f>
        <v>3.8461538461538464E-2</v>
      </c>
      <c r="D9" s="237">
        <v>0.05</v>
      </c>
      <c r="E9" s="58">
        <f t="shared" si="3"/>
        <v>6.5000000000000002E-2</v>
      </c>
      <c r="F9" s="58">
        <f t="shared" si="3"/>
        <v>8.4500000000000006E-2</v>
      </c>
      <c r="G9" s="58">
        <f t="shared" si="3"/>
        <v>0.10985000000000002</v>
      </c>
      <c r="H9" s="146" t="s">
        <v>58</v>
      </c>
      <c r="I9" s="36" t="s">
        <v>46</v>
      </c>
      <c r="J9" s="37" t="s">
        <v>6</v>
      </c>
      <c r="K9" s="301">
        <f>K8/1500</f>
        <v>2.5745074074074069E-5</v>
      </c>
      <c r="L9" s="297">
        <f>L8/1500</f>
        <v>3.4755849999999994E-5</v>
      </c>
      <c r="M9" s="298">
        <f>M8/1500</f>
        <v>4.8658189999999987E-5</v>
      </c>
      <c r="N9" s="299">
        <f>N8/1500</f>
        <v>7.0554375499999979E-5</v>
      </c>
      <c r="O9" s="297">
        <f>O8/1250</f>
        <v>1.8414692005499993E-4</v>
      </c>
      <c r="P9" s="299">
        <f>P8/1250</f>
        <v>2.8542772608524991E-4</v>
      </c>
      <c r="Q9" s="300">
        <f>Q8/1500</f>
        <v>1.0230384447499996E-4</v>
      </c>
    </row>
    <row r="10" spans="1:17" ht="15" thickBot="1" x14ac:dyDescent="0.35">
      <c r="A10" s="17">
        <v>1</v>
      </c>
      <c r="B10" s="178"/>
      <c r="C10" s="141"/>
      <c r="D10" s="178"/>
      <c r="E10" s="141"/>
      <c r="F10" s="141"/>
      <c r="G10" s="141"/>
      <c r="H10" s="1"/>
      <c r="I10" s="1"/>
      <c r="J10" s="1"/>
      <c r="K10" s="268"/>
      <c r="L10" s="178"/>
      <c r="M10" s="141"/>
      <c r="N10" s="179"/>
      <c r="O10" s="178"/>
      <c r="P10" s="179"/>
      <c r="Q10" s="268"/>
    </row>
    <row r="11" spans="1:17" ht="15" thickBot="1" x14ac:dyDescent="0.35">
      <c r="A11" s="17">
        <v>1</v>
      </c>
      <c r="B11" s="251">
        <f>C11/1.3</f>
        <v>29.585798816568044</v>
      </c>
      <c r="C11" s="252">
        <f>D11/1.3</f>
        <v>38.46153846153846</v>
      </c>
      <c r="D11" s="253">
        <v>50</v>
      </c>
      <c r="E11" s="254">
        <f t="shared" ref="E11:G12" si="4">D11*1.3</f>
        <v>65</v>
      </c>
      <c r="F11" s="254">
        <f t="shared" si="4"/>
        <v>84.5</v>
      </c>
      <c r="G11" s="254">
        <f t="shared" si="4"/>
        <v>109.85000000000001</v>
      </c>
      <c r="H11" s="145" t="s">
        <v>48</v>
      </c>
      <c r="I11" s="36" t="s">
        <v>45</v>
      </c>
      <c r="J11" s="37" t="s">
        <v>6</v>
      </c>
      <c r="K11" s="302">
        <f>L11/1.35</f>
        <v>0.22884555555555552</v>
      </c>
      <c r="L11" s="303">
        <f>205961/250000/2*0.75</f>
        <v>0.30894149999999998</v>
      </c>
      <c r="M11" s="304">
        <f>L11*1.4</f>
        <v>0.43251809999999996</v>
      </c>
      <c r="N11" s="305">
        <f>M11*1.45</f>
        <v>0.62715124499999997</v>
      </c>
      <c r="O11" s="303">
        <f>Q11*1.5</f>
        <v>1.3640539578749999</v>
      </c>
      <c r="P11" s="305">
        <f>O11*1.55</f>
        <v>2.1142836347062501</v>
      </c>
      <c r="Q11" s="306">
        <f>N11*1.45</f>
        <v>0.90936930524999993</v>
      </c>
    </row>
    <row r="12" spans="1:17" x14ac:dyDescent="0.3">
      <c r="A12" s="17">
        <v>1</v>
      </c>
      <c r="B12" s="220">
        <f>C12/1.3</f>
        <v>2.9585798816568049E-2</v>
      </c>
      <c r="C12" s="227">
        <f>D12/1.3</f>
        <v>3.8461538461538464E-2</v>
      </c>
      <c r="D12" s="237">
        <v>0.05</v>
      </c>
      <c r="E12" s="58">
        <f t="shared" si="4"/>
        <v>6.5000000000000002E-2</v>
      </c>
      <c r="F12" s="58">
        <f t="shared" si="4"/>
        <v>8.4500000000000006E-2</v>
      </c>
      <c r="G12" s="58">
        <f t="shared" si="4"/>
        <v>0.10985000000000002</v>
      </c>
      <c r="H12" s="146" t="s">
        <v>56</v>
      </c>
      <c r="I12" s="36" t="s">
        <v>46</v>
      </c>
      <c r="J12" s="37" t="s">
        <v>6</v>
      </c>
      <c r="K12" s="301">
        <f>K11/1500</f>
        <v>1.5256370370370369E-4</v>
      </c>
      <c r="L12" s="297">
        <f>L11/1500</f>
        <v>2.0596099999999998E-4</v>
      </c>
      <c r="M12" s="298">
        <f>M11/1500</f>
        <v>2.8834539999999999E-4</v>
      </c>
      <c r="N12" s="299">
        <f>N11/1500</f>
        <v>4.1810082999999996E-4</v>
      </c>
      <c r="O12" s="297">
        <f>O11/1250</f>
        <v>1.0912431663E-3</v>
      </c>
      <c r="P12" s="299">
        <f>P11/1250</f>
        <v>1.6914269077650001E-3</v>
      </c>
      <c r="Q12" s="300">
        <f>Q11/1500</f>
        <v>6.062462034999999E-4</v>
      </c>
    </row>
    <row r="13" spans="1:17" ht="15" thickBot="1" x14ac:dyDescent="0.35">
      <c r="A13" s="17">
        <v>1</v>
      </c>
      <c r="B13" s="178"/>
      <c r="C13" s="141"/>
      <c r="D13" s="178"/>
      <c r="E13" s="141"/>
      <c r="F13" s="141"/>
      <c r="G13" s="141"/>
      <c r="H13" s="1"/>
      <c r="I13" s="1"/>
      <c r="J13" s="1"/>
      <c r="K13" s="268"/>
      <c r="L13" s="178"/>
      <c r="M13" s="141"/>
      <c r="N13" s="179"/>
      <c r="O13" s="178"/>
      <c r="P13" s="179"/>
      <c r="Q13" s="268"/>
    </row>
    <row r="14" spans="1:17" ht="15" thickBot="1" x14ac:dyDescent="0.35">
      <c r="A14" s="17">
        <v>1</v>
      </c>
      <c r="B14" s="251">
        <f>C14/1.3</f>
        <v>29.585798816568044</v>
      </c>
      <c r="C14" s="252">
        <f>D14/1.3</f>
        <v>38.46153846153846</v>
      </c>
      <c r="D14" s="253">
        <v>50</v>
      </c>
      <c r="E14" s="254">
        <f t="shared" ref="E14:G15" si="5">D14*1.3</f>
        <v>65</v>
      </c>
      <c r="F14" s="254">
        <f t="shared" si="5"/>
        <v>84.5</v>
      </c>
      <c r="G14" s="254">
        <f t="shared" si="5"/>
        <v>109.85000000000001</v>
      </c>
      <c r="H14" s="145" t="s">
        <v>48</v>
      </c>
      <c r="I14" s="36" t="s">
        <v>45</v>
      </c>
      <c r="J14" s="37" t="s">
        <v>6</v>
      </c>
      <c r="K14" s="302">
        <f>L14/1.35</f>
        <v>5.7211433333333346E-2</v>
      </c>
      <c r="L14" s="303">
        <f>5149029/5000000/10*0.75</f>
        <v>7.7235435000000019E-2</v>
      </c>
      <c r="M14" s="304">
        <f>L14*1.4</f>
        <v>0.10812960900000002</v>
      </c>
      <c r="N14" s="305">
        <f>M14*1.45</f>
        <v>0.15678793305000002</v>
      </c>
      <c r="O14" s="303">
        <f>Q14*1.5</f>
        <v>0.34101375438375003</v>
      </c>
      <c r="P14" s="305">
        <f>O14*1.55</f>
        <v>0.5285713192948126</v>
      </c>
      <c r="Q14" s="306">
        <f>N14*1.45</f>
        <v>0.22734250292250002</v>
      </c>
    </row>
    <row r="15" spans="1:17" x14ac:dyDescent="0.3">
      <c r="A15" s="17">
        <v>1</v>
      </c>
      <c r="B15" s="220">
        <f>C15/1.3</f>
        <v>2.9585798816568049E-2</v>
      </c>
      <c r="C15" s="227">
        <f>D15/1.3</f>
        <v>3.8461538461538464E-2</v>
      </c>
      <c r="D15" s="237">
        <v>0.05</v>
      </c>
      <c r="E15" s="58">
        <f t="shared" si="5"/>
        <v>6.5000000000000002E-2</v>
      </c>
      <c r="F15" s="58">
        <f t="shared" si="5"/>
        <v>8.4500000000000006E-2</v>
      </c>
      <c r="G15" s="58">
        <f t="shared" si="5"/>
        <v>0.10985000000000002</v>
      </c>
      <c r="H15" s="146" t="s">
        <v>50</v>
      </c>
      <c r="I15" s="36" t="s">
        <v>46</v>
      </c>
      <c r="J15" s="37" t="s">
        <v>6</v>
      </c>
      <c r="K15" s="301">
        <f>K14/1500</f>
        <v>3.8140955555555564E-5</v>
      </c>
      <c r="L15" s="297">
        <f>L14/1500</f>
        <v>5.149029000000001E-5</v>
      </c>
      <c r="M15" s="298">
        <f>M14/1500</f>
        <v>7.2086406000000005E-5</v>
      </c>
      <c r="N15" s="299">
        <f>N14/1500</f>
        <v>1.0452528870000002E-4</v>
      </c>
      <c r="O15" s="297">
        <f>O14/1250</f>
        <v>2.72811003507E-4</v>
      </c>
      <c r="P15" s="299">
        <f>P14/1250</f>
        <v>4.2285705543585009E-4</v>
      </c>
      <c r="Q15" s="300">
        <f>Q14/1500</f>
        <v>1.5156166861500002E-4</v>
      </c>
    </row>
    <row r="16" spans="1:17" ht="15" thickBot="1" x14ac:dyDescent="0.35">
      <c r="A16" s="17">
        <v>1</v>
      </c>
      <c r="B16" s="178"/>
      <c r="C16" s="141"/>
      <c r="D16" s="178"/>
      <c r="E16" s="141"/>
      <c r="F16" s="141"/>
      <c r="G16" s="141"/>
      <c r="H16" s="1"/>
      <c r="I16" s="1"/>
      <c r="J16" s="1"/>
      <c r="K16" s="268"/>
      <c r="L16" s="178"/>
      <c r="M16" s="141"/>
      <c r="N16" s="179"/>
      <c r="O16" s="178"/>
      <c r="P16" s="179"/>
      <c r="Q16" s="268"/>
    </row>
    <row r="17" spans="1:17" ht="15" thickBot="1" x14ac:dyDescent="0.35">
      <c r="A17" s="17">
        <v>1</v>
      </c>
      <c r="B17" s="251">
        <f>C17/1.3</f>
        <v>29.585798816568044</v>
      </c>
      <c r="C17" s="252">
        <f>D17/1.3</f>
        <v>38.46153846153846</v>
      </c>
      <c r="D17" s="253">
        <v>50</v>
      </c>
      <c r="E17" s="254">
        <f t="shared" ref="E17:G18" si="6">D17*1.3</f>
        <v>65</v>
      </c>
      <c r="F17" s="254">
        <f t="shared" si="6"/>
        <v>84.5</v>
      </c>
      <c r="G17" s="254">
        <f t="shared" si="6"/>
        <v>109.85000000000001</v>
      </c>
      <c r="H17" s="145" t="s">
        <v>48</v>
      </c>
      <c r="I17" s="36" t="s">
        <v>45</v>
      </c>
      <c r="J17" s="37" t="s">
        <v>6</v>
      </c>
      <c r="K17" s="302">
        <f>L17/1.35</f>
        <v>7.3348005698005703E-3</v>
      </c>
      <c r="L17" s="303">
        <f>51490300/65000000/60*0.75</f>
        <v>9.9019807692307706E-3</v>
      </c>
      <c r="M17" s="304">
        <f>L17*1.4</f>
        <v>1.3862773076923077E-2</v>
      </c>
      <c r="N17" s="305">
        <f>M17*1.45</f>
        <v>2.0101020961538461E-2</v>
      </c>
      <c r="O17" s="303">
        <f>Q17*1.5</f>
        <v>4.3719720591346156E-2</v>
      </c>
      <c r="P17" s="305">
        <f>O17*1.55</f>
        <v>6.7765566916586542E-2</v>
      </c>
      <c r="Q17" s="306">
        <f>N17*1.45</f>
        <v>2.9146480394230768E-2</v>
      </c>
    </row>
    <row r="18" spans="1:17" x14ac:dyDescent="0.3">
      <c r="A18" s="17">
        <v>1</v>
      </c>
      <c r="B18" s="220">
        <f>C18/1.3</f>
        <v>2.9585798816568049E-2</v>
      </c>
      <c r="C18" s="227">
        <f>D18/1.3</f>
        <v>3.8461538461538464E-2</v>
      </c>
      <c r="D18" s="237">
        <v>0.05</v>
      </c>
      <c r="E18" s="58">
        <f t="shared" si="6"/>
        <v>6.5000000000000002E-2</v>
      </c>
      <c r="F18" s="58">
        <f t="shared" si="6"/>
        <v>8.4500000000000006E-2</v>
      </c>
      <c r="G18" s="58">
        <f t="shared" si="6"/>
        <v>0.10985000000000002</v>
      </c>
      <c r="H18" s="146" t="s">
        <v>51</v>
      </c>
      <c r="I18" s="36" t="s">
        <v>46</v>
      </c>
      <c r="J18" s="37" t="s">
        <v>6</v>
      </c>
      <c r="K18" s="301">
        <f>K17/1500</f>
        <v>4.8898670465337134E-6</v>
      </c>
      <c r="L18" s="297">
        <f>L17/1500</f>
        <v>6.6013205128205137E-6</v>
      </c>
      <c r="M18" s="298">
        <f>M17/1500</f>
        <v>9.241848717948719E-6</v>
      </c>
      <c r="N18" s="299">
        <f>N17/1500</f>
        <v>1.3400680641025641E-5</v>
      </c>
      <c r="O18" s="297">
        <f>O17/1250</f>
        <v>3.4975776473076926E-5</v>
      </c>
      <c r="P18" s="299">
        <f>P17/1250</f>
        <v>5.4212453533269231E-5</v>
      </c>
      <c r="Q18" s="300">
        <f>Q17/1500</f>
        <v>1.9430986929487179E-5</v>
      </c>
    </row>
    <row r="19" spans="1:17" ht="15" thickBot="1" x14ac:dyDescent="0.35">
      <c r="A19" s="17">
        <v>1</v>
      </c>
      <c r="B19" s="186"/>
      <c r="C19" s="155"/>
      <c r="D19" s="186"/>
      <c r="E19" s="155"/>
      <c r="F19" s="155"/>
      <c r="G19" s="155"/>
      <c r="H19" s="12"/>
      <c r="I19" s="12"/>
      <c r="J19" s="12"/>
      <c r="K19" s="274"/>
      <c r="L19" s="186"/>
      <c r="M19" s="155"/>
      <c r="N19" s="187"/>
      <c r="O19" s="186"/>
      <c r="P19" s="187"/>
      <c r="Q19" s="274"/>
    </row>
    <row r="20" spans="1:17" ht="15" thickBot="1" x14ac:dyDescent="0.35">
      <c r="A20" s="17">
        <v>1</v>
      </c>
      <c r="B20" s="251">
        <f>C20/1.3</f>
        <v>29.585798816568044</v>
      </c>
      <c r="C20" s="252">
        <f>D20/1.3</f>
        <v>38.46153846153846</v>
      </c>
      <c r="D20" s="253">
        <v>50</v>
      </c>
      <c r="E20" s="254">
        <f t="shared" ref="E20:G21" si="7">D20*1.3</f>
        <v>65</v>
      </c>
      <c r="F20" s="254">
        <f t="shared" si="7"/>
        <v>84.5</v>
      </c>
      <c r="G20" s="254">
        <f t="shared" si="7"/>
        <v>109.85000000000001</v>
      </c>
      <c r="H20" s="145" t="s">
        <v>48</v>
      </c>
      <c r="I20" s="36" t="s">
        <v>45</v>
      </c>
      <c r="J20" s="37" t="s">
        <v>6</v>
      </c>
      <c r="K20" s="302">
        <f>L20/1.35</f>
        <v>7.3348005698005703E-3</v>
      </c>
      <c r="L20" s="303">
        <f>51490300/65000000/60*0.75</f>
        <v>9.9019807692307706E-3</v>
      </c>
      <c r="M20" s="304">
        <f>L20*1.4</f>
        <v>1.3862773076923077E-2</v>
      </c>
      <c r="N20" s="305">
        <f>M20*1.45</f>
        <v>2.0101020961538461E-2</v>
      </c>
      <c r="O20" s="303">
        <f>Q20*1.5</f>
        <v>4.3719720591346156E-2</v>
      </c>
      <c r="P20" s="305">
        <f>O20*1.55</f>
        <v>6.7765566916586542E-2</v>
      </c>
      <c r="Q20" s="306">
        <f>N20*1.45</f>
        <v>2.9146480394230768E-2</v>
      </c>
    </row>
    <row r="21" spans="1:17" x14ac:dyDescent="0.3">
      <c r="A21" s="17">
        <v>1</v>
      </c>
      <c r="B21" s="220">
        <f>C21/1.3</f>
        <v>2.9585798816568049E-2</v>
      </c>
      <c r="C21" s="227">
        <f>D21/1.3</f>
        <v>3.8461538461538464E-2</v>
      </c>
      <c r="D21" s="237">
        <v>0.05</v>
      </c>
      <c r="E21" s="58">
        <f t="shared" si="7"/>
        <v>6.5000000000000002E-2</v>
      </c>
      <c r="F21" s="58">
        <f t="shared" si="7"/>
        <v>8.4500000000000006E-2</v>
      </c>
      <c r="G21" s="58">
        <f t="shared" si="7"/>
        <v>0.10985000000000002</v>
      </c>
      <c r="H21" s="146" t="s">
        <v>57</v>
      </c>
      <c r="I21" s="36" t="s">
        <v>46</v>
      </c>
      <c r="J21" s="37" t="s">
        <v>6</v>
      </c>
      <c r="K21" s="301">
        <f>K20/1500</f>
        <v>4.8898670465337134E-6</v>
      </c>
      <c r="L21" s="297">
        <f>L20/1500</f>
        <v>6.6013205128205137E-6</v>
      </c>
      <c r="M21" s="298">
        <f>M20/1500</f>
        <v>9.241848717948719E-6</v>
      </c>
      <c r="N21" s="299">
        <f>N20/1500</f>
        <v>1.3400680641025641E-5</v>
      </c>
      <c r="O21" s="297">
        <f>O20/1250</f>
        <v>3.4975776473076926E-5</v>
      </c>
      <c r="P21" s="299">
        <f>P20/1250</f>
        <v>5.4212453533269231E-5</v>
      </c>
      <c r="Q21" s="300">
        <f>Q20/1500</f>
        <v>1.9430986929487179E-5</v>
      </c>
    </row>
    <row r="22" spans="1:17" ht="15" thickBot="1" x14ac:dyDescent="0.35">
      <c r="A22" s="17">
        <v>1</v>
      </c>
      <c r="B22" s="186"/>
      <c r="C22" s="155"/>
      <c r="D22" s="186"/>
      <c r="E22" s="155"/>
      <c r="F22" s="155"/>
      <c r="G22" s="155"/>
      <c r="H22" s="12"/>
      <c r="I22" s="12"/>
      <c r="J22" s="12"/>
      <c r="K22" s="274"/>
      <c r="L22" s="186"/>
      <c r="M22" s="155"/>
      <c r="N22" s="187"/>
      <c r="O22" s="186"/>
      <c r="P22" s="187"/>
      <c r="Q22" s="274"/>
    </row>
    <row r="23" spans="1:17" ht="15" thickBot="1" x14ac:dyDescent="0.35">
      <c r="A23" s="17">
        <v>1</v>
      </c>
      <c r="B23" s="251">
        <f t="shared" ref="B23:B24" si="8">C23/1.3</f>
        <v>29.585798816568044</v>
      </c>
      <c r="C23" s="252">
        <f t="shared" ref="C23" si="9">D23/1.3</f>
        <v>38.46153846153846</v>
      </c>
      <c r="D23" s="253">
        <v>50</v>
      </c>
      <c r="E23" s="254">
        <f t="shared" ref="E23" si="10">D23*1.3</f>
        <v>65</v>
      </c>
      <c r="F23" s="254">
        <f t="shared" ref="F23" si="11">E23*1.3</f>
        <v>84.5</v>
      </c>
      <c r="G23" s="254">
        <f t="shared" ref="G23" si="12">F23*1.3</f>
        <v>109.85000000000001</v>
      </c>
      <c r="H23" s="145" t="s">
        <v>10</v>
      </c>
      <c r="I23" s="36" t="s">
        <v>9</v>
      </c>
      <c r="J23" s="37" t="s">
        <v>6</v>
      </c>
      <c r="K23" s="281">
        <f>L23/1.35</f>
        <v>257450.74074074073</v>
      </c>
      <c r="L23" s="282">
        <f>3475585/10</f>
        <v>347558.5</v>
      </c>
      <c r="M23" s="283">
        <f>L23*1.4</f>
        <v>486581.89999999997</v>
      </c>
      <c r="N23" s="284">
        <f>M23*1.45</f>
        <v>705543.75499999989</v>
      </c>
      <c r="O23" s="282">
        <f>Q23*1.5</f>
        <v>1534557.6671249997</v>
      </c>
      <c r="P23" s="284">
        <f>O23*1.55</f>
        <v>2378564.3840437494</v>
      </c>
      <c r="Q23" s="281">
        <f>N23*1.45</f>
        <v>1023038.4447499998</v>
      </c>
    </row>
    <row r="24" spans="1:17" x14ac:dyDescent="0.3">
      <c r="A24" s="17">
        <v>1</v>
      </c>
      <c r="B24" s="220">
        <f t="shared" si="8"/>
        <v>2.9585798816568049E-2</v>
      </c>
      <c r="C24" s="227">
        <f>D24/1.3</f>
        <v>3.8461538461538464E-2</v>
      </c>
      <c r="D24" s="237">
        <v>0.05</v>
      </c>
      <c r="E24" s="58">
        <f>D24*1.3</f>
        <v>6.5000000000000002E-2</v>
      </c>
      <c r="F24" s="58">
        <f>E24*1.3</f>
        <v>8.4500000000000006E-2</v>
      </c>
      <c r="G24" s="58">
        <f>F24*1.3</f>
        <v>0.10985000000000002</v>
      </c>
      <c r="H24" s="146" t="s">
        <v>58</v>
      </c>
      <c r="I24" s="36" t="s">
        <v>11</v>
      </c>
      <c r="J24" s="37" t="s">
        <v>6</v>
      </c>
      <c r="K24" s="285">
        <f>K23/20000</f>
        <v>12.872537037037036</v>
      </c>
      <c r="L24" s="286">
        <f>L23/15000</f>
        <v>23.170566666666666</v>
      </c>
      <c r="M24" s="287">
        <f>M23/15000</f>
        <v>32.438793333333329</v>
      </c>
      <c r="N24" s="288">
        <f>N23/15000</f>
        <v>47.036250333333328</v>
      </c>
      <c r="O24" s="286">
        <f>O23/10000</f>
        <v>153.45576671249998</v>
      </c>
      <c r="P24" s="288">
        <f>P23/10000</f>
        <v>237.85643840437496</v>
      </c>
      <c r="Q24" s="285">
        <f>Q23/15000</f>
        <v>68.202562983333323</v>
      </c>
    </row>
    <row r="25" spans="1:17" ht="15" thickBot="1" x14ac:dyDescent="0.35">
      <c r="A25" s="17">
        <v>1</v>
      </c>
      <c r="B25" s="186"/>
      <c r="C25" s="155"/>
      <c r="D25" s="186"/>
      <c r="E25" s="155"/>
      <c r="F25" s="155"/>
      <c r="G25" s="155"/>
      <c r="H25" s="12"/>
      <c r="I25" s="12"/>
      <c r="J25" s="12"/>
      <c r="K25" s="274"/>
      <c r="L25" s="186"/>
      <c r="M25" s="155"/>
      <c r="N25" s="187"/>
      <c r="O25" s="186"/>
      <c r="P25" s="187"/>
      <c r="Q25" s="274"/>
    </row>
    <row r="26" spans="1:17" ht="15" thickBot="1" x14ac:dyDescent="0.35">
      <c r="A26" s="17">
        <v>1</v>
      </c>
      <c r="B26" s="251">
        <f t="shared" ref="B26:B27" si="13">C26/1.3</f>
        <v>29.585798816568044</v>
      </c>
      <c r="C26" s="252">
        <f t="shared" ref="C26" si="14">D26/1.3</f>
        <v>38.46153846153846</v>
      </c>
      <c r="D26" s="253">
        <v>50</v>
      </c>
      <c r="E26" s="254">
        <f t="shared" ref="E26" si="15">D26*1.3</f>
        <v>65</v>
      </c>
      <c r="F26" s="254">
        <f t="shared" ref="F26" si="16">E26*1.3</f>
        <v>84.5</v>
      </c>
      <c r="G26" s="254">
        <f t="shared" ref="G26" si="17">F26*1.3</f>
        <v>109.85000000000001</v>
      </c>
      <c r="H26" s="145" t="s">
        <v>10</v>
      </c>
      <c r="I26" s="36" t="s">
        <v>9</v>
      </c>
      <c r="J26" s="37" t="s">
        <v>6</v>
      </c>
      <c r="K26" s="281">
        <f>L26/1.35</f>
        <v>76281.851851851854</v>
      </c>
      <c r="L26" s="282">
        <f>205961/2</f>
        <v>102980.5</v>
      </c>
      <c r="M26" s="283">
        <f>L26*1.4</f>
        <v>144172.69999999998</v>
      </c>
      <c r="N26" s="284">
        <f>M26*1.45</f>
        <v>209050.41499999998</v>
      </c>
      <c r="O26" s="282">
        <f>Q26*1.5</f>
        <v>454684.65262499999</v>
      </c>
      <c r="P26" s="284">
        <f>O26*1.55</f>
        <v>704761.21156874998</v>
      </c>
      <c r="Q26" s="281">
        <f>N26*1.45</f>
        <v>303123.10174999997</v>
      </c>
    </row>
    <row r="27" spans="1:17" x14ac:dyDescent="0.3">
      <c r="A27" s="17">
        <v>1</v>
      </c>
      <c r="B27" s="220">
        <f t="shared" si="13"/>
        <v>2.9585798816568049E-2</v>
      </c>
      <c r="C27" s="227">
        <f>D27/1.3</f>
        <v>3.8461538461538464E-2</v>
      </c>
      <c r="D27" s="237">
        <v>0.05</v>
      </c>
      <c r="E27" s="58">
        <f>D27*1.3</f>
        <v>6.5000000000000002E-2</v>
      </c>
      <c r="F27" s="58">
        <f>E27*1.3</f>
        <v>8.4500000000000006E-2</v>
      </c>
      <c r="G27" s="58">
        <f>F27*1.3</f>
        <v>0.10985000000000002</v>
      </c>
      <c r="H27" s="146" t="s">
        <v>56</v>
      </c>
      <c r="I27" s="36" t="s">
        <v>11</v>
      </c>
      <c r="J27" s="37" t="s">
        <v>6</v>
      </c>
      <c r="K27" s="285">
        <f>K26/20000</f>
        <v>3.8140925925925928</v>
      </c>
      <c r="L27" s="286">
        <f>L26/15000</f>
        <v>6.8653666666666666</v>
      </c>
      <c r="M27" s="287">
        <f>M26/15000</f>
        <v>9.6115133333333329</v>
      </c>
      <c r="N27" s="288">
        <f>N26/15000</f>
        <v>13.936694333333332</v>
      </c>
      <c r="O27" s="286">
        <f>O26/10000</f>
        <v>45.468465262499997</v>
      </c>
      <c r="P27" s="288">
        <f>P26/10000</f>
        <v>70.476121156874996</v>
      </c>
      <c r="Q27" s="285">
        <f>Q26/15000</f>
        <v>20.208206783333331</v>
      </c>
    </row>
    <row r="28" spans="1:17" ht="15" thickBot="1" x14ac:dyDescent="0.35">
      <c r="A28" s="17">
        <v>1</v>
      </c>
      <c r="B28" s="186"/>
      <c r="C28" s="155"/>
      <c r="D28" s="186"/>
      <c r="E28" s="155"/>
      <c r="F28" s="155"/>
      <c r="G28" s="155"/>
      <c r="H28" s="12"/>
      <c r="I28" s="12"/>
      <c r="J28" s="12"/>
      <c r="K28" s="274"/>
      <c r="L28" s="186"/>
      <c r="M28" s="155"/>
      <c r="N28" s="187"/>
      <c r="O28" s="186"/>
      <c r="P28" s="187"/>
      <c r="Q28" s="274"/>
    </row>
    <row r="29" spans="1:17" ht="15" thickBot="1" x14ac:dyDescent="0.35">
      <c r="A29" s="17">
        <v>1</v>
      </c>
      <c r="B29" s="251">
        <f t="shared" ref="B29:B30" si="18">C29/1.3</f>
        <v>29.585798816568044</v>
      </c>
      <c r="C29" s="252">
        <f t="shared" ref="C29" si="19">D29/1.3</f>
        <v>38.46153846153846</v>
      </c>
      <c r="D29" s="253">
        <v>50</v>
      </c>
      <c r="E29" s="254">
        <f t="shared" ref="E29" si="20">D29*1.3</f>
        <v>65</v>
      </c>
      <c r="F29" s="254">
        <f t="shared" ref="F29" si="21">E29*1.3</f>
        <v>84.5</v>
      </c>
      <c r="G29" s="254">
        <f t="shared" ref="G29" si="22">F29*1.3</f>
        <v>109.85000000000001</v>
      </c>
      <c r="H29" s="145" t="s">
        <v>10</v>
      </c>
      <c r="I29" s="36" t="s">
        <v>9</v>
      </c>
      <c r="J29" s="37" t="s">
        <v>6</v>
      </c>
      <c r="K29" s="281">
        <f>L29/1.35</f>
        <v>381409.55555555556</v>
      </c>
      <c r="L29" s="282">
        <f>5149029/10</f>
        <v>514902.9</v>
      </c>
      <c r="M29" s="283">
        <f>L29*1.4</f>
        <v>720864.05999999994</v>
      </c>
      <c r="N29" s="284">
        <f>M29*1.45</f>
        <v>1045252.8869999999</v>
      </c>
      <c r="O29" s="282">
        <f>Q29*1.5</f>
        <v>2273425.0292249997</v>
      </c>
      <c r="P29" s="284">
        <f>O29*1.55</f>
        <v>3523808.7952987496</v>
      </c>
      <c r="Q29" s="281">
        <f>N29*1.45</f>
        <v>1515616.6861499997</v>
      </c>
    </row>
    <row r="30" spans="1:17" x14ac:dyDescent="0.3">
      <c r="A30" s="17">
        <v>1</v>
      </c>
      <c r="B30" s="220">
        <f t="shared" si="18"/>
        <v>2.9585798816568049E-2</v>
      </c>
      <c r="C30" s="227">
        <f>D30/1.3</f>
        <v>3.8461538461538464E-2</v>
      </c>
      <c r="D30" s="237">
        <v>0.05</v>
      </c>
      <c r="E30" s="58">
        <f>D30*1.3</f>
        <v>6.5000000000000002E-2</v>
      </c>
      <c r="F30" s="58">
        <f>E30*1.3</f>
        <v>8.4500000000000006E-2</v>
      </c>
      <c r="G30" s="58">
        <f>F30*1.3</f>
        <v>0.10985000000000002</v>
      </c>
      <c r="H30" s="146" t="s">
        <v>50</v>
      </c>
      <c r="I30" s="36" t="s">
        <v>11</v>
      </c>
      <c r="J30" s="37" t="s">
        <v>6</v>
      </c>
      <c r="K30" s="285">
        <f>K29/20000</f>
        <v>19.070477777777779</v>
      </c>
      <c r="L30" s="286">
        <f>L29/15000</f>
        <v>34.326860000000003</v>
      </c>
      <c r="M30" s="287">
        <f>M29/15000</f>
        <v>48.057603999999998</v>
      </c>
      <c r="N30" s="288">
        <f>N29/15000</f>
        <v>69.683525799999998</v>
      </c>
      <c r="O30" s="286">
        <f>O29/10000</f>
        <v>227.34250292249996</v>
      </c>
      <c r="P30" s="288">
        <f>P29/10000</f>
        <v>352.38087952987496</v>
      </c>
      <c r="Q30" s="285">
        <f>Q29/15000</f>
        <v>101.04111240999998</v>
      </c>
    </row>
    <row r="31" spans="1:17" ht="15" thickBot="1" x14ac:dyDescent="0.35">
      <c r="A31" s="17">
        <v>1</v>
      </c>
      <c r="B31" s="186"/>
      <c r="C31" s="155"/>
      <c r="D31" s="186"/>
      <c r="E31" s="155"/>
      <c r="F31" s="155"/>
      <c r="G31" s="155"/>
      <c r="H31" s="12"/>
      <c r="I31" s="12"/>
      <c r="J31" s="12"/>
      <c r="K31" s="274"/>
      <c r="L31" s="186"/>
      <c r="M31" s="155"/>
      <c r="N31" s="187"/>
      <c r="O31" s="186"/>
      <c r="P31" s="187"/>
      <c r="Q31" s="274"/>
    </row>
    <row r="32" spans="1:17" ht="15" thickBot="1" x14ac:dyDescent="0.35">
      <c r="A32" s="17">
        <v>1</v>
      </c>
      <c r="B32" s="251">
        <f t="shared" ref="B32:B33" si="23">C32/1.3</f>
        <v>29.585798816568044</v>
      </c>
      <c r="C32" s="252">
        <f t="shared" ref="C32" si="24">D32/1.3</f>
        <v>38.46153846153846</v>
      </c>
      <c r="D32" s="253">
        <v>50</v>
      </c>
      <c r="E32" s="254">
        <f t="shared" ref="E32" si="25">D32*1.3</f>
        <v>65</v>
      </c>
      <c r="F32" s="254">
        <f t="shared" ref="F32" si="26">E32*1.3</f>
        <v>84.5</v>
      </c>
      <c r="G32" s="254">
        <f t="shared" ref="G32" si="27">F32*1.3</f>
        <v>109.85000000000001</v>
      </c>
      <c r="H32" s="145" t="s">
        <v>10</v>
      </c>
      <c r="I32" s="36" t="s">
        <v>9</v>
      </c>
      <c r="J32" s="37" t="s">
        <v>6</v>
      </c>
      <c r="K32" s="281">
        <f>L32/1.35</f>
        <v>635682.7160493827</v>
      </c>
      <c r="L32" s="282">
        <f>51490300/60</f>
        <v>858171.66666666663</v>
      </c>
      <c r="M32" s="283">
        <f>L32*1.4</f>
        <v>1201440.3333333333</v>
      </c>
      <c r="N32" s="284">
        <f>M32*1.45</f>
        <v>1742088.4833333332</v>
      </c>
      <c r="O32" s="282">
        <f>Q32*1.5</f>
        <v>3789042.451249999</v>
      </c>
      <c r="P32" s="284">
        <f>O32*1.55</f>
        <v>5873015.7994374987</v>
      </c>
      <c r="Q32" s="281">
        <f>N32*1.45</f>
        <v>2526028.3008333328</v>
      </c>
    </row>
    <row r="33" spans="1:17" x14ac:dyDescent="0.3">
      <c r="A33" s="17">
        <v>1</v>
      </c>
      <c r="B33" s="220">
        <f t="shared" si="23"/>
        <v>2.9585798816568049E-2</v>
      </c>
      <c r="C33" s="227">
        <f>D33/1.3</f>
        <v>3.8461538461538464E-2</v>
      </c>
      <c r="D33" s="237">
        <v>0.05</v>
      </c>
      <c r="E33" s="58">
        <f>D33*1.3</f>
        <v>6.5000000000000002E-2</v>
      </c>
      <c r="F33" s="58">
        <f>E33*1.3</f>
        <v>8.4500000000000006E-2</v>
      </c>
      <c r="G33" s="58">
        <f>F33*1.3</f>
        <v>0.10985000000000002</v>
      </c>
      <c r="H33" s="146" t="s">
        <v>51</v>
      </c>
      <c r="I33" s="36" t="s">
        <v>11</v>
      </c>
      <c r="J33" s="37" t="s">
        <v>6</v>
      </c>
      <c r="K33" s="285">
        <f>K32/20000</f>
        <v>31.784135802469134</v>
      </c>
      <c r="L33" s="286">
        <f>L32/15000</f>
        <v>57.211444444444439</v>
      </c>
      <c r="M33" s="287">
        <f>M32/15000</f>
        <v>80.096022222222217</v>
      </c>
      <c r="N33" s="288">
        <f>N32/15000</f>
        <v>116.1392322222222</v>
      </c>
      <c r="O33" s="286">
        <f>O32/10000</f>
        <v>378.90424512499987</v>
      </c>
      <c r="P33" s="288">
        <f>P32/10000</f>
        <v>587.30157994374986</v>
      </c>
      <c r="Q33" s="285">
        <f>Q32/15000</f>
        <v>168.4018867222222</v>
      </c>
    </row>
    <row r="34" spans="1:17" ht="15" thickBot="1" x14ac:dyDescent="0.35">
      <c r="A34" s="17">
        <v>1</v>
      </c>
      <c r="B34" s="186"/>
      <c r="C34" s="155"/>
      <c r="D34" s="186"/>
      <c r="E34" s="155"/>
      <c r="F34" s="155"/>
      <c r="G34" s="155"/>
      <c r="H34" s="12"/>
      <c r="I34" s="12"/>
      <c r="J34" s="12"/>
      <c r="K34" s="274"/>
      <c r="L34" s="186"/>
      <c r="M34" s="155"/>
      <c r="N34" s="187"/>
      <c r="O34" s="186"/>
      <c r="P34" s="187"/>
      <c r="Q34" s="274"/>
    </row>
    <row r="35" spans="1:17" ht="15" thickBot="1" x14ac:dyDescent="0.35">
      <c r="A35" s="17">
        <v>1</v>
      </c>
      <c r="B35" s="251">
        <f t="shared" ref="B35:B36" si="28">C35/1.3</f>
        <v>29.585798816568044</v>
      </c>
      <c r="C35" s="252">
        <f t="shared" ref="C35" si="29">D35/1.3</f>
        <v>38.46153846153846</v>
      </c>
      <c r="D35" s="253">
        <v>50</v>
      </c>
      <c r="E35" s="254">
        <f t="shared" ref="E35" si="30">D35*1.3</f>
        <v>65</v>
      </c>
      <c r="F35" s="254">
        <f t="shared" ref="F35" si="31">E35*1.3</f>
        <v>84.5</v>
      </c>
      <c r="G35" s="254">
        <f t="shared" ref="G35" si="32">F35*1.3</f>
        <v>109.85000000000001</v>
      </c>
      <c r="H35" s="145" t="s">
        <v>10</v>
      </c>
      <c r="I35" s="36" t="s">
        <v>9</v>
      </c>
      <c r="J35" s="37" t="s">
        <v>6</v>
      </c>
      <c r="K35" s="281">
        <f>L35/1.35</f>
        <v>635682.7160493827</v>
      </c>
      <c r="L35" s="282">
        <f>51490300/60</f>
        <v>858171.66666666663</v>
      </c>
      <c r="M35" s="283">
        <f>L35*1.4</f>
        <v>1201440.3333333333</v>
      </c>
      <c r="N35" s="284">
        <f>M35*1.45</f>
        <v>1742088.4833333332</v>
      </c>
      <c r="O35" s="282">
        <f>Q35*1.5</f>
        <v>3789042.451249999</v>
      </c>
      <c r="P35" s="284">
        <f>O35*1.55</f>
        <v>5873015.7994374987</v>
      </c>
      <c r="Q35" s="281">
        <f>N35*1.45</f>
        <v>2526028.3008333328</v>
      </c>
    </row>
    <row r="36" spans="1:17" x14ac:dyDescent="0.3">
      <c r="A36" s="17">
        <v>1</v>
      </c>
      <c r="B36" s="220">
        <f t="shared" si="28"/>
        <v>2.9585798816568049E-2</v>
      </c>
      <c r="C36" s="227">
        <f>D36/1.3</f>
        <v>3.8461538461538464E-2</v>
      </c>
      <c r="D36" s="237">
        <v>0.05</v>
      </c>
      <c r="E36" s="58">
        <f>D36*1.3</f>
        <v>6.5000000000000002E-2</v>
      </c>
      <c r="F36" s="58">
        <f>E36*1.3</f>
        <v>8.4500000000000006E-2</v>
      </c>
      <c r="G36" s="58">
        <f>F36*1.3</f>
        <v>0.10985000000000002</v>
      </c>
      <c r="H36" s="146" t="s">
        <v>57</v>
      </c>
      <c r="I36" s="36" t="s">
        <v>11</v>
      </c>
      <c r="J36" s="37" t="s">
        <v>6</v>
      </c>
      <c r="K36" s="285">
        <f>K35/20000</f>
        <v>31.784135802469134</v>
      </c>
      <c r="L36" s="286">
        <f>L35/15000</f>
        <v>57.211444444444439</v>
      </c>
      <c r="M36" s="287">
        <f>M35/15000</f>
        <v>80.096022222222217</v>
      </c>
      <c r="N36" s="288">
        <f>N35/15000</f>
        <v>116.1392322222222</v>
      </c>
      <c r="O36" s="286">
        <f>O35/10000</f>
        <v>378.90424512499987</v>
      </c>
      <c r="P36" s="288">
        <f>P35/10000</f>
        <v>587.30157994374986</v>
      </c>
      <c r="Q36" s="285">
        <f>Q35/15000</f>
        <v>168.4018867222222</v>
      </c>
    </row>
    <row r="37" spans="1:17" ht="15" thickBot="1" x14ac:dyDescent="0.35">
      <c r="A37" s="148">
        <v>2</v>
      </c>
      <c r="B37" s="188"/>
      <c r="C37" s="4"/>
      <c r="D37" s="188"/>
      <c r="E37" s="4"/>
      <c r="F37" s="4"/>
      <c r="G37" s="4"/>
      <c r="H37" s="146"/>
      <c r="I37" s="6"/>
      <c r="J37" s="6"/>
      <c r="K37" s="276"/>
      <c r="L37" s="188"/>
      <c r="M37" s="4"/>
      <c r="N37" s="189"/>
      <c r="O37" s="188"/>
      <c r="P37" s="189"/>
      <c r="Q37" s="189"/>
    </row>
    <row r="38" spans="1:17" ht="15" thickBot="1" x14ac:dyDescent="0.35">
      <c r="A38" s="18">
        <v>2</v>
      </c>
      <c r="B38" s="251">
        <f t="shared" ref="B38" si="33">C38/1.3</f>
        <v>29.585798816568044</v>
      </c>
      <c r="C38" s="252">
        <f t="shared" ref="C38" si="34">D38/1.3</f>
        <v>38.46153846153846</v>
      </c>
      <c r="D38" s="253">
        <v>50</v>
      </c>
      <c r="E38" s="254">
        <f t="shared" ref="E38" si="35">D38*1.3</f>
        <v>65</v>
      </c>
      <c r="F38" s="254">
        <f t="shared" ref="F38" si="36">E38*1.3</f>
        <v>84.5</v>
      </c>
      <c r="G38" s="254">
        <f t="shared" ref="G38" si="37">F38*1.3</f>
        <v>109.85000000000001</v>
      </c>
      <c r="H38" s="145" t="s">
        <v>12</v>
      </c>
      <c r="I38" s="36" t="s">
        <v>13</v>
      </c>
      <c r="J38" s="37" t="s">
        <v>6</v>
      </c>
      <c r="K38" s="277">
        <f>L38/1.35</f>
        <v>257450.74074074073</v>
      </c>
      <c r="L38" s="289">
        <f>3475585/10</f>
        <v>347558.5</v>
      </c>
      <c r="M38" s="290">
        <f>L38*1.4</f>
        <v>486581.89999999997</v>
      </c>
      <c r="N38" s="291">
        <f>M38*1.45</f>
        <v>705543.75499999989</v>
      </c>
      <c r="O38" s="289">
        <f>Q38*1.5</f>
        <v>1534557.6671249997</v>
      </c>
      <c r="P38" s="291">
        <f>O38*1.55</f>
        <v>2378564.3840437494</v>
      </c>
      <c r="Q38" s="292">
        <f>N38*1.45</f>
        <v>1023038.4447499998</v>
      </c>
    </row>
    <row r="39" spans="1:17" x14ac:dyDescent="0.3">
      <c r="A39" s="14">
        <v>2</v>
      </c>
      <c r="B39" s="220">
        <f>C39/1.3</f>
        <v>0.29585798816568043</v>
      </c>
      <c r="C39" s="227">
        <f>D39/1.3</f>
        <v>0.38461538461538458</v>
      </c>
      <c r="D39" s="237">
        <v>0.5</v>
      </c>
      <c r="E39" s="58">
        <f>D39*1.3</f>
        <v>0.65</v>
      </c>
      <c r="F39" s="58">
        <f>E39*1.3</f>
        <v>0.84500000000000008</v>
      </c>
      <c r="G39" s="58">
        <f>F39*1.3</f>
        <v>1.0985000000000003</v>
      </c>
      <c r="H39" s="146" t="s">
        <v>58</v>
      </c>
      <c r="I39" s="36" t="s">
        <v>14</v>
      </c>
      <c r="J39" s="37" t="s">
        <v>6</v>
      </c>
      <c r="K39" s="275">
        <f>K38/4000</f>
        <v>64.362685185185185</v>
      </c>
      <c r="L39" s="293">
        <f>L38/3000</f>
        <v>115.85283333333334</v>
      </c>
      <c r="M39" s="294">
        <f>M38/3000</f>
        <v>162.19396666666665</v>
      </c>
      <c r="N39" s="295">
        <f>N38/3000</f>
        <v>235.18125166666664</v>
      </c>
      <c r="O39" s="293">
        <f>O38/2000</f>
        <v>767.27883356249981</v>
      </c>
      <c r="P39" s="295">
        <f>P38/2000</f>
        <v>1189.2821920218746</v>
      </c>
      <c r="Q39" s="296">
        <f>Q38/3000</f>
        <v>341.01281491666657</v>
      </c>
    </row>
    <row r="40" spans="1:17" ht="15" thickBot="1" x14ac:dyDescent="0.35">
      <c r="A40" s="148">
        <v>2</v>
      </c>
      <c r="B40" s="188"/>
      <c r="C40" s="4"/>
      <c r="D40" s="188"/>
      <c r="E40" s="4"/>
      <c r="F40" s="4"/>
      <c r="G40" s="4"/>
      <c r="H40" s="146"/>
      <c r="I40" s="6"/>
      <c r="J40" s="6"/>
      <c r="K40" s="276"/>
      <c r="L40" s="188"/>
      <c r="M40" s="4"/>
      <c r="N40" s="189"/>
      <c r="O40" s="188"/>
      <c r="P40" s="189"/>
      <c r="Q40" s="189"/>
    </row>
    <row r="41" spans="1:17" ht="15" thickBot="1" x14ac:dyDescent="0.35">
      <c r="A41" s="18">
        <v>2</v>
      </c>
      <c r="B41" s="251">
        <f t="shared" ref="B41" si="38">C41/1.3</f>
        <v>29.585798816568044</v>
      </c>
      <c r="C41" s="252">
        <f t="shared" ref="C41" si="39">D41/1.3</f>
        <v>38.46153846153846</v>
      </c>
      <c r="D41" s="253">
        <v>50</v>
      </c>
      <c r="E41" s="254">
        <f t="shared" ref="E41" si="40">D41*1.3</f>
        <v>65</v>
      </c>
      <c r="F41" s="254">
        <f t="shared" ref="F41" si="41">E41*1.3</f>
        <v>84.5</v>
      </c>
      <c r="G41" s="254">
        <f t="shared" ref="G41" si="42">F41*1.3</f>
        <v>109.85000000000001</v>
      </c>
      <c r="H41" s="145" t="s">
        <v>12</v>
      </c>
      <c r="I41" s="36" t="s">
        <v>13</v>
      </c>
      <c r="J41" s="37" t="s">
        <v>6</v>
      </c>
      <c r="K41" s="277">
        <f>L41/1.35</f>
        <v>76281.851851851854</v>
      </c>
      <c r="L41" s="289">
        <f>205961/2</f>
        <v>102980.5</v>
      </c>
      <c r="M41" s="290">
        <f>L41*1.4</f>
        <v>144172.69999999998</v>
      </c>
      <c r="N41" s="291">
        <f>M41*1.45</f>
        <v>209050.41499999998</v>
      </c>
      <c r="O41" s="289">
        <f>Q41*1.5</f>
        <v>454684.65262499999</v>
      </c>
      <c r="P41" s="291">
        <f>O41*1.55</f>
        <v>704761.21156874998</v>
      </c>
      <c r="Q41" s="292">
        <f>N41*1.45</f>
        <v>303123.10174999997</v>
      </c>
    </row>
    <row r="42" spans="1:17" x14ac:dyDescent="0.3">
      <c r="A42" s="14">
        <v>2</v>
      </c>
      <c r="B42" s="220">
        <f>C42/1.3</f>
        <v>0.29585798816568043</v>
      </c>
      <c r="C42" s="227">
        <f>D42/1.3</f>
        <v>0.38461538461538458</v>
      </c>
      <c r="D42" s="237">
        <v>0.5</v>
      </c>
      <c r="E42" s="58">
        <f>D42*1.3</f>
        <v>0.65</v>
      </c>
      <c r="F42" s="58">
        <f>E42*1.3</f>
        <v>0.84500000000000008</v>
      </c>
      <c r="G42" s="58">
        <f>F42*1.3</f>
        <v>1.0985000000000003</v>
      </c>
      <c r="H42" s="146" t="s">
        <v>56</v>
      </c>
      <c r="I42" s="36" t="s">
        <v>14</v>
      </c>
      <c r="J42" s="37" t="s">
        <v>6</v>
      </c>
      <c r="K42" s="275">
        <f>K41/4000</f>
        <v>19.070462962962964</v>
      </c>
      <c r="L42" s="293">
        <f>L41/3000</f>
        <v>34.326833333333333</v>
      </c>
      <c r="M42" s="294">
        <f>M41/3000</f>
        <v>48.057566666666659</v>
      </c>
      <c r="N42" s="295">
        <f>N41/3000</f>
        <v>69.683471666666662</v>
      </c>
      <c r="O42" s="293">
        <f>O41/2000</f>
        <v>227.34232631250001</v>
      </c>
      <c r="P42" s="295">
        <f>P41/2000</f>
        <v>352.38060578437501</v>
      </c>
      <c r="Q42" s="296">
        <f>Q41/3000</f>
        <v>101.04103391666666</v>
      </c>
    </row>
    <row r="43" spans="1:17" ht="15" thickBot="1" x14ac:dyDescent="0.35">
      <c r="A43" s="148">
        <v>2</v>
      </c>
      <c r="B43" s="188"/>
      <c r="C43" s="4"/>
      <c r="D43" s="188"/>
      <c r="E43" s="4"/>
      <c r="F43" s="4"/>
      <c r="G43" s="4"/>
      <c r="H43" s="146"/>
      <c r="I43" s="6"/>
      <c r="J43" s="6"/>
      <c r="K43" s="276"/>
      <c r="L43" s="188"/>
      <c r="M43" s="4"/>
      <c r="N43" s="189"/>
      <c r="O43" s="188"/>
      <c r="P43" s="189"/>
      <c r="Q43" s="189"/>
    </row>
    <row r="44" spans="1:17" ht="15" thickBot="1" x14ac:dyDescent="0.35">
      <c r="A44" s="18">
        <v>2</v>
      </c>
      <c r="B44" s="251">
        <f t="shared" ref="B44" si="43">C44/1.3</f>
        <v>29.585798816568044</v>
      </c>
      <c r="C44" s="252">
        <f t="shared" ref="C44" si="44">D44/1.3</f>
        <v>38.46153846153846</v>
      </c>
      <c r="D44" s="253">
        <v>50</v>
      </c>
      <c r="E44" s="254">
        <f t="shared" ref="E44" si="45">D44*1.3</f>
        <v>65</v>
      </c>
      <c r="F44" s="254">
        <f t="shared" ref="F44" si="46">E44*1.3</f>
        <v>84.5</v>
      </c>
      <c r="G44" s="254">
        <f t="shared" ref="G44" si="47">F44*1.3</f>
        <v>109.85000000000001</v>
      </c>
      <c r="H44" s="145" t="s">
        <v>12</v>
      </c>
      <c r="I44" s="36" t="s">
        <v>13</v>
      </c>
      <c r="J44" s="37" t="s">
        <v>6</v>
      </c>
      <c r="K44" s="277">
        <f>L44/1.35</f>
        <v>381409.55555555556</v>
      </c>
      <c r="L44" s="289">
        <f>5149029/10</f>
        <v>514902.9</v>
      </c>
      <c r="M44" s="290">
        <f>L44*1.4</f>
        <v>720864.05999999994</v>
      </c>
      <c r="N44" s="291">
        <f>M44*1.45</f>
        <v>1045252.8869999999</v>
      </c>
      <c r="O44" s="289">
        <f>Q44*1.5</f>
        <v>2273425.0292249997</v>
      </c>
      <c r="P44" s="291">
        <f>O44*1.55</f>
        <v>3523808.7952987496</v>
      </c>
      <c r="Q44" s="292">
        <f>N44*1.45</f>
        <v>1515616.6861499997</v>
      </c>
    </row>
    <row r="45" spans="1:17" x14ac:dyDescent="0.3">
      <c r="A45" s="14">
        <v>2</v>
      </c>
      <c r="B45" s="220">
        <f>C45/1.3</f>
        <v>0.29585798816568043</v>
      </c>
      <c r="C45" s="227">
        <f>D45/1.3</f>
        <v>0.38461538461538458</v>
      </c>
      <c r="D45" s="237">
        <v>0.5</v>
      </c>
      <c r="E45" s="58">
        <f>D45*1.3</f>
        <v>0.65</v>
      </c>
      <c r="F45" s="58">
        <f>E45*1.3</f>
        <v>0.84500000000000008</v>
      </c>
      <c r="G45" s="58">
        <f>F45*1.3</f>
        <v>1.0985000000000003</v>
      </c>
      <c r="H45" s="146" t="s">
        <v>50</v>
      </c>
      <c r="I45" s="36" t="s">
        <v>14</v>
      </c>
      <c r="J45" s="37" t="s">
        <v>6</v>
      </c>
      <c r="K45" s="275">
        <f>K44/4000</f>
        <v>95.352388888888896</v>
      </c>
      <c r="L45" s="293">
        <f>L44/3000</f>
        <v>171.6343</v>
      </c>
      <c r="M45" s="294">
        <f>M44/3000</f>
        <v>240.28801999999999</v>
      </c>
      <c r="N45" s="295">
        <f>N44/3000</f>
        <v>348.41762899999998</v>
      </c>
      <c r="O45" s="293">
        <f>O44/2000</f>
        <v>1136.7125146124999</v>
      </c>
      <c r="P45" s="295">
        <f>P44/2000</f>
        <v>1761.9043976493747</v>
      </c>
      <c r="Q45" s="296">
        <f>Q44/3000</f>
        <v>505.20556204999991</v>
      </c>
    </row>
    <row r="46" spans="1:17" ht="15" thickBot="1" x14ac:dyDescent="0.35">
      <c r="A46" s="148">
        <v>2</v>
      </c>
      <c r="B46" s="188"/>
      <c r="C46" s="4"/>
      <c r="D46" s="188"/>
      <c r="E46" s="4"/>
      <c r="F46" s="4"/>
      <c r="G46" s="4"/>
      <c r="H46" s="146"/>
      <c r="I46" s="6"/>
      <c r="J46" s="6"/>
      <c r="K46" s="276"/>
      <c r="L46" s="188"/>
      <c r="M46" s="4"/>
      <c r="N46" s="189"/>
      <c r="O46" s="188"/>
      <c r="P46" s="189"/>
      <c r="Q46" s="189"/>
    </row>
    <row r="47" spans="1:17" ht="15" thickBot="1" x14ac:dyDescent="0.35">
      <c r="A47" s="18">
        <v>2</v>
      </c>
      <c r="B47" s="251">
        <f t="shared" ref="B47:C47" si="48">C47/1.3</f>
        <v>29.585798816568044</v>
      </c>
      <c r="C47" s="252">
        <f t="shared" si="48"/>
        <v>38.46153846153846</v>
      </c>
      <c r="D47" s="253">
        <v>50</v>
      </c>
      <c r="E47" s="254">
        <f t="shared" ref="E47:G47" si="49">D47*1.3</f>
        <v>65</v>
      </c>
      <c r="F47" s="254">
        <f t="shared" si="49"/>
        <v>84.5</v>
      </c>
      <c r="G47" s="254">
        <f t="shared" si="49"/>
        <v>109.85000000000001</v>
      </c>
      <c r="H47" s="145" t="s">
        <v>12</v>
      </c>
      <c r="I47" s="36" t="s">
        <v>13</v>
      </c>
      <c r="J47" s="37" t="s">
        <v>6</v>
      </c>
      <c r="K47" s="277">
        <f>L47/1.35</f>
        <v>635682.7160493827</v>
      </c>
      <c r="L47" s="289">
        <f>51490300/60</f>
        <v>858171.66666666663</v>
      </c>
      <c r="M47" s="290">
        <f>L47*1.4</f>
        <v>1201440.3333333333</v>
      </c>
      <c r="N47" s="291">
        <f>M47*1.45</f>
        <v>1742088.4833333332</v>
      </c>
      <c r="O47" s="289">
        <f>Q47*1.5</f>
        <v>3789042.451249999</v>
      </c>
      <c r="P47" s="291">
        <f>O47*1.55</f>
        <v>5873015.7994374987</v>
      </c>
      <c r="Q47" s="292">
        <f>N47*1.45</f>
        <v>2526028.3008333328</v>
      </c>
    </row>
    <row r="48" spans="1:17" x14ac:dyDescent="0.3">
      <c r="A48" s="14">
        <v>2</v>
      </c>
      <c r="B48" s="220">
        <f>C48/1.3</f>
        <v>0.29585798816568043</v>
      </c>
      <c r="C48" s="227">
        <f>D48/1.3</f>
        <v>0.38461538461538458</v>
      </c>
      <c r="D48" s="237">
        <v>0.5</v>
      </c>
      <c r="E48" s="58">
        <f>D48*1.3</f>
        <v>0.65</v>
      </c>
      <c r="F48" s="58">
        <f>E48*1.3</f>
        <v>0.84500000000000008</v>
      </c>
      <c r="G48" s="58">
        <f>F48*1.3</f>
        <v>1.0985000000000003</v>
      </c>
      <c r="H48" s="146" t="s">
        <v>51</v>
      </c>
      <c r="I48" s="36" t="s">
        <v>14</v>
      </c>
      <c r="J48" s="37" t="s">
        <v>6</v>
      </c>
      <c r="K48" s="275">
        <f>K47/4000</f>
        <v>158.92067901234569</v>
      </c>
      <c r="L48" s="293">
        <f>L47/3000</f>
        <v>286.05722222222221</v>
      </c>
      <c r="M48" s="294">
        <f>M47/3000</f>
        <v>400.48011111111106</v>
      </c>
      <c r="N48" s="295">
        <f>N47/3000</f>
        <v>580.69616111111111</v>
      </c>
      <c r="O48" s="293">
        <f>O47/2000</f>
        <v>1894.5212256249995</v>
      </c>
      <c r="P48" s="295">
        <f>P47/2000</f>
        <v>2936.5078997187493</v>
      </c>
      <c r="Q48" s="296">
        <f>Q47/3000</f>
        <v>842.00943361111092</v>
      </c>
    </row>
    <row r="49" spans="1:17" ht="15" thickBot="1" x14ac:dyDescent="0.35">
      <c r="A49" s="148">
        <v>2</v>
      </c>
      <c r="B49" s="188"/>
      <c r="C49" s="4"/>
      <c r="D49" s="188"/>
      <c r="E49" s="4"/>
      <c r="F49" s="4"/>
      <c r="G49" s="4"/>
      <c r="H49" s="146"/>
      <c r="I49" s="6"/>
      <c r="J49" s="6"/>
      <c r="K49" s="276"/>
      <c r="L49" s="188"/>
      <c r="M49" s="4"/>
      <c r="N49" s="189"/>
      <c r="O49" s="188"/>
      <c r="P49" s="189"/>
      <c r="Q49" s="189"/>
    </row>
    <row r="50" spans="1:17" ht="15" thickBot="1" x14ac:dyDescent="0.35">
      <c r="A50" s="18">
        <v>2</v>
      </c>
      <c r="B50" s="251">
        <f t="shared" ref="B50" si="50">C50/1.3</f>
        <v>29.585798816568044</v>
      </c>
      <c r="C50" s="252">
        <f t="shared" ref="C50" si="51">D50/1.3</f>
        <v>38.46153846153846</v>
      </c>
      <c r="D50" s="253">
        <v>50</v>
      </c>
      <c r="E50" s="254">
        <f t="shared" ref="E50" si="52">D50*1.3</f>
        <v>65</v>
      </c>
      <c r="F50" s="254">
        <f t="shared" ref="F50" si="53">E50*1.3</f>
        <v>84.5</v>
      </c>
      <c r="G50" s="254">
        <f t="shared" ref="G50" si="54">F50*1.3</f>
        <v>109.85000000000001</v>
      </c>
      <c r="H50" s="145" t="s">
        <v>12</v>
      </c>
      <c r="I50" s="36" t="s">
        <v>13</v>
      </c>
      <c r="J50" s="37" t="s">
        <v>6</v>
      </c>
      <c r="K50" s="277">
        <f>L50/1.35</f>
        <v>635682.7160493827</v>
      </c>
      <c r="L50" s="289">
        <f>51490300/60</f>
        <v>858171.66666666663</v>
      </c>
      <c r="M50" s="290">
        <f>L50*1.4</f>
        <v>1201440.3333333333</v>
      </c>
      <c r="N50" s="291">
        <f>M50*1.45</f>
        <v>1742088.4833333332</v>
      </c>
      <c r="O50" s="289">
        <f>Q50*1.5</f>
        <v>3789042.451249999</v>
      </c>
      <c r="P50" s="291">
        <f>O50*1.55</f>
        <v>5873015.7994374987</v>
      </c>
      <c r="Q50" s="292">
        <f>N50*1.45</f>
        <v>2526028.3008333328</v>
      </c>
    </row>
    <row r="51" spans="1:17" x14ac:dyDescent="0.3">
      <c r="A51" s="14">
        <v>2</v>
      </c>
      <c r="B51" s="220">
        <f>C51/1.3</f>
        <v>0.29585798816568043</v>
      </c>
      <c r="C51" s="227">
        <f>D51/1.3</f>
        <v>0.38461538461538458</v>
      </c>
      <c r="D51" s="237">
        <v>0.5</v>
      </c>
      <c r="E51" s="58">
        <f>D51*1.3</f>
        <v>0.65</v>
      </c>
      <c r="F51" s="58">
        <f>E51*1.3</f>
        <v>0.84500000000000008</v>
      </c>
      <c r="G51" s="58">
        <f>F51*1.3</f>
        <v>1.0985000000000003</v>
      </c>
      <c r="H51" s="146" t="s">
        <v>57</v>
      </c>
      <c r="I51" s="36" t="s">
        <v>14</v>
      </c>
      <c r="J51" s="37" t="s">
        <v>6</v>
      </c>
      <c r="K51" s="275">
        <f>K50/4000</f>
        <v>158.92067901234569</v>
      </c>
      <c r="L51" s="293">
        <f>L50/3000</f>
        <v>286.05722222222221</v>
      </c>
      <c r="M51" s="294">
        <f>M50/3000</f>
        <v>400.48011111111106</v>
      </c>
      <c r="N51" s="295">
        <f>N50/3000</f>
        <v>580.69616111111111</v>
      </c>
      <c r="O51" s="293">
        <f>O50/2000</f>
        <v>1894.5212256249995</v>
      </c>
      <c r="P51" s="295">
        <f>P50/2000</f>
        <v>2936.5078997187493</v>
      </c>
      <c r="Q51" s="296">
        <f>Q50/3000</f>
        <v>842.00943361111092</v>
      </c>
    </row>
    <row r="52" spans="1:17" ht="15" thickBot="1" x14ac:dyDescent="0.35">
      <c r="A52" s="14">
        <v>2</v>
      </c>
      <c r="B52" s="188"/>
      <c r="C52" s="5"/>
      <c r="D52" s="188"/>
      <c r="E52" s="4"/>
      <c r="F52" s="4"/>
      <c r="G52" s="4"/>
      <c r="H52" s="29"/>
      <c r="I52" s="21"/>
      <c r="J52" s="6"/>
      <c r="K52" s="276"/>
      <c r="L52" s="188"/>
      <c r="M52" s="4"/>
      <c r="N52" s="189"/>
      <c r="O52" s="188"/>
      <c r="P52" s="189"/>
      <c r="Q52" s="189"/>
    </row>
    <row r="53" spans="1:17" ht="15" thickBot="1" x14ac:dyDescent="0.35">
      <c r="A53" s="14">
        <v>2</v>
      </c>
      <c r="B53" s="160">
        <f t="shared" ref="B53" si="55">C53/1.3</f>
        <v>0.11379153390987709</v>
      </c>
      <c r="C53" s="129">
        <f>D53/1.3</f>
        <v>0.14792899408284022</v>
      </c>
      <c r="D53" s="246">
        <f>E53/1.3</f>
        <v>0.19230769230769229</v>
      </c>
      <c r="E53" s="131">
        <v>0.25</v>
      </c>
      <c r="F53" s="77">
        <f t="shared" ref="F53" si="56">E53*1.3</f>
        <v>0.32500000000000001</v>
      </c>
      <c r="G53" s="77">
        <f>F53*1.3</f>
        <v>0.42250000000000004</v>
      </c>
      <c r="H53" s="307" t="s">
        <v>27</v>
      </c>
      <c r="I53" s="60" t="s">
        <v>15</v>
      </c>
      <c r="J53" s="138" t="s">
        <v>16</v>
      </c>
      <c r="K53" s="278">
        <f>G53*1.3</f>
        <v>0.54925000000000013</v>
      </c>
      <c r="L53" s="160">
        <f>K53*1.35</f>
        <v>0.74148750000000019</v>
      </c>
      <c r="M53" s="77">
        <f>L53*1.4</f>
        <v>1.0380825000000002</v>
      </c>
      <c r="N53" s="78">
        <f>M53*1.45</f>
        <v>1.5052196250000003</v>
      </c>
      <c r="O53" s="160">
        <f>Q53*1.5</f>
        <v>3.2738526843750004</v>
      </c>
      <c r="P53" s="78">
        <f>O53*1.55</f>
        <v>5.074471660781251</v>
      </c>
      <c r="Q53" s="78">
        <f>N53*1.45</f>
        <v>2.1825684562500003</v>
      </c>
    </row>
    <row r="54" spans="1:17" ht="15" thickBot="1" x14ac:dyDescent="0.35">
      <c r="A54" s="14">
        <v>2</v>
      </c>
      <c r="B54" s="195">
        <v>-5</v>
      </c>
      <c r="C54" s="157">
        <v>-2</v>
      </c>
      <c r="D54" s="247">
        <v>0</v>
      </c>
      <c r="E54" s="158">
        <v>5</v>
      </c>
      <c r="F54" s="156">
        <f>E54*2</f>
        <v>10</v>
      </c>
      <c r="G54" s="156">
        <f>E54*3</f>
        <v>15</v>
      </c>
      <c r="H54" s="75" t="s">
        <v>52</v>
      </c>
      <c r="I54" s="40" t="s">
        <v>17</v>
      </c>
      <c r="J54" s="37" t="s">
        <v>18</v>
      </c>
      <c r="K54" s="207">
        <f>E54*4</f>
        <v>20</v>
      </c>
      <c r="L54" s="195">
        <f>E54*5</f>
        <v>25</v>
      </c>
      <c r="M54" s="156">
        <f>E54*6</f>
        <v>30</v>
      </c>
      <c r="N54" s="159">
        <f>E54*7</f>
        <v>35</v>
      </c>
      <c r="O54" s="207">
        <f>E54*9</f>
        <v>45</v>
      </c>
      <c r="P54" s="159">
        <f>E54*10</f>
        <v>50</v>
      </c>
      <c r="Q54" s="159">
        <f>E54*8</f>
        <v>40</v>
      </c>
    </row>
    <row r="55" spans="1:17" ht="15" thickBot="1" x14ac:dyDescent="0.35">
      <c r="A55" s="20"/>
      <c r="B55" s="222">
        <v>-5</v>
      </c>
      <c r="C55" s="130">
        <v>-2</v>
      </c>
      <c r="D55" s="248">
        <v>0</v>
      </c>
      <c r="E55" s="132">
        <f>E54*H55</f>
        <v>0</v>
      </c>
      <c r="F55" s="70">
        <f>E55*2</f>
        <v>0</v>
      </c>
      <c r="G55" s="70">
        <f>E55*3</f>
        <v>0</v>
      </c>
      <c r="H55" s="75">
        <v>0</v>
      </c>
      <c r="I55" s="71" t="s">
        <v>17</v>
      </c>
      <c r="J55" s="214" t="s">
        <v>53</v>
      </c>
      <c r="K55" s="279">
        <f>E55*4</f>
        <v>0</v>
      </c>
      <c r="L55" s="196">
        <f>E55*5</f>
        <v>0</v>
      </c>
      <c r="M55" s="70">
        <f>E55*6</f>
        <v>0</v>
      </c>
      <c r="N55" s="72">
        <f>E55*7</f>
        <v>0</v>
      </c>
      <c r="O55" s="207">
        <f>E55*9</f>
        <v>0</v>
      </c>
      <c r="P55" s="159">
        <f>E55*10</f>
        <v>0</v>
      </c>
      <c r="Q55" s="72">
        <f>E55*8</f>
        <v>0</v>
      </c>
    </row>
    <row r="56" spans="1:17" ht="15" thickBot="1" x14ac:dyDescent="0.35">
      <c r="A56" s="20"/>
      <c r="B56" s="223">
        <v>-5</v>
      </c>
      <c r="C56" s="133">
        <v>-2</v>
      </c>
      <c r="D56" s="249">
        <v>0</v>
      </c>
      <c r="E56" s="134">
        <f>E54*H56</f>
        <v>0</v>
      </c>
      <c r="F56" s="135">
        <f>E56*2</f>
        <v>0</v>
      </c>
      <c r="G56" s="135">
        <f>E56*3</f>
        <v>0</v>
      </c>
      <c r="H56" s="75">
        <v>0</v>
      </c>
      <c r="I56" s="71" t="s">
        <v>17</v>
      </c>
      <c r="J56" s="216" t="s">
        <v>54</v>
      </c>
      <c r="K56" s="208">
        <f>E56*4</f>
        <v>0</v>
      </c>
      <c r="L56" s="197">
        <f>E56*5</f>
        <v>0</v>
      </c>
      <c r="M56" s="135">
        <f>E56*6</f>
        <v>0</v>
      </c>
      <c r="N56" s="136">
        <f>E56*7</f>
        <v>0</v>
      </c>
      <c r="O56" s="208">
        <f>E56*9</f>
        <v>0</v>
      </c>
      <c r="P56" s="136">
        <f>E56*10</f>
        <v>0</v>
      </c>
      <c r="Q56" s="136">
        <f>E56*8</f>
        <v>0</v>
      </c>
    </row>
    <row r="57" spans="1:17" ht="15" thickBot="1" x14ac:dyDescent="0.35">
      <c r="A57" s="20"/>
      <c r="B57" s="308">
        <v>-5</v>
      </c>
      <c r="C57" s="309">
        <v>-2</v>
      </c>
      <c r="D57" s="310">
        <v>0</v>
      </c>
      <c r="E57" s="311">
        <f>E54*H57</f>
        <v>0</v>
      </c>
      <c r="F57" s="312">
        <f>E57*2</f>
        <v>0</v>
      </c>
      <c r="G57" s="312">
        <f>E57*3</f>
        <v>0</v>
      </c>
      <c r="H57" s="313">
        <v>0</v>
      </c>
      <c r="I57" s="73" t="s">
        <v>17</v>
      </c>
      <c r="J57" s="215" t="s">
        <v>55</v>
      </c>
      <c r="K57" s="280">
        <f>E57*4</f>
        <v>0</v>
      </c>
      <c r="L57" s="314">
        <f>E57*5</f>
        <v>0</v>
      </c>
      <c r="M57" s="312">
        <f>E57*6</f>
        <v>0</v>
      </c>
      <c r="N57" s="315">
        <f>E57*7</f>
        <v>0</v>
      </c>
      <c r="O57" s="280">
        <f>E57*9</f>
        <v>0</v>
      </c>
      <c r="P57" s="315">
        <f>E57*10</f>
        <v>0</v>
      </c>
      <c r="Q57" s="315">
        <f>E57*8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1CE1-4508-43D6-B0CB-0002D4295C6D}">
  <dimension ref="A1:Q52"/>
  <sheetViews>
    <sheetView topLeftCell="F7" zoomScale="85" zoomScaleNormal="85" workbookViewId="0">
      <selection activeCell="Q33" sqref="Q33"/>
    </sheetView>
  </sheetViews>
  <sheetFormatPr defaultRowHeight="14.4" x14ac:dyDescent="0.3"/>
  <cols>
    <col min="8" max="8" width="14.109375" bestFit="1" customWidth="1"/>
    <col min="9" max="9" width="11.5546875" bestFit="1" customWidth="1"/>
    <col min="15" max="15" width="10.44140625" bestFit="1" customWidth="1"/>
  </cols>
  <sheetData>
    <row r="1" spans="1:17" ht="15" thickBot="1" x14ac:dyDescent="0.35">
      <c r="A1" s="15"/>
      <c r="B1" s="66"/>
      <c r="C1" s="22"/>
      <c r="D1" s="2"/>
      <c r="E1" s="25"/>
      <c r="F1" s="3"/>
      <c r="G1" s="2"/>
      <c r="H1" s="2"/>
      <c r="I1" s="2"/>
      <c r="J1" s="2"/>
      <c r="K1" s="2"/>
      <c r="L1" s="25"/>
      <c r="M1" s="2"/>
      <c r="N1" s="2"/>
      <c r="O1" s="2"/>
      <c r="P1" s="2"/>
      <c r="Q1" s="2"/>
    </row>
    <row r="2" spans="1:17" x14ac:dyDescent="0.3">
      <c r="A2" s="14"/>
      <c r="B2" s="171" t="s">
        <v>3</v>
      </c>
      <c r="C2" s="219" t="s">
        <v>2</v>
      </c>
      <c r="D2" s="171">
        <v>1</v>
      </c>
      <c r="E2" s="219">
        <v>2</v>
      </c>
      <c r="F2" s="219">
        <v>3</v>
      </c>
      <c r="G2" s="219">
        <v>4</v>
      </c>
      <c r="H2" s="67"/>
      <c r="I2" s="24" t="s">
        <v>0</v>
      </c>
      <c r="J2" s="143"/>
      <c r="K2" s="263">
        <v>5</v>
      </c>
      <c r="L2" s="171">
        <v>6</v>
      </c>
      <c r="M2" s="172">
        <v>7</v>
      </c>
      <c r="N2" s="173">
        <v>8</v>
      </c>
      <c r="O2" s="263" t="s">
        <v>49</v>
      </c>
      <c r="P2" s="171">
        <v>9</v>
      </c>
      <c r="Q2" s="173">
        <v>10</v>
      </c>
    </row>
    <row r="3" spans="1:17" ht="15" thickBot="1" x14ac:dyDescent="0.35">
      <c r="A3" s="14"/>
      <c r="B3" s="174"/>
      <c r="C3" s="88"/>
      <c r="D3" s="230"/>
      <c r="E3" s="88"/>
      <c r="F3" s="88"/>
      <c r="G3" s="88"/>
      <c r="H3" s="63" t="s">
        <v>1</v>
      </c>
      <c r="I3" s="23" t="s">
        <v>4</v>
      </c>
      <c r="J3" s="213" t="s">
        <v>5</v>
      </c>
      <c r="K3" s="264"/>
      <c r="L3" s="174"/>
      <c r="M3" s="90"/>
      <c r="N3" s="175"/>
      <c r="O3" s="264"/>
      <c r="P3" s="174"/>
      <c r="Q3" s="175"/>
    </row>
    <row r="4" spans="1:17" x14ac:dyDescent="0.3">
      <c r="A4" s="143">
        <v>1</v>
      </c>
      <c r="B4" s="82">
        <f t="shared" ref="B4:C6" si="0">C4/1.3</f>
        <v>-8.8757396449704142</v>
      </c>
      <c r="C4" s="98">
        <f t="shared" si="0"/>
        <v>-11.538461538461538</v>
      </c>
      <c r="D4" s="231">
        <v>-15</v>
      </c>
      <c r="E4" s="83">
        <f t="shared" ref="E4:G6" si="1">D4*1.3</f>
        <v>-19.5</v>
      </c>
      <c r="F4" s="83">
        <f t="shared" si="1"/>
        <v>-25.35</v>
      </c>
      <c r="G4" s="83">
        <f t="shared" si="1"/>
        <v>-32.955000000000005</v>
      </c>
      <c r="H4" s="64" t="s">
        <v>36</v>
      </c>
      <c r="I4" s="36" t="s">
        <v>35</v>
      </c>
      <c r="J4" s="37" t="s">
        <v>6</v>
      </c>
      <c r="K4" s="265">
        <f>G4*1.3</f>
        <v>-42.841500000000011</v>
      </c>
      <c r="L4" s="82">
        <f>K4*1.35</f>
        <v>-57.836025000000021</v>
      </c>
      <c r="M4" s="83">
        <f>L4*1.4</f>
        <v>-80.970435000000023</v>
      </c>
      <c r="N4" s="84">
        <f t="shared" ref="N4:N6" si="2">M4*1.45</f>
        <v>-117.40713075000004</v>
      </c>
      <c r="O4" s="265">
        <f>N4*1.45</f>
        <v>-170.24033958750005</v>
      </c>
      <c r="P4" s="82">
        <f>O4*1.5</f>
        <v>-255.36050938125007</v>
      </c>
      <c r="Q4" s="84">
        <f>P4*1.55</f>
        <v>-395.8087895409376</v>
      </c>
    </row>
    <row r="5" spans="1:17" x14ac:dyDescent="0.3">
      <c r="A5" s="149">
        <v>1</v>
      </c>
      <c r="B5" s="176">
        <f t="shared" si="0"/>
        <v>-17.751479289940828</v>
      </c>
      <c r="C5" s="161">
        <f t="shared" si="0"/>
        <v>-23.076923076923077</v>
      </c>
      <c r="D5" s="232">
        <f>D4*2</f>
        <v>-30</v>
      </c>
      <c r="E5" s="30">
        <f t="shared" si="1"/>
        <v>-39</v>
      </c>
      <c r="F5" s="30">
        <f t="shared" si="1"/>
        <v>-50.7</v>
      </c>
      <c r="G5" s="30">
        <f t="shared" si="1"/>
        <v>-65.910000000000011</v>
      </c>
      <c r="H5" s="68"/>
      <c r="I5" s="38" t="s">
        <v>35</v>
      </c>
      <c r="J5" s="214" t="s">
        <v>7</v>
      </c>
      <c r="K5" s="266">
        <f>G5*1.3</f>
        <v>-85.683000000000021</v>
      </c>
      <c r="L5" s="176">
        <f>K5*1.35</f>
        <v>-115.67205000000004</v>
      </c>
      <c r="M5" s="30">
        <f>L5*1.4</f>
        <v>-161.94087000000005</v>
      </c>
      <c r="N5" s="85">
        <f t="shared" si="2"/>
        <v>-234.81426150000007</v>
      </c>
      <c r="O5" s="266">
        <f>N5*1.45</f>
        <v>-340.48067917500009</v>
      </c>
      <c r="P5" s="176">
        <f>O5*1.5</f>
        <v>-510.72101876250014</v>
      </c>
      <c r="Q5" s="85">
        <f>P5*1.55</f>
        <v>-791.61757908187519</v>
      </c>
    </row>
    <row r="6" spans="1:17" ht="15" thickBot="1" x14ac:dyDescent="0.35">
      <c r="A6" s="17">
        <v>1</v>
      </c>
      <c r="B6" s="177">
        <f t="shared" si="0"/>
        <v>-35.502958579881657</v>
      </c>
      <c r="C6" s="162">
        <f t="shared" si="0"/>
        <v>-46.153846153846153</v>
      </c>
      <c r="D6" s="233">
        <f>D4*4</f>
        <v>-60</v>
      </c>
      <c r="E6" s="86">
        <f t="shared" si="1"/>
        <v>-78</v>
      </c>
      <c r="F6" s="86">
        <f t="shared" si="1"/>
        <v>-101.4</v>
      </c>
      <c r="G6" s="86">
        <f t="shared" si="1"/>
        <v>-131.82000000000002</v>
      </c>
      <c r="H6" s="144"/>
      <c r="I6" s="39" t="s">
        <v>35</v>
      </c>
      <c r="J6" s="215" t="s">
        <v>8</v>
      </c>
      <c r="K6" s="267">
        <f>G6*1.3</f>
        <v>-171.36600000000004</v>
      </c>
      <c r="L6" s="177">
        <f>K6*1.35</f>
        <v>-231.34410000000008</v>
      </c>
      <c r="M6" s="86">
        <f>L6*1.4</f>
        <v>-323.88174000000009</v>
      </c>
      <c r="N6" s="87">
        <f t="shared" si="2"/>
        <v>-469.62852300000014</v>
      </c>
      <c r="O6" s="267">
        <f>N6*1.45</f>
        <v>-680.96135835000018</v>
      </c>
      <c r="P6" s="177">
        <f>O6*1.5</f>
        <v>-1021.4420375250003</v>
      </c>
      <c r="Q6" s="87">
        <f>P6*1.55</f>
        <v>-1583.2351581637504</v>
      </c>
    </row>
    <row r="7" spans="1:17" ht="15" thickBot="1" x14ac:dyDescent="0.35">
      <c r="A7" s="17">
        <v>1</v>
      </c>
      <c r="B7" s="186"/>
      <c r="C7" s="155"/>
      <c r="D7" s="186"/>
      <c r="E7" s="155"/>
      <c r="F7" s="155"/>
      <c r="G7" s="155"/>
      <c r="H7" s="12"/>
      <c r="I7" s="12"/>
      <c r="J7" s="12"/>
      <c r="K7" s="274"/>
      <c r="L7" s="186"/>
      <c r="M7" s="155"/>
      <c r="N7" s="187"/>
      <c r="O7" s="274"/>
      <c r="P7" s="186"/>
      <c r="Q7" s="187"/>
    </row>
    <row r="8" spans="1:17" ht="15" thickBot="1" x14ac:dyDescent="0.35">
      <c r="A8" s="17">
        <v>1</v>
      </c>
      <c r="B8" s="251">
        <f t="shared" ref="B8:C9" si="3">C8/1.3</f>
        <v>29.585798816568044</v>
      </c>
      <c r="C8" s="252">
        <f t="shared" si="3"/>
        <v>38.46153846153846</v>
      </c>
      <c r="D8" s="253">
        <v>50</v>
      </c>
      <c r="E8" s="254">
        <f t="shared" ref="E8:G8" si="4">D8*1.3</f>
        <v>65</v>
      </c>
      <c r="F8" s="254">
        <f t="shared" si="4"/>
        <v>84.5</v>
      </c>
      <c r="G8" s="254">
        <f t="shared" si="4"/>
        <v>109.85000000000001</v>
      </c>
      <c r="H8" s="145" t="s">
        <v>10</v>
      </c>
      <c r="I8" s="36" t="s">
        <v>9</v>
      </c>
      <c r="J8" s="37" t="s">
        <v>6</v>
      </c>
      <c r="K8" s="333">
        <f>L8/1.35</f>
        <v>205960.59259259258</v>
      </c>
      <c r="L8" s="334">
        <f>3475585/10*0.8</f>
        <v>278046.8</v>
      </c>
      <c r="M8" s="335">
        <f>L8*1.4</f>
        <v>389265.51999999996</v>
      </c>
      <c r="N8" s="336">
        <f>M8*1.45</f>
        <v>564435.00399999996</v>
      </c>
      <c r="O8" s="281">
        <f>N8*1.45</f>
        <v>818430.75579999993</v>
      </c>
      <c r="P8" s="282">
        <f>O8*1.5</f>
        <v>1227646.1336999999</v>
      </c>
      <c r="Q8" s="284">
        <f>P8*1.55</f>
        <v>1902851.5072349999</v>
      </c>
    </row>
    <row r="9" spans="1:17" x14ac:dyDescent="0.3">
      <c r="A9" s="17">
        <v>1</v>
      </c>
      <c r="B9" s="220">
        <f t="shared" si="3"/>
        <v>2.9585798816568049E-2</v>
      </c>
      <c r="C9" s="227">
        <f>D9/1.3</f>
        <v>3.8461538461538464E-2</v>
      </c>
      <c r="D9" s="237">
        <v>0.05</v>
      </c>
      <c r="E9" s="58">
        <f>D9*1.3</f>
        <v>6.5000000000000002E-2</v>
      </c>
      <c r="F9" s="58">
        <f>E9*1.3</f>
        <v>8.4500000000000006E-2</v>
      </c>
      <c r="G9" s="58">
        <f>F9*1.3</f>
        <v>0.10985000000000002</v>
      </c>
      <c r="H9" s="146" t="s">
        <v>58</v>
      </c>
      <c r="I9" s="36" t="s">
        <v>11</v>
      </c>
      <c r="J9" s="37" t="s">
        <v>6</v>
      </c>
      <c r="K9" s="329">
        <f>K8/6650</f>
        <v>30.971517683096629</v>
      </c>
      <c r="L9" s="330">
        <f>L8/5000</f>
        <v>55.609359999999995</v>
      </c>
      <c r="M9" s="331">
        <f>M8/5000</f>
        <v>77.853103999999988</v>
      </c>
      <c r="N9" s="332">
        <f>N8/5000</f>
        <v>112.8870008</v>
      </c>
      <c r="O9" s="285">
        <f>O8/5000</f>
        <v>163.68615115999998</v>
      </c>
      <c r="P9" s="286">
        <f>P8/3350</f>
        <v>366.46153244776116</v>
      </c>
      <c r="Q9" s="288">
        <f>Q8/3350</f>
        <v>568.01537529402981</v>
      </c>
    </row>
    <row r="10" spans="1:17" ht="15" thickBot="1" x14ac:dyDescent="0.35">
      <c r="A10" s="17">
        <v>1</v>
      </c>
      <c r="B10" s="186"/>
      <c r="C10" s="155"/>
      <c r="D10" s="186"/>
      <c r="E10" s="155"/>
      <c r="F10" s="155"/>
      <c r="G10" s="155"/>
      <c r="H10" s="12"/>
      <c r="I10" s="12"/>
      <c r="J10" s="12"/>
      <c r="K10" s="274"/>
      <c r="L10" s="186"/>
      <c r="M10" s="155"/>
      <c r="N10" s="187"/>
      <c r="O10" s="274"/>
      <c r="P10" s="186"/>
      <c r="Q10" s="187"/>
    </row>
    <row r="11" spans="1:17" ht="15" thickBot="1" x14ac:dyDescent="0.35">
      <c r="A11" s="17">
        <v>1</v>
      </c>
      <c r="B11" s="251">
        <f t="shared" ref="B11:C12" si="5">C11/1.3</f>
        <v>29.585798816568044</v>
      </c>
      <c r="C11" s="252">
        <f t="shared" si="5"/>
        <v>38.46153846153846</v>
      </c>
      <c r="D11" s="253">
        <v>50</v>
      </c>
      <c r="E11" s="254">
        <f t="shared" ref="E11:G11" si="6">D11*1.3</f>
        <v>65</v>
      </c>
      <c r="F11" s="254">
        <f t="shared" si="6"/>
        <v>84.5</v>
      </c>
      <c r="G11" s="254">
        <f t="shared" si="6"/>
        <v>109.85000000000001</v>
      </c>
      <c r="H11" s="145" t="s">
        <v>10</v>
      </c>
      <c r="I11" s="36" t="s">
        <v>9</v>
      </c>
      <c r="J11" s="37" t="s">
        <v>6</v>
      </c>
      <c r="K11" s="281">
        <f>L11/1.35</f>
        <v>61025.481481481482</v>
      </c>
      <c r="L11" s="282">
        <f>205961/2*0.8</f>
        <v>82384.400000000009</v>
      </c>
      <c r="M11" s="283">
        <f>L11*1.4</f>
        <v>115338.16</v>
      </c>
      <c r="N11" s="284">
        <f>M11*1.45</f>
        <v>167240.33199999999</v>
      </c>
      <c r="O11" s="281">
        <f>N11*1.45</f>
        <v>242498.48139999999</v>
      </c>
      <c r="P11" s="282">
        <f>O11*1.5</f>
        <v>363747.72210000001</v>
      </c>
      <c r="Q11" s="284">
        <f>P11*1.55</f>
        <v>563808.969255</v>
      </c>
    </row>
    <row r="12" spans="1:17" x14ac:dyDescent="0.3">
      <c r="A12" s="17">
        <v>1</v>
      </c>
      <c r="B12" s="220">
        <f t="shared" si="5"/>
        <v>2.9585798816568049E-2</v>
      </c>
      <c r="C12" s="227">
        <f>D12/1.3</f>
        <v>3.8461538461538464E-2</v>
      </c>
      <c r="D12" s="237">
        <v>0.05</v>
      </c>
      <c r="E12" s="58">
        <f>D12*1.3</f>
        <v>6.5000000000000002E-2</v>
      </c>
      <c r="F12" s="58">
        <f>E12*1.3</f>
        <v>8.4500000000000006E-2</v>
      </c>
      <c r="G12" s="58">
        <f>F12*1.3</f>
        <v>0.10985000000000002</v>
      </c>
      <c r="H12" s="146" t="s">
        <v>56</v>
      </c>
      <c r="I12" s="36" t="s">
        <v>11</v>
      </c>
      <c r="J12" s="37" t="s">
        <v>6</v>
      </c>
      <c r="K12" s="329">
        <f>K11/6650</f>
        <v>9.1767641325536058</v>
      </c>
      <c r="L12" s="330">
        <f>L11/5000</f>
        <v>16.476880000000001</v>
      </c>
      <c r="M12" s="331">
        <f>M11/5000</f>
        <v>23.067632</v>
      </c>
      <c r="N12" s="332">
        <f>N11/5000</f>
        <v>33.448066400000002</v>
      </c>
      <c r="O12" s="285">
        <f>O11/5000</f>
        <v>48.499696279999995</v>
      </c>
      <c r="P12" s="286">
        <f>P11/3350</f>
        <v>108.58140958208956</v>
      </c>
      <c r="Q12" s="288">
        <f>Q11/3350</f>
        <v>168.3011848522388</v>
      </c>
    </row>
    <row r="13" spans="1:17" ht="15" thickBot="1" x14ac:dyDescent="0.35">
      <c r="A13" s="17">
        <v>1</v>
      </c>
      <c r="B13" s="186"/>
      <c r="C13" s="155"/>
      <c r="D13" s="186"/>
      <c r="E13" s="155"/>
      <c r="F13" s="155"/>
      <c r="G13" s="155"/>
      <c r="H13" s="12"/>
      <c r="I13" s="12"/>
      <c r="J13" s="12"/>
      <c r="K13" s="274"/>
      <c r="L13" s="186"/>
      <c r="M13" s="155"/>
      <c r="N13" s="187"/>
      <c r="O13" s="274"/>
      <c r="P13" s="186"/>
      <c r="Q13" s="187"/>
    </row>
    <row r="14" spans="1:17" ht="15" thickBot="1" x14ac:dyDescent="0.35">
      <c r="A14" s="17">
        <v>1</v>
      </c>
      <c r="B14" s="251">
        <f t="shared" ref="B14:C15" si="7">C14/1.3</f>
        <v>29.585798816568044</v>
      </c>
      <c r="C14" s="252">
        <f t="shared" si="7"/>
        <v>38.46153846153846</v>
      </c>
      <c r="D14" s="253">
        <v>50</v>
      </c>
      <c r="E14" s="254">
        <f t="shared" ref="E14:G14" si="8">D14*1.3</f>
        <v>65</v>
      </c>
      <c r="F14" s="254">
        <f t="shared" si="8"/>
        <v>84.5</v>
      </c>
      <c r="G14" s="254">
        <f t="shared" si="8"/>
        <v>109.85000000000001</v>
      </c>
      <c r="H14" s="145" t="s">
        <v>10</v>
      </c>
      <c r="I14" s="36" t="s">
        <v>9</v>
      </c>
      <c r="J14" s="37" t="s">
        <v>6</v>
      </c>
      <c r="K14" s="281">
        <f>L14/1.35</f>
        <v>305127.64444444445</v>
      </c>
      <c r="L14" s="282">
        <f>5149029/10*0.8</f>
        <v>411922.32000000007</v>
      </c>
      <c r="M14" s="283">
        <f>L14*1.4</f>
        <v>576691.24800000002</v>
      </c>
      <c r="N14" s="284">
        <f>M14*1.45</f>
        <v>836202.30960000004</v>
      </c>
      <c r="O14" s="281">
        <f>N14*1.45</f>
        <v>1212493.34892</v>
      </c>
      <c r="P14" s="282">
        <f>O14*1.5</f>
        <v>1818740.0233800001</v>
      </c>
      <c r="Q14" s="284">
        <f>P14*1.55</f>
        <v>2819047.0362390005</v>
      </c>
    </row>
    <row r="15" spans="1:17" x14ac:dyDescent="0.3">
      <c r="A15" s="17">
        <v>1</v>
      </c>
      <c r="B15" s="220">
        <f t="shared" si="7"/>
        <v>2.9585798816568049E-2</v>
      </c>
      <c r="C15" s="227">
        <f>D15/1.3</f>
        <v>3.8461538461538464E-2</v>
      </c>
      <c r="D15" s="237">
        <v>0.05</v>
      </c>
      <c r="E15" s="58">
        <f>D15*1.3</f>
        <v>6.5000000000000002E-2</v>
      </c>
      <c r="F15" s="58">
        <f>E15*1.3</f>
        <v>8.4500000000000006E-2</v>
      </c>
      <c r="G15" s="58">
        <f>F15*1.3</f>
        <v>0.10985000000000002</v>
      </c>
      <c r="H15" s="146" t="s">
        <v>50</v>
      </c>
      <c r="I15" s="36" t="s">
        <v>11</v>
      </c>
      <c r="J15" s="37" t="s">
        <v>6</v>
      </c>
      <c r="K15" s="329">
        <f>K14/6650</f>
        <v>45.883856307435252</v>
      </c>
      <c r="L15" s="330">
        <f>L14/5000</f>
        <v>82.384464000000008</v>
      </c>
      <c r="M15" s="331">
        <f>M14/5000</f>
        <v>115.3382496</v>
      </c>
      <c r="N15" s="332">
        <f>N14/5000</f>
        <v>167.24046192</v>
      </c>
      <c r="O15" s="285">
        <f>O14/5000</f>
        <v>242.49866978400001</v>
      </c>
      <c r="P15" s="286">
        <f>P14/3350</f>
        <v>542.90746966567167</v>
      </c>
      <c r="Q15" s="288">
        <f>Q14/3350</f>
        <v>841.50657798179122</v>
      </c>
    </row>
    <row r="16" spans="1:17" ht="15" thickBot="1" x14ac:dyDescent="0.35">
      <c r="A16" s="17">
        <v>1</v>
      </c>
      <c r="B16" s="186"/>
      <c r="C16" s="155"/>
      <c r="D16" s="186"/>
      <c r="E16" s="155"/>
      <c r="F16" s="155"/>
      <c r="G16" s="155"/>
      <c r="H16" s="12"/>
      <c r="I16" s="12"/>
      <c r="J16" s="12"/>
      <c r="K16" s="274"/>
      <c r="L16" s="186"/>
      <c r="M16" s="155"/>
      <c r="N16" s="187"/>
      <c r="O16" s="274"/>
      <c r="P16" s="186"/>
      <c r="Q16" s="187"/>
    </row>
    <row r="17" spans="1:17" ht="15" thickBot="1" x14ac:dyDescent="0.35">
      <c r="A17" s="17">
        <v>1</v>
      </c>
      <c r="B17" s="251">
        <f t="shared" ref="B17:C18" si="9">C17/1.3</f>
        <v>29.585798816568044</v>
      </c>
      <c r="C17" s="252">
        <f t="shared" si="9"/>
        <v>38.46153846153846</v>
      </c>
      <c r="D17" s="253">
        <v>50</v>
      </c>
      <c r="E17" s="254">
        <f t="shared" ref="E17:G17" si="10">D17*1.3</f>
        <v>65</v>
      </c>
      <c r="F17" s="254">
        <f t="shared" si="10"/>
        <v>84.5</v>
      </c>
      <c r="G17" s="254">
        <f t="shared" si="10"/>
        <v>109.85000000000001</v>
      </c>
      <c r="H17" s="145" t="s">
        <v>10</v>
      </c>
      <c r="I17" s="36" t="s">
        <v>9</v>
      </c>
      <c r="J17" s="37" t="s">
        <v>6</v>
      </c>
      <c r="K17" s="281">
        <f>L17/1.35</f>
        <v>508546.17283950618</v>
      </c>
      <c r="L17" s="282">
        <f>51490300/60*0.8</f>
        <v>686537.33333333337</v>
      </c>
      <c r="M17" s="283">
        <f>L17*1.4</f>
        <v>961152.2666666666</v>
      </c>
      <c r="N17" s="284">
        <f>M17*1.45</f>
        <v>1393670.7866666666</v>
      </c>
      <c r="O17" s="281">
        <f>N17*1.45</f>
        <v>2020822.6406666664</v>
      </c>
      <c r="P17" s="282">
        <f>O17*1.5</f>
        <v>3031233.9609999997</v>
      </c>
      <c r="Q17" s="284">
        <f>P17*1.55</f>
        <v>4698412.6395499995</v>
      </c>
    </row>
    <row r="18" spans="1:17" x14ac:dyDescent="0.3">
      <c r="A18" s="17">
        <v>1</v>
      </c>
      <c r="B18" s="220">
        <f t="shared" si="9"/>
        <v>2.9585798816568049E-2</v>
      </c>
      <c r="C18" s="227">
        <f>D18/1.3</f>
        <v>3.8461538461538464E-2</v>
      </c>
      <c r="D18" s="237">
        <v>0.05</v>
      </c>
      <c r="E18" s="58">
        <f>D18*1.3</f>
        <v>6.5000000000000002E-2</v>
      </c>
      <c r="F18" s="58">
        <f>E18*1.3</f>
        <v>8.4500000000000006E-2</v>
      </c>
      <c r="G18" s="58">
        <f>F18*1.3</f>
        <v>0.10985000000000002</v>
      </c>
      <c r="H18" s="146" t="s">
        <v>51</v>
      </c>
      <c r="I18" s="36" t="s">
        <v>11</v>
      </c>
      <c r="J18" s="37" t="s">
        <v>6</v>
      </c>
      <c r="K18" s="329">
        <f>K17/6650</f>
        <v>76.473108697670099</v>
      </c>
      <c r="L18" s="330">
        <f>L17/5000</f>
        <v>137.30746666666667</v>
      </c>
      <c r="M18" s="331">
        <f>M17/5000</f>
        <v>192.23045333333332</v>
      </c>
      <c r="N18" s="332">
        <f>N17/5000</f>
        <v>278.73415733333331</v>
      </c>
      <c r="O18" s="285">
        <f>O17/5000</f>
        <v>404.16452813333331</v>
      </c>
      <c r="P18" s="286">
        <f>P17/3350</f>
        <v>904.84595850746257</v>
      </c>
      <c r="Q18" s="288">
        <f>Q17/3350</f>
        <v>1402.511235686567</v>
      </c>
    </row>
    <row r="19" spans="1:17" ht="15" thickBot="1" x14ac:dyDescent="0.35">
      <c r="A19" s="17">
        <v>1</v>
      </c>
      <c r="B19" s="186"/>
      <c r="C19" s="155"/>
      <c r="D19" s="186"/>
      <c r="E19" s="155"/>
      <c r="F19" s="155"/>
      <c r="G19" s="155"/>
      <c r="H19" s="12"/>
      <c r="I19" s="12"/>
      <c r="J19" s="12"/>
      <c r="K19" s="274"/>
      <c r="L19" s="186"/>
      <c r="M19" s="155"/>
      <c r="N19" s="187"/>
      <c r="O19" s="274"/>
      <c r="P19" s="186"/>
      <c r="Q19" s="187"/>
    </row>
    <row r="20" spans="1:17" ht="15" thickBot="1" x14ac:dyDescent="0.35">
      <c r="A20" s="17">
        <v>1</v>
      </c>
      <c r="B20" s="251">
        <f t="shared" ref="B20:C21" si="11">C20/1.3</f>
        <v>29.585798816568044</v>
      </c>
      <c r="C20" s="252">
        <f t="shared" si="11"/>
        <v>38.46153846153846</v>
      </c>
      <c r="D20" s="253">
        <v>50</v>
      </c>
      <c r="E20" s="254">
        <f t="shared" ref="E20:G20" si="12">D20*1.3</f>
        <v>65</v>
      </c>
      <c r="F20" s="254">
        <f t="shared" si="12"/>
        <v>84.5</v>
      </c>
      <c r="G20" s="254">
        <f t="shared" si="12"/>
        <v>109.85000000000001</v>
      </c>
      <c r="H20" s="145" t="s">
        <v>10</v>
      </c>
      <c r="I20" s="36" t="s">
        <v>9</v>
      </c>
      <c r="J20" s="37" t="s">
        <v>6</v>
      </c>
      <c r="K20" s="281">
        <f>L20/1.35</f>
        <v>508546.17283950618</v>
      </c>
      <c r="L20" s="282">
        <f>51490300/60*0.8</f>
        <v>686537.33333333337</v>
      </c>
      <c r="M20" s="283">
        <f>L20*1.4</f>
        <v>961152.2666666666</v>
      </c>
      <c r="N20" s="284">
        <f>M20*1.45</f>
        <v>1393670.7866666666</v>
      </c>
      <c r="O20" s="281">
        <f>N20*1.45</f>
        <v>2020822.6406666664</v>
      </c>
      <c r="P20" s="282">
        <f>O20*1.5</f>
        <v>3031233.9609999997</v>
      </c>
      <c r="Q20" s="284">
        <f>P20*1.55</f>
        <v>4698412.6395499995</v>
      </c>
    </row>
    <row r="21" spans="1:17" x14ac:dyDescent="0.3">
      <c r="A21" s="17">
        <v>1</v>
      </c>
      <c r="B21" s="220">
        <f t="shared" si="11"/>
        <v>2.9585798816568049E-2</v>
      </c>
      <c r="C21" s="227">
        <f>D21/1.3</f>
        <v>3.8461538461538464E-2</v>
      </c>
      <c r="D21" s="237">
        <v>0.05</v>
      </c>
      <c r="E21" s="58">
        <f>D21*1.3</f>
        <v>6.5000000000000002E-2</v>
      </c>
      <c r="F21" s="58">
        <f>E21*1.3</f>
        <v>8.4500000000000006E-2</v>
      </c>
      <c r="G21" s="58">
        <f>F21*1.3</f>
        <v>0.10985000000000002</v>
      </c>
      <c r="H21" s="146" t="s">
        <v>57</v>
      </c>
      <c r="I21" s="36" t="s">
        <v>11</v>
      </c>
      <c r="J21" s="37" t="s">
        <v>6</v>
      </c>
      <c r="K21" s="329">
        <f>K20/6650</f>
        <v>76.473108697670099</v>
      </c>
      <c r="L21" s="330">
        <f>L20/5000</f>
        <v>137.30746666666667</v>
      </c>
      <c r="M21" s="331">
        <f>M20/5000</f>
        <v>192.23045333333332</v>
      </c>
      <c r="N21" s="332">
        <f>N20/5000</f>
        <v>278.73415733333331</v>
      </c>
      <c r="O21" s="285">
        <f>O20/5000</f>
        <v>404.16452813333331</v>
      </c>
      <c r="P21" s="286">
        <f>P20/3350</f>
        <v>904.84595850746257</v>
      </c>
      <c r="Q21" s="288">
        <f>Q20/3350</f>
        <v>1402.511235686567</v>
      </c>
    </row>
    <row r="22" spans="1:17" ht="15" thickBot="1" x14ac:dyDescent="0.35">
      <c r="A22" s="148">
        <v>2</v>
      </c>
      <c r="B22" s="188"/>
      <c r="C22" s="4"/>
      <c r="D22" s="188"/>
      <c r="E22" s="4"/>
      <c r="F22" s="4"/>
      <c r="G22" s="4"/>
      <c r="H22" s="146"/>
      <c r="I22" s="6"/>
      <c r="J22" s="6"/>
      <c r="K22" s="276"/>
      <c r="L22" s="188"/>
      <c r="M22" s="4"/>
      <c r="N22" s="189"/>
      <c r="O22" s="189"/>
      <c r="P22" s="188"/>
      <c r="Q22" s="189"/>
    </row>
    <row r="23" spans="1:17" ht="15" thickBot="1" x14ac:dyDescent="0.35">
      <c r="A23" s="18">
        <v>2</v>
      </c>
      <c r="B23" s="251">
        <f t="shared" ref="B23:C23" si="13">C23/1.3</f>
        <v>29.585798816568044</v>
      </c>
      <c r="C23" s="252">
        <f t="shared" si="13"/>
        <v>38.46153846153846</v>
      </c>
      <c r="D23" s="253">
        <v>50</v>
      </c>
      <c r="E23" s="254">
        <f t="shared" ref="E23:G23" si="14">D23*1.3</f>
        <v>65</v>
      </c>
      <c r="F23" s="254">
        <f t="shared" si="14"/>
        <v>84.5</v>
      </c>
      <c r="G23" s="254">
        <f t="shared" si="14"/>
        <v>109.85000000000001</v>
      </c>
      <c r="H23" s="145" t="s">
        <v>12</v>
      </c>
      <c r="I23" s="36" t="s">
        <v>13</v>
      </c>
      <c r="J23" s="37" t="s">
        <v>6</v>
      </c>
      <c r="K23" s="337">
        <f>L23/1.35</f>
        <v>205960.59259259258</v>
      </c>
      <c r="L23" s="338">
        <f>3475585/10*0.8</f>
        <v>278046.8</v>
      </c>
      <c r="M23" s="290">
        <f>L23*1.4</f>
        <v>389265.51999999996</v>
      </c>
      <c r="N23" s="291">
        <f>M23*1.45</f>
        <v>564435.00399999996</v>
      </c>
      <c r="O23" s="289">
        <f>Q23*1.5</f>
        <v>1227646.1336999999</v>
      </c>
      <c r="P23" s="291">
        <f>O23*1.55</f>
        <v>1902851.5072349999</v>
      </c>
      <c r="Q23" s="292">
        <f>N23*1.45</f>
        <v>818430.75579999993</v>
      </c>
    </row>
    <row r="24" spans="1:17" x14ac:dyDescent="0.3">
      <c r="A24" s="14">
        <v>2</v>
      </c>
      <c r="B24" s="220">
        <f>C24/1.3</f>
        <v>0.29585798816568043</v>
      </c>
      <c r="C24" s="227">
        <f>D24/1.3</f>
        <v>0.38461538461538458</v>
      </c>
      <c r="D24" s="237">
        <v>0.5</v>
      </c>
      <c r="E24" s="58">
        <f>D24*1.3</f>
        <v>0.65</v>
      </c>
      <c r="F24" s="58">
        <f>E24*1.3</f>
        <v>0.84500000000000008</v>
      </c>
      <c r="G24" s="58">
        <f>F24*1.3</f>
        <v>1.0985000000000003</v>
      </c>
      <c r="H24" s="146" t="s">
        <v>58</v>
      </c>
      <c r="I24" s="36" t="s">
        <v>14</v>
      </c>
      <c r="J24" s="37" t="s">
        <v>6</v>
      </c>
      <c r="K24" s="339">
        <f>K23/1350</f>
        <v>152.56340192043896</v>
      </c>
      <c r="L24" s="340">
        <f>L23/1000</f>
        <v>278.04679999999996</v>
      </c>
      <c r="M24" s="294">
        <f>M23/1000</f>
        <v>389.26551999999998</v>
      </c>
      <c r="N24" s="295">
        <f>N23/1000</f>
        <v>564.43500399999994</v>
      </c>
      <c r="O24" s="293">
        <f>O23/665</f>
        <v>1846.0844115789473</v>
      </c>
      <c r="P24" s="295">
        <f>P23/665</f>
        <v>2861.4308379473682</v>
      </c>
      <c r="Q24" s="296">
        <f>Q23/1000</f>
        <v>818.43075579999993</v>
      </c>
    </row>
    <row r="25" spans="1:17" ht="15" thickBot="1" x14ac:dyDescent="0.35">
      <c r="A25" s="148">
        <v>2</v>
      </c>
      <c r="B25" s="188"/>
      <c r="C25" s="4"/>
      <c r="D25" s="188"/>
      <c r="E25" s="4"/>
      <c r="F25" s="4"/>
      <c r="G25" s="4"/>
      <c r="H25" s="146"/>
      <c r="I25" s="6"/>
      <c r="J25" s="6"/>
      <c r="K25" s="276"/>
      <c r="L25" s="188"/>
      <c r="M25" s="4"/>
      <c r="N25" s="189"/>
      <c r="O25" s="188"/>
      <c r="P25" s="189"/>
      <c r="Q25" s="189"/>
    </row>
    <row r="26" spans="1:17" ht="15" thickBot="1" x14ac:dyDescent="0.35">
      <c r="A26" s="18">
        <v>2</v>
      </c>
      <c r="B26" s="251">
        <f t="shared" ref="B26:C26" si="15">C26/1.3</f>
        <v>29.585798816568044</v>
      </c>
      <c r="C26" s="252">
        <f t="shared" si="15"/>
        <v>38.46153846153846</v>
      </c>
      <c r="D26" s="253">
        <v>50</v>
      </c>
      <c r="E26" s="254">
        <f t="shared" ref="E26:G26" si="16">D26*1.3</f>
        <v>65</v>
      </c>
      <c r="F26" s="254">
        <f t="shared" si="16"/>
        <v>84.5</v>
      </c>
      <c r="G26" s="254">
        <f t="shared" si="16"/>
        <v>109.85000000000001</v>
      </c>
      <c r="H26" s="145" t="s">
        <v>12</v>
      </c>
      <c r="I26" s="36" t="s">
        <v>13</v>
      </c>
      <c r="J26" s="37" t="s">
        <v>6</v>
      </c>
      <c r="K26" s="337">
        <f>L26/1.35</f>
        <v>61025.481481481482</v>
      </c>
      <c r="L26" s="338">
        <f>205961/2*0.8</f>
        <v>82384.400000000009</v>
      </c>
      <c r="M26" s="290">
        <f>L26*1.4</f>
        <v>115338.16</v>
      </c>
      <c r="N26" s="291">
        <f>M26*1.45</f>
        <v>167240.33199999999</v>
      </c>
      <c r="O26" s="289">
        <f>Q26*1.5</f>
        <v>363747.72210000001</v>
      </c>
      <c r="P26" s="291">
        <f>O26*1.55</f>
        <v>563808.969255</v>
      </c>
      <c r="Q26" s="292">
        <f>N26*1.45</f>
        <v>242498.48139999999</v>
      </c>
    </row>
    <row r="27" spans="1:17" x14ac:dyDescent="0.3">
      <c r="A27" s="14">
        <v>2</v>
      </c>
      <c r="B27" s="220">
        <f>C27/1.3</f>
        <v>0.29585798816568043</v>
      </c>
      <c r="C27" s="227">
        <f>D27/1.3</f>
        <v>0.38461538461538458</v>
      </c>
      <c r="D27" s="237">
        <v>0.5</v>
      </c>
      <c r="E27" s="58">
        <f>D27*1.3</f>
        <v>0.65</v>
      </c>
      <c r="F27" s="58">
        <f>E27*1.3</f>
        <v>0.84500000000000008</v>
      </c>
      <c r="G27" s="58">
        <f>F27*1.3</f>
        <v>1.0985000000000003</v>
      </c>
      <c r="H27" s="146" t="s">
        <v>56</v>
      </c>
      <c r="I27" s="36" t="s">
        <v>14</v>
      </c>
      <c r="J27" s="37" t="s">
        <v>6</v>
      </c>
      <c r="K27" s="339">
        <f>K26/1350</f>
        <v>45.204060356652953</v>
      </c>
      <c r="L27" s="340">
        <f>L26/1000</f>
        <v>82.384400000000014</v>
      </c>
      <c r="M27" s="294">
        <f>M26/1000</f>
        <v>115.33816</v>
      </c>
      <c r="N27" s="295">
        <f>N26/1000</f>
        <v>167.240332</v>
      </c>
      <c r="O27" s="293">
        <f>O26/665</f>
        <v>546.9890557894737</v>
      </c>
      <c r="P27" s="295">
        <f>P26/665</f>
        <v>847.83303647368416</v>
      </c>
      <c r="Q27" s="296">
        <f>Q26/1000</f>
        <v>242.4984814</v>
      </c>
    </row>
    <row r="28" spans="1:17" ht="15" thickBot="1" x14ac:dyDescent="0.35">
      <c r="A28" s="148">
        <v>2</v>
      </c>
      <c r="B28" s="188"/>
      <c r="C28" s="4"/>
      <c r="D28" s="188"/>
      <c r="E28" s="4"/>
      <c r="F28" s="4"/>
      <c r="G28" s="4"/>
      <c r="H28" s="146"/>
      <c r="I28" s="6"/>
      <c r="J28" s="6"/>
      <c r="K28" s="276"/>
      <c r="L28" s="188"/>
      <c r="M28" s="4"/>
      <c r="N28" s="189"/>
      <c r="O28" s="188"/>
      <c r="P28" s="189"/>
      <c r="Q28" s="189"/>
    </row>
    <row r="29" spans="1:17" ht="15" thickBot="1" x14ac:dyDescent="0.35">
      <c r="A29" s="18">
        <v>2</v>
      </c>
      <c r="B29" s="251">
        <f t="shared" ref="B29:C29" si="17">C29/1.3</f>
        <v>29.585798816568044</v>
      </c>
      <c r="C29" s="252">
        <f t="shared" si="17"/>
        <v>38.46153846153846</v>
      </c>
      <c r="D29" s="253">
        <v>50</v>
      </c>
      <c r="E29" s="254">
        <f t="shared" ref="E29:G29" si="18">D29*1.3</f>
        <v>65</v>
      </c>
      <c r="F29" s="254">
        <f t="shared" si="18"/>
        <v>84.5</v>
      </c>
      <c r="G29" s="254">
        <f t="shared" si="18"/>
        <v>109.85000000000001</v>
      </c>
      <c r="H29" s="145" t="s">
        <v>12</v>
      </c>
      <c r="I29" s="36" t="s">
        <v>13</v>
      </c>
      <c r="J29" s="37" t="s">
        <v>6</v>
      </c>
      <c r="K29" s="337">
        <f>L29/1.35</f>
        <v>305127.64444444445</v>
      </c>
      <c r="L29" s="338">
        <f>5149029/10*0.8</f>
        <v>411922.32000000007</v>
      </c>
      <c r="M29" s="290">
        <f>L29*1.4</f>
        <v>576691.24800000002</v>
      </c>
      <c r="N29" s="291">
        <f>M29*1.45</f>
        <v>836202.30960000004</v>
      </c>
      <c r="O29" s="289">
        <f>Q29*1.5</f>
        <v>1818740.0233800001</v>
      </c>
      <c r="P29" s="291">
        <f>O29*1.55</f>
        <v>2819047.0362390005</v>
      </c>
      <c r="Q29" s="292">
        <f>N29*1.45</f>
        <v>1212493.34892</v>
      </c>
    </row>
    <row r="30" spans="1:17" x14ac:dyDescent="0.3">
      <c r="A30" s="14">
        <v>2</v>
      </c>
      <c r="B30" s="220">
        <f>C30/1.3</f>
        <v>0.29585798816568043</v>
      </c>
      <c r="C30" s="227">
        <f>D30/1.3</f>
        <v>0.38461538461538458</v>
      </c>
      <c r="D30" s="237">
        <v>0.5</v>
      </c>
      <c r="E30" s="58">
        <f>D30*1.3</f>
        <v>0.65</v>
      </c>
      <c r="F30" s="58">
        <f>E30*1.3</f>
        <v>0.84500000000000008</v>
      </c>
      <c r="G30" s="58">
        <f>F30*1.3</f>
        <v>1.0985000000000003</v>
      </c>
      <c r="H30" s="146" t="s">
        <v>50</v>
      </c>
      <c r="I30" s="36" t="s">
        <v>14</v>
      </c>
      <c r="J30" s="37" t="s">
        <v>6</v>
      </c>
      <c r="K30" s="339">
        <f>K29/1350</f>
        <v>226.02047736625514</v>
      </c>
      <c r="L30" s="340">
        <f>L29/1000</f>
        <v>411.92232000000007</v>
      </c>
      <c r="M30" s="294">
        <f>M29/1000</f>
        <v>576.69124799999997</v>
      </c>
      <c r="N30" s="295">
        <f>N29/1000</f>
        <v>836.20230960000004</v>
      </c>
      <c r="O30" s="293">
        <f>O29/665</f>
        <v>2734.9474035789476</v>
      </c>
      <c r="P30" s="295">
        <f>P29/665</f>
        <v>4239.1684755473689</v>
      </c>
      <c r="Q30" s="296">
        <f>Q29/1000</f>
        <v>1212.49334892</v>
      </c>
    </row>
    <row r="31" spans="1:17" ht="15" thickBot="1" x14ac:dyDescent="0.35">
      <c r="A31" s="148">
        <v>2</v>
      </c>
      <c r="B31" s="188"/>
      <c r="C31" s="4"/>
      <c r="D31" s="188"/>
      <c r="E31" s="4"/>
      <c r="F31" s="4"/>
      <c r="G31" s="4"/>
      <c r="H31" s="146"/>
      <c r="I31" s="6"/>
      <c r="J31" s="6"/>
      <c r="K31" s="276"/>
      <c r="L31" s="188"/>
      <c r="M31" s="4"/>
      <c r="N31" s="189"/>
      <c r="O31" s="188"/>
      <c r="P31" s="189"/>
      <c r="Q31" s="189"/>
    </row>
    <row r="32" spans="1:17" ht="15" thickBot="1" x14ac:dyDescent="0.35">
      <c r="A32" s="18">
        <v>2</v>
      </c>
      <c r="B32" s="251">
        <f t="shared" ref="B32:C32" si="19">C32/1.3</f>
        <v>29.585798816568044</v>
      </c>
      <c r="C32" s="252">
        <f t="shared" si="19"/>
        <v>38.46153846153846</v>
      </c>
      <c r="D32" s="253">
        <v>50</v>
      </c>
      <c r="E32" s="254">
        <f t="shared" ref="E32:G32" si="20">D32*1.3</f>
        <v>65</v>
      </c>
      <c r="F32" s="254">
        <f t="shared" si="20"/>
        <v>84.5</v>
      </c>
      <c r="G32" s="254">
        <f t="shared" si="20"/>
        <v>109.85000000000001</v>
      </c>
      <c r="H32" s="145" t="s">
        <v>12</v>
      </c>
      <c r="I32" s="36" t="s">
        <v>13</v>
      </c>
      <c r="J32" s="37" t="s">
        <v>6</v>
      </c>
      <c r="K32" s="337">
        <f>L32/1.35</f>
        <v>508546.17283950618</v>
      </c>
      <c r="L32" s="338">
        <f>51490300/60*0.8</f>
        <v>686537.33333333337</v>
      </c>
      <c r="M32" s="290">
        <f>L32*1.4</f>
        <v>961152.2666666666</v>
      </c>
      <c r="N32" s="291">
        <f>M32*1.45</f>
        <v>1393670.7866666666</v>
      </c>
      <c r="O32" s="289">
        <f>Q32*1.5</f>
        <v>3031233.9609999997</v>
      </c>
      <c r="P32" s="291">
        <f>O32*1.55</f>
        <v>4698412.6395499995</v>
      </c>
      <c r="Q32" s="292">
        <f>N32*1.45</f>
        <v>2020822.6406666664</v>
      </c>
    </row>
    <row r="33" spans="1:17" x14ac:dyDescent="0.3">
      <c r="A33" s="14">
        <v>2</v>
      </c>
      <c r="B33" s="220">
        <f>C33/1.3</f>
        <v>0.29585798816568043</v>
      </c>
      <c r="C33" s="227">
        <f>D33/1.3</f>
        <v>0.38461538461538458</v>
      </c>
      <c r="D33" s="237">
        <v>0.5</v>
      </c>
      <c r="E33" s="58">
        <f>D33*1.3</f>
        <v>0.65</v>
      </c>
      <c r="F33" s="58">
        <f>E33*1.3</f>
        <v>0.84500000000000008</v>
      </c>
      <c r="G33" s="58">
        <f>F33*1.3</f>
        <v>1.0985000000000003</v>
      </c>
      <c r="H33" s="146" t="s">
        <v>51</v>
      </c>
      <c r="I33" s="36" t="s">
        <v>14</v>
      </c>
      <c r="J33" s="37" t="s">
        <v>6</v>
      </c>
      <c r="K33" s="339">
        <f>K32/1350</f>
        <v>376.7008687700046</v>
      </c>
      <c r="L33" s="340">
        <f>L32/1000</f>
        <v>686.53733333333332</v>
      </c>
      <c r="M33" s="294">
        <f>M32/1000</f>
        <v>961.15226666666661</v>
      </c>
      <c r="N33" s="295">
        <f>N32/1000</f>
        <v>1393.6707866666666</v>
      </c>
      <c r="O33" s="293">
        <f>O32/665</f>
        <v>4558.2465578947367</v>
      </c>
      <c r="P33" s="295">
        <f>P32/665</f>
        <v>7065.282164736841</v>
      </c>
      <c r="Q33" s="296">
        <f>Q32/1000</f>
        <v>2020.8226406666665</v>
      </c>
    </row>
    <row r="34" spans="1:17" ht="15" thickBot="1" x14ac:dyDescent="0.35">
      <c r="A34" s="148">
        <v>2</v>
      </c>
      <c r="B34" s="188"/>
      <c r="C34" s="4"/>
      <c r="D34" s="188"/>
      <c r="E34" s="4"/>
      <c r="F34" s="4"/>
      <c r="G34" s="4"/>
      <c r="H34" s="146"/>
      <c r="I34" s="6"/>
      <c r="J34" s="6"/>
      <c r="K34" s="276"/>
      <c r="L34" s="188"/>
      <c r="M34" s="4"/>
      <c r="N34" s="189"/>
      <c r="O34" s="188"/>
      <c r="P34" s="189"/>
      <c r="Q34" s="189"/>
    </row>
    <row r="35" spans="1:17" ht="15" thickBot="1" x14ac:dyDescent="0.35">
      <c r="A35" s="18">
        <v>2</v>
      </c>
      <c r="B35" s="251">
        <f t="shared" ref="B35:C35" si="21">C35/1.3</f>
        <v>29.585798816568044</v>
      </c>
      <c r="C35" s="252">
        <f t="shared" si="21"/>
        <v>38.46153846153846</v>
      </c>
      <c r="D35" s="253">
        <v>50</v>
      </c>
      <c r="E35" s="254">
        <f t="shared" ref="E35:G35" si="22">D35*1.3</f>
        <v>65</v>
      </c>
      <c r="F35" s="254">
        <f t="shared" si="22"/>
        <v>84.5</v>
      </c>
      <c r="G35" s="254">
        <f t="shared" si="22"/>
        <v>109.85000000000001</v>
      </c>
      <c r="H35" s="145" t="s">
        <v>12</v>
      </c>
      <c r="I35" s="36" t="s">
        <v>13</v>
      </c>
      <c r="J35" s="37" t="s">
        <v>6</v>
      </c>
      <c r="K35" s="337">
        <f>L35/1.35</f>
        <v>508546.17283950618</v>
      </c>
      <c r="L35" s="338">
        <f>51490300/60*0.8</f>
        <v>686537.33333333337</v>
      </c>
      <c r="M35" s="290">
        <f>L35*1.4</f>
        <v>961152.2666666666</v>
      </c>
      <c r="N35" s="291">
        <f>M35*1.45</f>
        <v>1393670.7866666666</v>
      </c>
      <c r="O35" s="289">
        <f>Q35*1.5</f>
        <v>3031233.9609999997</v>
      </c>
      <c r="P35" s="291">
        <f>O35*1.55</f>
        <v>4698412.6395499995</v>
      </c>
      <c r="Q35" s="292">
        <f>N35*1.45</f>
        <v>2020822.6406666664</v>
      </c>
    </row>
    <row r="36" spans="1:17" x14ac:dyDescent="0.3">
      <c r="A36" s="14">
        <v>2</v>
      </c>
      <c r="B36" s="220">
        <f>C36/1.3</f>
        <v>0.29585798816568043</v>
      </c>
      <c r="C36" s="227">
        <f>D36/1.3</f>
        <v>0.38461538461538458</v>
      </c>
      <c r="D36" s="237">
        <v>0.5</v>
      </c>
      <c r="E36" s="58">
        <f>D36*1.3</f>
        <v>0.65</v>
      </c>
      <c r="F36" s="58">
        <f>E36*1.3</f>
        <v>0.84500000000000008</v>
      </c>
      <c r="G36" s="58">
        <f>F36*1.3</f>
        <v>1.0985000000000003</v>
      </c>
      <c r="H36" s="146" t="s">
        <v>57</v>
      </c>
      <c r="I36" s="36" t="s">
        <v>14</v>
      </c>
      <c r="J36" s="37" t="s">
        <v>6</v>
      </c>
      <c r="K36" s="339">
        <f>K35/1350</f>
        <v>376.7008687700046</v>
      </c>
      <c r="L36" s="340">
        <f>L35/1000</f>
        <v>686.53733333333332</v>
      </c>
      <c r="M36" s="294">
        <f>M35/1000</f>
        <v>961.15226666666661</v>
      </c>
      <c r="N36" s="295">
        <f>N35/1000</f>
        <v>1393.6707866666666</v>
      </c>
      <c r="O36" s="293">
        <f>O35/665</f>
        <v>4558.2465578947367</v>
      </c>
      <c r="P36" s="295">
        <f>P35/665</f>
        <v>7065.282164736841</v>
      </c>
      <c r="Q36" s="296">
        <f>Q35/1000</f>
        <v>2020.8226406666665</v>
      </c>
    </row>
    <row r="52" spans="1:17" x14ac:dyDescent="0.3">
      <c r="A52" s="14">
        <v>2</v>
      </c>
      <c r="B52" s="188"/>
      <c r="C52" s="5"/>
      <c r="D52" s="188"/>
      <c r="E52" s="4"/>
      <c r="F52" s="4"/>
      <c r="G52" s="4"/>
      <c r="H52" s="29"/>
      <c r="I52" s="21"/>
      <c r="J52" s="6"/>
      <c r="K52" s="276"/>
      <c r="L52" s="188"/>
      <c r="M52" s="4"/>
      <c r="N52" s="189"/>
      <c r="O52" s="189"/>
      <c r="P52" s="188"/>
      <c r="Q52" s="18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1543B-46DB-4DE1-BF54-DFEB28415051}">
  <dimension ref="A1:Q36"/>
  <sheetViews>
    <sheetView tabSelected="1" topLeftCell="F7" zoomScale="85" zoomScaleNormal="85" workbookViewId="0">
      <selection activeCell="L23" sqref="L23"/>
    </sheetView>
  </sheetViews>
  <sheetFormatPr defaultRowHeight="14.4" x14ac:dyDescent="0.3"/>
  <cols>
    <col min="8" max="8" width="14.109375" bestFit="1" customWidth="1"/>
    <col min="9" max="9" width="11.5546875" bestFit="1" customWidth="1"/>
    <col min="17" max="17" width="10.6640625" bestFit="1" customWidth="1"/>
  </cols>
  <sheetData>
    <row r="1" spans="1:17" ht="15" thickBot="1" x14ac:dyDescent="0.35">
      <c r="A1" s="15"/>
      <c r="B1" s="66"/>
      <c r="C1" s="22"/>
      <c r="D1" s="2"/>
      <c r="E1" s="25"/>
      <c r="F1" s="3"/>
      <c r="G1" s="2"/>
      <c r="H1" s="2"/>
      <c r="I1" s="2"/>
      <c r="J1" s="2"/>
      <c r="K1" s="2"/>
      <c r="L1" s="25"/>
      <c r="M1" s="2"/>
      <c r="N1" s="2"/>
      <c r="O1" s="2"/>
      <c r="P1" s="2"/>
      <c r="Q1" s="2"/>
    </row>
    <row r="2" spans="1:17" x14ac:dyDescent="0.3">
      <c r="A2" s="14"/>
      <c r="B2" s="171" t="s">
        <v>3</v>
      </c>
      <c r="C2" s="219" t="s">
        <v>2</v>
      </c>
      <c r="D2" s="171">
        <v>1</v>
      </c>
      <c r="E2" s="219">
        <v>2</v>
      </c>
      <c r="F2" s="219">
        <v>3</v>
      </c>
      <c r="G2" s="219">
        <v>4</v>
      </c>
      <c r="H2" s="67"/>
      <c r="I2" s="24" t="s">
        <v>0</v>
      </c>
      <c r="J2" s="143"/>
      <c r="K2" s="263">
        <v>5</v>
      </c>
      <c r="L2" s="171">
        <v>6</v>
      </c>
      <c r="M2" s="172">
        <v>7</v>
      </c>
      <c r="N2" s="173">
        <v>8</v>
      </c>
      <c r="O2" s="171">
        <v>9</v>
      </c>
      <c r="P2" s="173">
        <v>10</v>
      </c>
      <c r="Q2" s="263" t="s">
        <v>49</v>
      </c>
    </row>
    <row r="3" spans="1:17" ht="15" thickBot="1" x14ac:dyDescent="0.35">
      <c r="A3" s="14"/>
      <c r="B3" s="174"/>
      <c r="C3" s="88"/>
      <c r="D3" s="230"/>
      <c r="E3" s="88"/>
      <c r="F3" s="88"/>
      <c r="G3" s="88"/>
      <c r="H3" s="63" t="s">
        <v>1</v>
      </c>
      <c r="I3" s="23" t="s">
        <v>4</v>
      </c>
      <c r="J3" s="213" t="s">
        <v>5</v>
      </c>
      <c r="K3" s="264"/>
      <c r="L3" s="174"/>
      <c r="M3" s="90"/>
      <c r="N3" s="175"/>
      <c r="O3" s="174"/>
      <c r="P3" s="175"/>
      <c r="Q3" s="264"/>
    </row>
    <row r="4" spans="1:17" x14ac:dyDescent="0.3">
      <c r="A4" s="143">
        <v>1</v>
      </c>
      <c r="B4" s="82">
        <f t="shared" ref="B4:C6" si="0">C4/1.3</f>
        <v>-8.8757396449704142</v>
      </c>
      <c r="C4" s="98">
        <f t="shared" si="0"/>
        <v>-11.538461538461538</v>
      </c>
      <c r="D4" s="231">
        <v>-15</v>
      </c>
      <c r="E4" s="83">
        <f t="shared" ref="E4:G6" si="1">D4*1.3</f>
        <v>-19.5</v>
      </c>
      <c r="F4" s="83">
        <f t="shared" si="1"/>
        <v>-25.35</v>
      </c>
      <c r="G4" s="83">
        <f t="shared" si="1"/>
        <v>-32.955000000000005</v>
      </c>
      <c r="H4" s="64" t="s">
        <v>36</v>
      </c>
      <c r="I4" s="36" t="s">
        <v>35</v>
      </c>
      <c r="J4" s="37" t="s">
        <v>6</v>
      </c>
      <c r="K4" s="265">
        <f>G4*1.3</f>
        <v>-42.841500000000011</v>
      </c>
      <c r="L4" s="82">
        <f>K4*1.35</f>
        <v>-57.836025000000021</v>
      </c>
      <c r="M4" s="83">
        <f>L4*1.4</f>
        <v>-80.970435000000023</v>
      </c>
      <c r="N4" s="84">
        <f t="shared" ref="N4:N6" si="2">M4*1.45</f>
        <v>-117.40713075000004</v>
      </c>
      <c r="O4" s="82">
        <f>Q4*1.5</f>
        <v>-255.36050938125007</v>
      </c>
      <c r="P4" s="84">
        <f>O4*1.55</f>
        <v>-395.8087895409376</v>
      </c>
      <c r="Q4" s="265">
        <f>N4*1.45</f>
        <v>-170.24033958750005</v>
      </c>
    </row>
    <row r="5" spans="1:17" x14ac:dyDescent="0.3">
      <c r="A5" s="149">
        <v>1</v>
      </c>
      <c r="B5" s="176">
        <f t="shared" si="0"/>
        <v>-17.751479289940828</v>
      </c>
      <c r="C5" s="161">
        <f t="shared" si="0"/>
        <v>-23.076923076923077</v>
      </c>
      <c r="D5" s="232">
        <f>D4*2</f>
        <v>-30</v>
      </c>
      <c r="E5" s="30">
        <f t="shared" si="1"/>
        <v>-39</v>
      </c>
      <c r="F5" s="30">
        <f t="shared" si="1"/>
        <v>-50.7</v>
      </c>
      <c r="G5" s="30">
        <f t="shared" si="1"/>
        <v>-65.910000000000011</v>
      </c>
      <c r="H5" s="68"/>
      <c r="I5" s="38" t="s">
        <v>35</v>
      </c>
      <c r="J5" s="214" t="s">
        <v>7</v>
      </c>
      <c r="K5" s="266">
        <f>G5*1.3</f>
        <v>-85.683000000000021</v>
      </c>
      <c r="L5" s="176">
        <f>K5*1.35</f>
        <v>-115.67205000000004</v>
      </c>
      <c r="M5" s="30">
        <f>L5*1.4</f>
        <v>-161.94087000000005</v>
      </c>
      <c r="N5" s="85">
        <f t="shared" si="2"/>
        <v>-234.81426150000007</v>
      </c>
      <c r="O5" s="176">
        <f>Q5*1.5</f>
        <v>-510.72101876250014</v>
      </c>
      <c r="P5" s="85">
        <f>O5*1.55</f>
        <v>-791.61757908187519</v>
      </c>
      <c r="Q5" s="266">
        <f>N5*1.45</f>
        <v>-340.48067917500009</v>
      </c>
    </row>
    <row r="6" spans="1:17" ht="15" thickBot="1" x14ac:dyDescent="0.35">
      <c r="A6" s="17">
        <v>1</v>
      </c>
      <c r="B6" s="177">
        <f t="shared" si="0"/>
        <v>-35.502958579881657</v>
      </c>
      <c r="C6" s="162">
        <f t="shared" si="0"/>
        <v>-46.153846153846153</v>
      </c>
      <c r="D6" s="233">
        <f>D4*4</f>
        <v>-60</v>
      </c>
      <c r="E6" s="86">
        <f t="shared" si="1"/>
        <v>-78</v>
      </c>
      <c r="F6" s="86">
        <f t="shared" si="1"/>
        <v>-101.4</v>
      </c>
      <c r="G6" s="86">
        <f t="shared" si="1"/>
        <v>-131.82000000000002</v>
      </c>
      <c r="H6" s="144"/>
      <c r="I6" s="39" t="s">
        <v>35</v>
      </c>
      <c r="J6" s="215" t="s">
        <v>8</v>
      </c>
      <c r="K6" s="267">
        <f>G6*1.3</f>
        <v>-171.36600000000004</v>
      </c>
      <c r="L6" s="177">
        <f>K6*1.35</f>
        <v>-231.34410000000008</v>
      </c>
      <c r="M6" s="86">
        <f>L6*1.4</f>
        <v>-323.88174000000009</v>
      </c>
      <c r="N6" s="87">
        <f t="shared" si="2"/>
        <v>-469.62852300000014</v>
      </c>
      <c r="O6" s="177">
        <f>Q6*1.5</f>
        <v>-1021.4420375250003</v>
      </c>
      <c r="P6" s="87">
        <f>O6*1.55</f>
        <v>-1583.2351581637504</v>
      </c>
      <c r="Q6" s="267">
        <f>N6*1.45</f>
        <v>-680.96135835000018</v>
      </c>
    </row>
    <row r="7" spans="1:17" ht="15" thickBot="1" x14ac:dyDescent="0.35">
      <c r="A7" s="17">
        <v>1</v>
      </c>
      <c r="B7" s="186"/>
      <c r="C7" s="155"/>
      <c r="D7" s="186"/>
      <c r="E7" s="155"/>
      <c r="F7" s="155"/>
      <c r="G7" s="155"/>
      <c r="H7" s="12"/>
      <c r="I7" s="12"/>
      <c r="J7" s="12"/>
      <c r="K7" s="274"/>
      <c r="L7" s="186"/>
      <c r="M7" s="155"/>
      <c r="N7" s="187"/>
      <c r="O7" s="186"/>
      <c r="P7" s="187"/>
      <c r="Q7" s="274"/>
    </row>
    <row r="8" spans="1:17" ht="15" thickBot="1" x14ac:dyDescent="0.35">
      <c r="A8" s="17">
        <v>1</v>
      </c>
      <c r="B8" s="251">
        <f t="shared" ref="B8:C9" si="3">C8/1.3</f>
        <v>29.585798816568044</v>
      </c>
      <c r="C8" s="252">
        <f t="shared" si="3"/>
        <v>38.46153846153846</v>
      </c>
      <c r="D8" s="253">
        <v>50</v>
      </c>
      <c r="E8" s="254">
        <f t="shared" ref="E8:G8" si="4">D8*1.3</f>
        <v>65</v>
      </c>
      <c r="F8" s="254">
        <f t="shared" si="4"/>
        <v>84.5</v>
      </c>
      <c r="G8" s="254">
        <f t="shared" si="4"/>
        <v>109.85000000000001</v>
      </c>
      <c r="H8" s="145" t="s">
        <v>10</v>
      </c>
      <c r="I8" s="36" t="s">
        <v>9</v>
      </c>
      <c r="J8" s="37" t="s">
        <v>6</v>
      </c>
      <c r="K8" s="281">
        <f>L8/1.35</f>
        <v>308940.88888888888</v>
      </c>
      <c r="L8" s="282">
        <f>3475585/10*1.2</f>
        <v>417070.2</v>
      </c>
      <c r="M8" s="283">
        <f>L8*1.4</f>
        <v>583898.28</v>
      </c>
      <c r="N8" s="284">
        <f>M8*1.45</f>
        <v>846652.50600000005</v>
      </c>
      <c r="O8" s="282">
        <f>Q8*1.5</f>
        <v>1841469.2005500002</v>
      </c>
      <c r="P8" s="284">
        <f>O8*1.55</f>
        <v>2854277.2608525003</v>
      </c>
      <c r="Q8" s="281">
        <f>N8*1.45</f>
        <v>1227646.1337000001</v>
      </c>
    </row>
    <row r="9" spans="1:17" x14ac:dyDescent="0.3">
      <c r="A9" s="17">
        <v>1</v>
      </c>
      <c r="B9" s="220">
        <f t="shared" si="3"/>
        <v>2.9585798816568049E-2</v>
      </c>
      <c r="C9" s="227">
        <f>D9/1.3</f>
        <v>3.8461538461538464E-2</v>
      </c>
      <c r="D9" s="237">
        <v>0.05</v>
      </c>
      <c r="E9" s="58">
        <f>D9*1.3</f>
        <v>6.5000000000000002E-2</v>
      </c>
      <c r="F9" s="58">
        <f>E9*1.3</f>
        <v>8.4500000000000006E-2</v>
      </c>
      <c r="G9" s="58">
        <f>F9*1.3</f>
        <v>0.10985000000000002</v>
      </c>
      <c r="H9" s="146" t="s">
        <v>58</v>
      </c>
      <c r="I9" s="36" t="s">
        <v>11</v>
      </c>
      <c r="J9" s="37" t="s">
        <v>6</v>
      </c>
      <c r="K9" s="285">
        <f>K8/50000</f>
        <v>6.1788177777777777</v>
      </c>
      <c r="L9" s="286">
        <f>L8/37500</f>
        <v>11.121872</v>
      </c>
      <c r="M9" s="287">
        <f>M8/37500</f>
        <v>15.5706208</v>
      </c>
      <c r="N9" s="288">
        <f>N8/37500</f>
        <v>22.57740016</v>
      </c>
      <c r="O9" s="286">
        <f>O8/25000</f>
        <v>73.658768022000004</v>
      </c>
      <c r="P9" s="288">
        <f>P8/25000</f>
        <v>114.17109043410001</v>
      </c>
      <c r="Q9" s="285">
        <f>Q8/37500</f>
        <v>32.737230232000002</v>
      </c>
    </row>
    <row r="10" spans="1:17" ht="15" thickBot="1" x14ac:dyDescent="0.35">
      <c r="A10" s="17">
        <v>1</v>
      </c>
      <c r="B10" s="186"/>
      <c r="C10" s="155"/>
      <c r="D10" s="186"/>
      <c r="E10" s="155"/>
      <c r="F10" s="155"/>
      <c r="G10" s="155"/>
      <c r="H10" s="12"/>
      <c r="I10" s="12"/>
      <c r="J10" s="12"/>
      <c r="K10" s="274"/>
      <c r="L10" s="186"/>
      <c r="M10" s="155"/>
      <c r="N10" s="187"/>
      <c r="O10" s="186"/>
      <c r="P10" s="187"/>
      <c r="Q10" s="274"/>
    </row>
    <row r="11" spans="1:17" ht="15" thickBot="1" x14ac:dyDescent="0.35">
      <c r="A11" s="17">
        <v>1</v>
      </c>
      <c r="B11" s="251">
        <f t="shared" ref="B11:C12" si="5">C11/1.3</f>
        <v>29.585798816568044</v>
      </c>
      <c r="C11" s="252">
        <f t="shared" si="5"/>
        <v>38.46153846153846</v>
      </c>
      <c r="D11" s="253">
        <v>50</v>
      </c>
      <c r="E11" s="254">
        <f t="shared" ref="E11:G11" si="6">D11*1.3</f>
        <v>65</v>
      </c>
      <c r="F11" s="254">
        <f t="shared" si="6"/>
        <v>84.5</v>
      </c>
      <c r="G11" s="254">
        <f t="shared" si="6"/>
        <v>109.85000000000001</v>
      </c>
      <c r="H11" s="145" t="s">
        <v>10</v>
      </c>
      <c r="I11" s="36" t="s">
        <v>9</v>
      </c>
      <c r="J11" s="37" t="s">
        <v>6</v>
      </c>
      <c r="K11" s="281">
        <f>L11/1.35</f>
        <v>91538.222222222204</v>
      </c>
      <c r="L11" s="282">
        <f>205961/2*1.2</f>
        <v>123576.59999999999</v>
      </c>
      <c r="M11" s="283">
        <f>L11*1.4</f>
        <v>173007.24</v>
      </c>
      <c r="N11" s="284">
        <f>M11*1.45</f>
        <v>250860.49799999999</v>
      </c>
      <c r="O11" s="282">
        <f>Q11*1.5</f>
        <v>545621.58314999996</v>
      </c>
      <c r="P11" s="284">
        <f>O11*1.55</f>
        <v>845713.45388249995</v>
      </c>
      <c r="Q11" s="281">
        <f>N11*1.45</f>
        <v>363747.72209999996</v>
      </c>
    </row>
    <row r="12" spans="1:17" x14ac:dyDescent="0.3">
      <c r="A12" s="17">
        <v>1</v>
      </c>
      <c r="B12" s="220">
        <f t="shared" si="5"/>
        <v>2.9585798816568049E-2</v>
      </c>
      <c r="C12" s="227">
        <f>D12/1.3</f>
        <v>3.8461538461538464E-2</v>
      </c>
      <c r="D12" s="237">
        <v>0.05</v>
      </c>
      <c r="E12" s="58">
        <f>D12*1.3</f>
        <v>6.5000000000000002E-2</v>
      </c>
      <c r="F12" s="58">
        <f>E12*1.3</f>
        <v>8.4500000000000006E-2</v>
      </c>
      <c r="G12" s="58">
        <f>F12*1.3</f>
        <v>0.10985000000000002</v>
      </c>
      <c r="H12" s="146" t="s">
        <v>56</v>
      </c>
      <c r="I12" s="36" t="s">
        <v>11</v>
      </c>
      <c r="J12" s="37" t="s">
        <v>6</v>
      </c>
      <c r="K12" s="285">
        <f>K11/50000</f>
        <v>1.8307644444444442</v>
      </c>
      <c r="L12" s="286">
        <f>L11/37500</f>
        <v>3.2953759999999996</v>
      </c>
      <c r="M12" s="287">
        <f>M11/37500</f>
        <v>4.6135263999999996</v>
      </c>
      <c r="N12" s="288">
        <f>N11/37500</f>
        <v>6.6896132799999997</v>
      </c>
      <c r="O12" s="286">
        <f>O11/25000</f>
        <v>21.824863325999999</v>
      </c>
      <c r="P12" s="288">
        <f>P11/25000</f>
        <v>33.828538155299995</v>
      </c>
      <c r="Q12" s="285">
        <f>Q11/37500</f>
        <v>9.6999392559999986</v>
      </c>
    </row>
    <row r="13" spans="1:17" ht="15" thickBot="1" x14ac:dyDescent="0.35">
      <c r="A13" s="17">
        <v>1</v>
      </c>
      <c r="B13" s="186"/>
      <c r="C13" s="155"/>
      <c r="D13" s="186"/>
      <c r="E13" s="155"/>
      <c r="F13" s="155"/>
      <c r="G13" s="155"/>
      <c r="H13" s="12"/>
      <c r="I13" s="12"/>
      <c r="J13" s="12"/>
      <c r="K13" s="274"/>
      <c r="L13" s="186"/>
      <c r="M13" s="155"/>
      <c r="N13" s="187"/>
      <c r="O13" s="186"/>
      <c r="P13" s="187"/>
      <c r="Q13" s="274"/>
    </row>
    <row r="14" spans="1:17" ht="15" thickBot="1" x14ac:dyDescent="0.35">
      <c r="A14" s="17">
        <v>1</v>
      </c>
      <c r="B14" s="251">
        <f t="shared" ref="B14:C15" si="7">C14/1.3</f>
        <v>29.585798816568044</v>
      </c>
      <c r="C14" s="252">
        <f t="shared" si="7"/>
        <v>38.46153846153846</v>
      </c>
      <c r="D14" s="253">
        <v>50</v>
      </c>
      <c r="E14" s="254">
        <f t="shared" ref="E14:G14" si="8">D14*1.3</f>
        <v>65</v>
      </c>
      <c r="F14" s="254">
        <f t="shared" si="8"/>
        <v>84.5</v>
      </c>
      <c r="G14" s="254">
        <f t="shared" si="8"/>
        <v>109.85000000000001</v>
      </c>
      <c r="H14" s="145" t="s">
        <v>10</v>
      </c>
      <c r="I14" s="36" t="s">
        <v>9</v>
      </c>
      <c r="J14" s="37" t="s">
        <v>6</v>
      </c>
      <c r="K14" s="281">
        <f>L14/1.35</f>
        <v>457691.46666666662</v>
      </c>
      <c r="L14" s="282">
        <f>5149029/10*1.2</f>
        <v>617883.48</v>
      </c>
      <c r="M14" s="283">
        <f>L14*1.4</f>
        <v>865036.87199999997</v>
      </c>
      <c r="N14" s="284">
        <f>M14*1.45</f>
        <v>1254303.4643999999</v>
      </c>
      <c r="O14" s="282">
        <f>Q14*1.5</f>
        <v>2728110.0350699998</v>
      </c>
      <c r="P14" s="284">
        <f>O14*1.55</f>
        <v>4228570.5543585001</v>
      </c>
      <c r="Q14" s="281">
        <f>N14*1.45</f>
        <v>1818740.0233799999</v>
      </c>
    </row>
    <row r="15" spans="1:17" x14ac:dyDescent="0.3">
      <c r="A15" s="17">
        <v>1</v>
      </c>
      <c r="B15" s="220">
        <f t="shared" si="7"/>
        <v>2.9585798816568049E-2</v>
      </c>
      <c r="C15" s="227">
        <f>D15/1.3</f>
        <v>3.8461538461538464E-2</v>
      </c>
      <c r="D15" s="237">
        <v>0.05</v>
      </c>
      <c r="E15" s="58">
        <f>D15*1.3</f>
        <v>6.5000000000000002E-2</v>
      </c>
      <c r="F15" s="58">
        <f>E15*1.3</f>
        <v>8.4500000000000006E-2</v>
      </c>
      <c r="G15" s="58">
        <f>F15*1.3</f>
        <v>0.10985000000000002</v>
      </c>
      <c r="H15" s="146" t="s">
        <v>50</v>
      </c>
      <c r="I15" s="36" t="s">
        <v>11</v>
      </c>
      <c r="J15" s="37" t="s">
        <v>6</v>
      </c>
      <c r="K15" s="285">
        <f>K14/50000</f>
        <v>9.1538293333333325</v>
      </c>
      <c r="L15" s="286">
        <f>L14/37500</f>
        <v>16.476892799999998</v>
      </c>
      <c r="M15" s="287">
        <f>M14/37500</f>
        <v>23.067649920000001</v>
      </c>
      <c r="N15" s="288">
        <f>N14/37500</f>
        <v>33.448092383999999</v>
      </c>
      <c r="O15" s="286">
        <f>O14/25000</f>
        <v>109.12440140279999</v>
      </c>
      <c r="P15" s="288">
        <f>P14/25000</f>
        <v>169.14282217434001</v>
      </c>
      <c r="Q15" s="285">
        <f>Q14/37500</f>
        <v>48.4997339568</v>
      </c>
    </row>
    <row r="16" spans="1:17" ht="15" thickBot="1" x14ac:dyDescent="0.35">
      <c r="A16" s="17">
        <v>1</v>
      </c>
      <c r="B16" s="186"/>
      <c r="C16" s="155"/>
      <c r="D16" s="186"/>
      <c r="E16" s="155"/>
      <c r="F16" s="155"/>
      <c r="G16" s="155"/>
      <c r="H16" s="12"/>
      <c r="I16" s="12"/>
      <c r="J16" s="12"/>
      <c r="K16" s="274"/>
      <c r="L16" s="186"/>
      <c r="M16" s="155"/>
      <c r="N16" s="187"/>
      <c r="O16" s="186"/>
      <c r="P16" s="187"/>
      <c r="Q16" s="274"/>
    </row>
    <row r="17" spans="1:17" ht="15" thickBot="1" x14ac:dyDescent="0.35">
      <c r="A17" s="17">
        <v>1</v>
      </c>
      <c r="B17" s="251">
        <f t="shared" ref="B17:C18" si="9">C17/1.3</f>
        <v>29.585798816568044</v>
      </c>
      <c r="C17" s="252">
        <f t="shared" si="9"/>
        <v>38.46153846153846</v>
      </c>
      <c r="D17" s="253">
        <v>50</v>
      </c>
      <c r="E17" s="254">
        <f t="shared" ref="E17:G17" si="10">D17*1.3</f>
        <v>65</v>
      </c>
      <c r="F17" s="254">
        <f t="shared" si="10"/>
        <v>84.5</v>
      </c>
      <c r="G17" s="254">
        <f t="shared" si="10"/>
        <v>109.85000000000001</v>
      </c>
      <c r="H17" s="145" t="s">
        <v>10</v>
      </c>
      <c r="I17" s="36" t="s">
        <v>9</v>
      </c>
      <c r="J17" s="37" t="s">
        <v>6</v>
      </c>
      <c r="K17" s="281">
        <f>L17/1.35</f>
        <v>762819.2592592591</v>
      </c>
      <c r="L17" s="282">
        <f>51490300/60*1.2</f>
        <v>1029805.9999999999</v>
      </c>
      <c r="M17" s="283">
        <f>L17*1.4</f>
        <v>1441728.3999999997</v>
      </c>
      <c r="N17" s="284">
        <f>M17*1.45</f>
        <v>2090506.1799999995</v>
      </c>
      <c r="O17" s="282">
        <f>Q17*1.5</f>
        <v>4546850.9414999988</v>
      </c>
      <c r="P17" s="284">
        <f>O17*1.55</f>
        <v>7047618.9593249988</v>
      </c>
      <c r="Q17" s="281">
        <f>N17*1.45</f>
        <v>3031233.9609999992</v>
      </c>
    </row>
    <row r="18" spans="1:17" x14ac:dyDescent="0.3">
      <c r="A18" s="17">
        <v>1</v>
      </c>
      <c r="B18" s="220">
        <f t="shared" si="9"/>
        <v>2.9585798816568049E-2</v>
      </c>
      <c r="C18" s="227">
        <f>D18/1.3</f>
        <v>3.8461538461538464E-2</v>
      </c>
      <c r="D18" s="237">
        <v>0.05</v>
      </c>
      <c r="E18" s="58">
        <f>D18*1.3</f>
        <v>6.5000000000000002E-2</v>
      </c>
      <c r="F18" s="58">
        <f>E18*1.3</f>
        <v>8.4500000000000006E-2</v>
      </c>
      <c r="G18" s="58">
        <f>F18*1.3</f>
        <v>0.10985000000000002</v>
      </c>
      <c r="H18" s="146" t="s">
        <v>51</v>
      </c>
      <c r="I18" s="36" t="s">
        <v>11</v>
      </c>
      <c r="J18" s="37" t="s">
        <v>6</v>
      </c>
      <c r="K18" s="285">
        <f>K17/50000</f>
        <v>15.256385185185183</v>
      </c>
      <c r="L18" s="286">
        <f>L17/37500</f>
        <v>27.46149333333333</v>
      </c>
      <c r="M18" s="287">
        <f>M17/37500</f>
        <v>38.446090666666656</v>
      </c>
      <c r="N18" s="288">
        <f>N17/37500</f>
        <v>55.746831466666656</v>
      </c>
      <c r="O18" s="286">
        <f>O17/25000</f>
        <v>181.87403765999994</v>
      </c>
      <c r="P18" s="288">
        <f>P17/25000</f>
        <v>281.90475837299994</v>
      </c>
      <c r="Q18" s="285">
        <f>Q17/37500</f>
        <v>80.832905626666644</v>
      </c>
    </row>
    <row r="19" spans="1:17" ht="15" thickBot="1" x14ac:dyDescent="0.35">
      <c r="A19" s="17">
        <v>1</v>
      </c>
      <c r="B19" s="186"/>
      <c r="C19" s="155"/>
      <c r="D19" s="186"/>
      <c r="E19" s="155"/>
      <c r="F19" s="155"/>
      <c r="G19" s="155"/>
      <c r="H19" s="12"/>
      <c r="I19" s="12"/>
      <c r="J19" s="12"/>
      <c r="K19" s="274"/>
      <c r="L19" s="186"/>
      <c r="M19" s="155"/>
      <c r="N19" s="187"/>
      <c r="O19" s="186"/>
      <c r="P19" s="187"/>
      <c r="Q19" s="274"/>
    </row>
    <row r="20" spans="1:17" ht="15" thickBot="1" x14ac:dyDescent="0.35">
      <c r="A20" s="17">
        <v>1</v>
      </c>
      <c r="B20" s="251">
        <f t="shared" ref="B20:C21" si="11">C20/1.3</f>
        <v>29.585798816568044</v>
      </c>
      <c r="C20" s="252">
        <f t="shared" si="11"/>
        <v>38.46153846153846</v>
      </c>
      <c r="D20" s="253">
        <v>50</v>
      </c>
      <c r="E20" s="254">
        <f t="shared" ref="E20:G20" si="12">D20*1.3</f>
        <v>65</v>
      </c>
      <c r="F20" s="254">
        <f t="shared" si="12"/>
        <v>84.5</v>
      </c>
      <c r="G20" s="254">
        <f t="shared" si="12"/>
        <v>109.85000000000001</v>
      </c>
      <c r="H20" s="145" t="s">
        <v>10</v>
      </c>
      <c r="I20" s="36" t="s">
        <v>9</v>
      </c>
      <c r="J20" s="37" t="s">
        <v>6</v>
      </c>
      <c r="K20" s="281">
        <f>L20/1.35</f>
        <v>762819.2592592591</v>
      </c>
      <c r="L20" s="282">
        <f>51490300/60*1.2</f>
        <v>1029805.9999999999</v>
      </c>
      <c r="M20" s="283">
        <f>L20*1.4</f>
        <v>1441728.3999999997</v>
      </c>
      <c r="N20" s="284">
        <f>M20*1.45</f>
        <v>2090506.1799999995</v>
      </c>
      <c r="O20" s="282">
        <f>Q20*1.5</f>
        <v>4546850.9414999988</v>
      </c>
      <c r="P20" s="284">
        <f>O20*1.55</f>
        <v>7047618.9593249988</v>
      </c>
      <c r="Q20" s="281">
        <f>N20*1.45</f>
        <v>3031233.9609999992</v>
      </c>
    </row>
    <row r="21" spans="1:17" x14ac:dyDescent="0.3">
      <c r="A21" s="17">
        <v>1</v>
      </c>
      <c r="B21" s="220">
        <f t="shared" si="11"/>
        <v>2.9585798816568049E-2</v>
      </c>
      <c r="C21" s="227">
        <f>D21/1.3</f>
        <v>3.8461538461538464E-2</v>
      </c>
      <c r="D21" s="237">
        <v>0.05</v>
      </c>
      <c r="E21" s="58">
        <f>D21*1.3</f>
        <v>6.5000000000000002E-2</v>
      </c>
      <c r="F21" s="58">
        <f>E21*1.3</f>
        <v>8.4500000000000006E-2</v>
      </c>
      <c r="G21" s="58">
        <f>F21*1.3</f>
        <v>0.10985000000000002</v>
      </c>
      <c r="H21" s="146" t="s">
        <v>57</v>
      </c>
      <c r="I21" s="36" t="s">
        <v>11</v>
      </c>
      <c r="J21" s="37" t="s">
        <v>6</v>
      </c>
      <c r="K21" s="285">
        <f>K20/50000</f>
        <v>15.256385185185183</v>
      </c>
      <c r="L21" s="286">
        <f>L20/37500</f>
        <v>27.46149333333333</v>
      </c>
      <c r="M21" s="287">
        <f>M20/37500</f>
        <v>38.446090666666656</v>
      </c>
      <c r="N21" s="288">
        <f>N20/37500</f>
        <v>55.746831466666656</v>
      </c>
      <c r="O21" s="286">
        <f>O20/25000</f>
        <v>181.87403765999994</v>
      </c>
      <c r="P21" s="288">
        <f>P20/25000</f>
        <v>281.90475837299994</v>
      </c>
      <c r="Q21" s="285">
        <f>Q20/37500</f>
        <v>80.832905626666644</v>
      </c>
    </row>
    <row r="22" spans="1:17" ht="15" thickBot="1" x14ac:dyDescent="0.35">
      <c r="A22" s="148">
        <v>2</v>
      </c>
      <c r="B22" s="188"/>
      <c r="C22" s="4"/>
      <c r="D22" s="188"/>
      <c r="E22" s="4"/>
      <c r="F22" s="4"/>
      <c r="G22" s="4"/>
      <c r="H22" s="146"/>
      <c r="I22" s="6"/>
      <c r="J22" s="6"/>
      <c r="K22" s="276"/>
      <c r="L22" s="188"/>
      <c r="M22" s="4"/>
      <c r="N22" s="189"/>
      <c r="O22" s="188"/>
      <c r="P22" s="189"/>
      <c r="Q22" s="189"/>
    </row>
    <row r="23" spans="1:17" ht="15" thickBot="1" x14ac:dyDescent="0.35">
      <c r="A23" s="18">
        <v>2</v>
      </c>
      <c r="B23" s="251">
        <f t="shared" ref="B23:C23" si="13">C23/1.3</f>
        <v>29.585798816568044</v>
      </c>
      <c r="C23" s="252">
        <f t="shared" si="13"/>
        <v>38.46153846153846</v>
      </c>
      <c r="D23" s="253">
        <v>50</v>
      </c>
      <c r="E23" s="254">
        <f t="shared" ref="E23:G23" si="14">D23*1.3</f>
        <v>65</v>
      </c>
      <c r="F23" s="254">
        <f t="shared" si="14"/>
        <v>84.5</v>
      </c>
      <c r="G23" s="254">
        <f t="shared" si="14"/>
        <v>109.85000000000001</v>
      </c>
      <c r="H23" s="145" t="s">
        <v>12</v>
      </c>
      <c r="I23" s="36" t="s">
        <v>13</v>
      </c>
      <c r="J23" s="37" t="s">
        <v>6</v>
      </c>
      <c r="K23" s="337">
        <f>L23/1.35</f>
        <v>308940.88888888888</v>
      </c>
      <c r="L23" s="338">
        <f>3475585/10*1.2</f>
        <v>417070.2</v>
      </c>
      <c r="M23" s="290">
        <f>L23*1.4</f>
        <v>583898.28</v>
      </c>
      <c r="N23" s="291">
        <f>M23*1.45</f>
        <v>846652.50600000005</v>
      </c>
      <c r="O23" s="289">
        <f>Q23*1.5</f>
        <v>1841469.2005500002</v>
      </c>
      <c r="P23" s="291">
        <f>O23*1.55</f>
        <v>2854277.2608525003</v>
      </c>
      <c r="Q23" s="292">
        <f>N23*1.45</f>
        <v>1227646.1337000001</v>
      </c>
    </row>
    <row r="24" spans="1:17" x14ac:dyDescent="0.3">
      <c r="A24" s="14">
        <v>2</v>
      </c>
      <c r="B24" s="220">
        <f>C24/1.3</f>
        <v>0.29585798816568043</v>
      </c>
      <c r="C24" s="227">
        <f>D24/1.3</f>
        <v>0.38461538461538458</v>
      </c>
      <c r="D24" s="237">
        <v>0.5</v>
      </c>
      <c r="E24" s="58">
        <f>D24*1.3</f>
        <v>0.65</v>
      </c>
      <c r="F24" s="58">
        <f>E24*1.3</f>
        <v>0.84500000000000008</v>
      </c>
      <c r="G24" s="58">
        <f>F24*1.3</f>
        <v>1.0985000000000003</v>
      </c>
      <c r="H24" s="146" t="s">
        <v>58</v>
      </c>
      <c r="I24" s="36" t="s">
        <v>14</v>
      </c>
      <c r="J24" s="37" t="s">
        <v>6</v>
      </c>
      <c r="K24" s="339">
        <f>K23/10000</f>
        <v>30.894088888888888</v>
      </c>
      <c r="L24" s="340">
        <f>L23/7500</f>
        <v>55.609360000000002</v>
      </c>
      <c r="M24" s="294">
        <f>M23/7500</f>
        <v>77.853104000000002</v>
      </c>
      <c r="N24" s="295">
        <f>N23/7500</f>
        <v>112.88700080000001</v>
      </c>
      <c r="O24" s="293">
        <f>O23/5000</f>
        <v>368.29384011000002</v>
      </c>
      <c r="P24" s="295">
        <f>P23/5000</f>
        <v>570.85545217050003</v>
      </c>
      <c r="Q24" s="296">
        <f>Q23/7500</f>
        <v>163.68615116000001</v>
      </c>
    </row>
    <row r="25" spans="1:17" ht="15" thickBot="1" x14ac:dyDescent="0.35">
      <c r="A25" s="148">
        <v>2</v>
      </c>
      <c r="B25" s="188"/>
      <c r="C25" s="4"/>
      <c r="D25" s="188"/>
      <c r="E25" s="4"/>
      <c r="F25" s="4"/>
      <c r="G25" s="4"/>
      <c r="H25" s="146"/>
      <c r="I25" s="6"/>
      <c r="J25" s="6"/>
      <c r="K25" s="276"/>
      <c r="L25" s="188"/>
      <c r="M25" s="4"/>
      <c r="N25" s="189"/>
      <c r="O25" s="188"/>
      <c r="P25" s="189"/>
      <c r="Q25" s="189"/>
    </row>
    <row r="26" spans="1:17" ht="15" thickBot="1" x14ac:dyDescent="0.35">
      <c r="A26" s="18">
        <v>2</v>
      </c>
      <c r="B26" s="251">
        <f t="shared" ref="B26:C26" si="15">C26/1.3</f>
        <v>29.585798816568044</v>
      </c>
      <c r="C26" s="252">
        <f t="shared" si="15"/>
        <v>38.46153846153846</v>
      </c>
      <c r="D26" s="253">
        <v>50</v>
      </c>
      <c r="E26" s="254">
        <f t="shared" ref="E26:G26" si="16">D26*1.3</f>
        <v>65</v>
      </c>
      <c r="F26" s="254">
        <f t="shared" si="16"/>
        <v>84.5</v>
      </c>
      <c r="G26" s="254">
        <f t="shared" si="16"/>
        <v>109.85000000000001</v>
      </c>
      <c r="H26" s="145" t="s">
        <v>12</v>
      </c>
      <c r="I26" s="36" t="s">
        <v>13</v>
      </c>
      <c r="J26" s="37" t="s">
        <v>6</v>
      </c>
      <c r="K26" s="337">
        <f>L26/1.35</f>
        <v>91538.222222222204</v>
      </c>
      <c r="L26" s="338">
        <f>205961/2*1.2</f>
        <v>123576.59999999999</v>
      </c>
      <c r="M26" s="290">
        <f>L26*1.4</f>
        <v>173007.24</v>
      </c>
      <c r="N26" s="291">
        <f>M26*1.45</f>
        <v>250860.49799999999</v>
      </c>
      <c r="O26" s="289">
        <f>Q26*1.5</f>
        <v>545621.58314999996</v>
      </c>
      <c r="P26" s="291">
        <f>O26*1.55</f>
        <v>845713.45388249995</v>
      </c>
      <c r="Q26" s="292">
        <f>N26*1.45</f>
        <v>363747.72209999996</v>
      </c>
    </row>
    <row r="27" spans="1:17" x14ac:dyDescent="0.3">
      <c r="A27" s="14">
        <v>2</v>
      </c>
      <c r="B27" s="220">
        <f>C27/1.3</f>
        <v>0.29585798816568043</v>
      </c>
      <c r="C27" s="227">
        <f>D27/1.3</f>
        <v>0.38461538461538458</v>
      </c>
      <c r="D27" s="237">
        <v>0.5</v>
      </c>
      <c r="E27" s="58">
        <f>D27*1.3</f>
        <v>0.65</v>
      </c>
      <c r="F27" s="58">
        <f>E27*1.3</f>
        <v>0.84500000000000008</v>
      </c>
      <c r="G27" s="58">
        <f>F27*1.3</f>
        <v>1.0985000000000003</v>
      </c>
      <c r="H27" s="146" t="s">
        <v>56</v>
      </c>
      <c r="I27" s="36" t="s">
        <v>14</v>
      </c>
      <c r="J27" s="37" t="s">
        <v>6</v>
      </c>
      <c r="K27" s="339">
        <f>K26/10000</f>
        <v>9.153822222222221</v>
      </c>
      <c r="L27" s="340">
        <f>L26/7500</f>
        <v>16.476879999999998</v>
      </c>
      <c r="M27" s="294">
        <f>M26/7500</f>
        <v>23.067632</v>
      </c>
      <c r="N27" s="295">
        <f>N26/7500</f>
        <v>33.448066400000002</v>
      </c>
      <c r="O27" s="293">
        <f>O26/5000</f>
        <v>109.12431663</v>
      </c>
      <c r="P27" s="295">
        <f>P26/5000</f>
        <v>169.14269077649999</v>
      </c>
      <c r="Q27" s="296">
        <f>Q26/7500</f>
        <v>48.499696279999995</v>
      </c>
    </row>
    <row r="28" spans="1:17" ht="15" thickBot="1" x14ac:dyDescent="0.35">
      <c r="A28" s="148">
        <v>2</v>
      </c>
      <c r="B28" s="188"/>
      <c r="C28" s="4"/>
      <c r="D28" s="188"/>
      <c r="E28" s="4"/>
      <c r="F28" s="4"/>
      <c r="G28" s="4"/>
      <c r="H28" s="146"/>
      <c r="I28" s="6"/>
      <c r="J28" s="6"/>
      <c r="K28" s="276"/>
      <c r="L28" s="188"/>
      <c r="M28" s="4"/>
      <c r="N28" s="189"/>
      <c r="O28" s="188"/>
      <c r="P28" s="189"/>
      <c r="Q28" s="189"/>
    </row>
    <row r="29" spans="1:17" ht="15" thickBot="1" x14ac:dyDescent="0.35">
      <c r="A29" s="18">
        <v>2</v>
      </c>
      <c r="B29" s="251">
        <f t="shared" ref="B29:C29" si="17">C29/1.3</f>
        <v>29.585798816568044</v>
      </c>
      <c r="C29" s="252">
        <f t="shared" si="17"/>
        <v>38.46153846153846</v>
      </c>
      <c r="D29" s="253">
        <v>50</v>
      </c>
      <c r="E29" s="254">
        <f t="shared" ref="E29:G29" si="18">D29*1.3</f>
        <v>65</v>
      </c>
      <c r="F29" s="254">
        <f t="shared" si="18"/>
        <v>84.5</v>
      </c>
      <c r="G29" s="254">
        <f t="shared" si="18"/>
        <v>109.85000000000001</v>
      </c>
      <c r="H29" s="145" t="s">
        <v>12</v>
      </c>
      <c r="I29" s="36" t="s">
        <v>13</v>
      </c>
      <c r="J29" s="37" t="s">
        <v>6</v>
      </c>
      <c r="K29" s="337">
        <f>L29/1.35</f>
        <v>457691.46666666662</v>
      </c>
      <c r="L29" s="338">
        <f>5149029/10*1.2</f>
        <v>617883.48</v>
      </c>
      <c r="M29" s="290">
        <f>L29*1.4</f>
        <v>865036.87199999997</v>
      </c>
      <c r="N29" s="291">
        <f>M29*1.45</f>
        <v>1254303.4643999999</v>
      </c>
      <c r="O29" s="289">
        <f>Q29*1.5</f>
        <v>2728110.0350699998</v>
      </c>
      <c r="P29" s="291">
        <f>O29*1.55</f>
        <v>4228570.5543585001</v>
      </c>
      <c r="Q29" s="292">
        <f>N29*1.45</f>
        <v>1818740.0233799999</v>
      </c>
    </row>
    <row r="30" spans="1:17" x14ac:dyDescent="0.3">
      <c r="A30" s="14">
        <v>2</v>
      </c>
      <c r="B30" s="220">
        <f>C30/1.3</f>
        <v>0.29585798816568043</v>
      </c>
      <c r="C30" s="227">
        <f>D30/1.3</f>
        <v>0.38461538461538458</v>
      </c>
      <c r="D30" s="237">
        <v>0.5</v>
      </c>
      <c r="E30" s="58">
        <f>D30*1.3</f>
        <v>0.65</v>
      </c>
      <c r="F30" s="58">
        <f>E30*1.3</f>
        <v>0.84500000000000008</v>
      </c>
      <c r="G30" s="58">
        <f>F30*1.3</f>
        <v>1.0985000000000003</v>
      </c>
      <c r="H30" s="146" t="s">
        <v>50</v>
      </c>
      <c r="I30" s="36" t="s">
        <v>14</v>
      </c>
      <c r="J30" s="37" t="s">
        <v>6</v>
      </c>
      <c r="K30" s="339">
        <f>K29/10000</f>
        <v>45.769146666666664</v>
      </c>
      <c r="L30" s="340">
        <f>L29/7500</f>
        <v>82.384463999999994</v>
      </c>
      <c r="M30" s="294">
        <f>M29/7500</f>
        <v>115.3382496</v>
      </c>
      <c r="N30" s="295">
        <f>N29/7500</f>
        <v>167.24046192</v>
      </c>
      <c r="O30" s="293">
        <f>O29/5000</f>
        <v>545.62200701399991</v>
      </c>
      <c r="P30" s="295">
        <f>P29/5000</f>
        <v>845.71411087169997</v>
      </c>
      <c r="Q30" s="296">
        <f>Q29/7500</f>
        <v>242.49866978399999</v>
      </c>
    </row>
    <row r="31" spans="1:17" ht="15" thickBot="1" x14ac:dyDescent="0.35">
      <c r="A31" s="148">
        <v>2</v>
      </c>
      <c r="B31" s="188"/>
      <c r="C31" s="4"/>
      <c r="D31" s="188"/>
      <c r="E31" s="4"/>
      <c r="F31" s="4"/>
      <c r="G31" s="4"/>
      <c r="H31" s="146"/>
      <c r="I31" s="6"/>
      <c r="J31" s="6"/>
      <c r="K31" s="276"/>
      <c r="L31" s="188"/>
      <c r="M31" s="4"/>
      <c r="N31" s="189"/>
      <c r="O31" s="188"/>
      <c r="P31" s="189"/>
      <c r="Q31" s="189"/>
    </row>
    <row r="32" spans="1:17" ht="15" thickBot="1" x14ac:dyDescent="0.35">
      <c r="A32" s="18">
        <v>2</v>
      </c>
      <c r="B32" s="251">
        <f t="shared" ref="B32:C32" si="19">C32/1.3</f>
        <v>29.585798816568044</v>
      </c>
      <c r="C32" s="252">
        <f t="shared" si="19"/>
        <v>38.46153846153846</v>
      </c>
      <c r="D32" s="253">
        <v>50</v>
      </c>
      <c r="E32" s="254">
        <f t="shared" ref="E32:G32" si="20">D32*1.3</f>
        <v>65</v>
      </c>
      <c r="F32" s="254">
        <f t="shared" si="20"/>
        <v>84.5</v>
      </c>
      <c r="G32" s="254">
        <f t="shared" si="20"/>
        <v>109.85000000000001</v>
      </c>
      <c r="H32" s="145" t="s">
        <v>12</v>
      </c>
      <c r="I32" s="36" t="s">
        <v>13</v>
      </c>
      <c r="J32" s="37" t="s">
        <v>6</v>
      </c>
      <c r="K32" s="337">
        <f>L32/1.35</f>
        <v>762819.2592592591</v>
      </c>
      <c r="L32" s="338">
        <f>51490300/60*1.2</f>
        <v>1029805.9999999999</v>
      </c>
      <c r="M32" s="290">
        <f>L32*1.4</f>
        <v>1441728.3999999997</v>
      </c>
      <c r="N32" s="291">
        <f>M32*1.45</f>
        <v>2090506.1799999995</v>
      </c>
      <c r="O32" s="289">
        <f>Q32*1.5</f>
        <v>4546850.9414999988</v>
      </c>
      <c r="P32" s="291">
        <f>O32*1.55</f>
        <v>7047618.9593249988</v>
      </c>
      <c r="Q32" s="292">
        <f>N32*1.45</f>
        <v>3031233.9609999992</v>
      </c>
    </row>
    <row r="33" spans="1:17" x14ac:dyDescent="0.3">
      <c r="A33" s="14">
        <v>2</v>
      </c>
      <c r="B33" s="220">
        <f>C33/1.3</f>
        <v>0.29585798816568043</v>
      </c>
      <c r="C33" s="227">
        <f>D33/1.3</f>
        <v>0.38461538461538458</v>
      </c>
      <c r="D33" s="237">
        <v>0.5</v>
      </c>
      <c r="E33" s="58">
        <f>D33*1.3</f>
        <v>0.65</v>
      </c>
      <c r="F33" s="58">
        <f>E33*1.3</f>
        <v>0.84500000000000008</v>
      </c>
      <c r="G33" s="58">
        <f>F33*1.3</f>
        <v>1.0985000000000003</v>
      </c>
      <c r="H33" s="146" t="s">
        <v>51</v>
      </c>
      <c r="I33" s="36" t="s">
        <v>14</v>
      </c>
      <c r="J33" s="37" t="s">
        <v>6</v>
      </c>
      <c r="K33" s="339">
        <f>K32/10000</f>
        <v>76.281925925925904</v>
      </c>
      <c r="L33" s="340">
        <f>L32/7500</f>
        <v>137.30746666666664</v>
      </c>
      <c r="M33" s="294">
        <f>M32/7500</f>
        <v>192.23045333333329</v>
      </c>
      <c r="N33" s="295">
        <f>N32/7500</f>
        <v>278.73415733333326</v>
      </c>
      <c r="O33" s="293">
        <f>O32/5000</f>
        <v>909.37018829999977</v>
      </c>
      <c r="P33" s="295">
        <f>P32/5000</f>
        <v>1409.5237918649998</v>
      </c>
      <c r="Q33" s="296">
        <f>Q32/7500</f>
        <v>404.16452813333325</v>
      </c>
    </row>
    <row r="34" spans="1:17" ht="15" thickBot="1" x14ac:dyDescent="0.35">
      <c r="A34" s="148">
        <v>2</v>
      </c>
      <c r="B34" s="188"/>
      <c r="C34" s="4"/>
      <c r="D34" s="188"/>
      <c r="E34" s="4"/>
      <c r="F34" s="4"/>
      <c r="G34" s="4"/>
      <c r="H34" s="146"/>
      <c r="I34" s="6"/>
      <c r="J34" s="6"/>
      <c r="K34" s="276"/>
      <c r="L34" s="188"/>
      <c r="M34" s="4"/>
      <c r="N34" s="189"/>
      <c r="O34" s="188"/>
      <c r="P34" s="189"/>
      <c r="Q34" s="189"/>
    </row>
    <row r="35" spans="1:17" ht="15" thickBot="1" x14ac:dyDescent="0.35">
      <c r="A35" s="18">
        <v>2</v>
      </c>
      <c r="B35" s="251">
        <f t="shared" ref="B35:C35" si="21">C35/1.3</f>
        <v>29.585798816568044</v>
      </c>
      <c r="C35" s="252">
        <f t="shared" si="21"/>
        <v>38.46153846153846</v>
      </c>
      <c r="D35" s="253">
        <v>50</v>
      </c>
      <c r="E35" s="254">
        <f t="shared" ref="E35:G35" si="22">D35*1.3</f>
        <v>65</v>
      </c>
      <c r="F35" s="254">
        <f t="shared" si="22"/>
        <v>84.5</v>
      </c>
      <c r="G35" s="254">
        <f t="shared" si="22"/>
        <v>109.85000000000001</v>
      </c>
      <c r="H35" s="145" t="s">
        <v>12</v>
      </c>
      <c r="I35" s="36" t="s">
        <v>13</v>
      </c>
      <c r="J35" s="37" t="s">
        <v>6</v>
      </c>
      <c r="K35" s="337">
        <f>L35/1.35</f>
        <v>762819.2592592591</v>
      </c>
      <c r="L35" s="338">
        <f>51490300/60*1.2</f>
        <v>1029805.9999999999</v>
      </c>
      <c r="M35" s="290">
        <f>L35*1.4</f>
        <v>1441728.3999999997</v>
      </c>
      <c r="N35" s="291">
        <f>M35*1.45</f>
        <v>2090506.1799999995</v>
      </c>
      <c r="O35" s="289">
        <f>Q35*1.5</f>
        <v>4546850.9414999988</v>
      </c>
      <c r="P35" s="291">
        <f>O35*1.55</f>
        <v>7047618.9593249988</v>
      </c>
      <c r="Q35" s="292">
        <f>N35*1.45</f>
        <v>3031233.9609999992</v>
      </c>
    </row>
    <row r="36" spans="1:17" x14ac:dyDescent="0.3">
      <c r="A36" s="14">
        <v>2</v>
      </c>
      <c r="B36" s="220">
        <f>C36/1.3</f>
        <v>0.29585798816568043</v>
      </c>
      <c r="C36" s="227">
        <f>D36/1.3</f>
        <v>0.38461538461538458</v>
      </c>
      <c r="D36" s="237">
        <v>0.5</v>
      </c>
      <c r="E36" s="58">
        <f>D36*1.3</f>
        <v>0.65</v>
      </c>
      <c r="F36" s="58">
        <f>E36*1.3</f>
        <v>0.84500000000000008</v>
      </c>
      <c r="G36" s="58">
        <f>F36*1.3</f>
        <v>1.0985000000000003</v>
      </c>
      <c r="H36" s="146" t="s">
        <v>57</v>
      </c>
      <c r="I36" s="36" t="s">
        <v>14</v>
      </c>
      <c r="J36" s="37" t="s">
        <v>6</v>
      </c>
      <c r="K36" s="339">
        <f>K35/10000</f>
        <v>76.281925925925904</v>
      </c>
      <c r="L36" s="340">
        <f>L35/7500</f>
        <v>137.30746666666664</v>
      </c>
      <c r="M36" s="294">
        <f>M35/7500</f>
        <v>192.23045333333329</v>
      </c>
      <c r="N36" s="295">
        <f>N35/7500</f>
        <v>278.73415733333326</v>
      </c>
      <c r="O36" s="293">
        <f>O35/5000</f>
        <v>909.37018829999977</v>
      </c>
      <c r="P36" s="295">
        <f>P35/5000</f>
        <v>1409.5237918649998</v>
      </c>
      <c r="Q36" s="296">
        <f>Q35/7500</f>
        <v>404.16452813333325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Utilities</vt:lpstr>
      <vt:lpstr>Regenning</vt:lpstr>
      <vt:lpstr>Resilient</vt:lpstr>
      <vt:lpstr>Gigas</vt:lpstr>
      <vt:lpstr>Gigas - Regen</vt:lpstr>
      <vt:lpstr>Gigas - Resilient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2015-06-05T18:17:20Z</dcterms:created>
  <dcterms:modified xsi:type="dcterms:W3CDTF">2021-02-18T19:44:53Z</dcterms:modified>
</cp:coreProperties>
</file>