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Задание 1" sheetId="5" r:id="rId1"/>
    <sheet name="Задание 2" sheetId="6" r:id="rId2"/>
    <sheet name="Задание 3" sheetId="7" r:id="rId3"/>
    <sheet name="Задание 4" sheetId="8" r:id="rId4"/>
    <sheet name="Задание 5" sheetId="9" r:id="rId5"/>
    <sheet name="Ответы на вопросы" sheetId="4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5" l="1"/>
  <c r="D16" i="5"/>
  <c r="C26" i="5" s="1"/>
  <c r="D26" i="5" s="1"/>
  <c r="C40" i="6"/>
  <c r="G23" i="5"/>
  <c r="F20" i="5"/>
  <c r="I23" i="5"/>
  <c r="I17" i="5"/>
  <c r="M22" i="5"/>
  <c r="M23" i="5"/>
  <c r="M21" i="5"/>
  <c r="L22" i="5"/>
  <c r="L23" i="5"/>
  <c r="L21" i="5"/>
  <c r="M24" i="5" s="1"/>
  <c r="M25" i="5" s="1"/>
  <c r="F16" i="5"/>
  <c r="D12" i="5"/>
  <c r="D13" i="5"/>
  <c r="D11" i="5"/>
  <c r="C14" i="5"/>
  <c r="I27" i="5"/>
  <c r="J39" i="8"/>
  <c r="J39" i="7"/>
  <c r="I49" i="6"/>
  <c r="C21" i="5" l="1"/>
  <c r="C28" i="5" s="1"/>
  <c r="C20" i="5"/>
  <c r="C27" i="5" s="1"/>
  <c r="D27" i="5" s="1"/>
  <c r="E27" i="5" s="1"/>
  <c r="F27" i="5" s="1"/>
  <c r="E26" i="5"/>
  <c r="F26" i="5" s="1"/>
  <c r="D28" i="5"/>
  <c r="E28" i="5" s="1"/>
  <c r="F28" i="5" s="1"/>
  <c r="F29" i="5" l="1"/>
  <c r="M67" i="9" l="1"/>
  <c r="M68" i="9"/>
  <c r="M69" i="9"/>
  <c r="M70" i="9"/>
  <c r="M71" i="9"/>
  <c r="M72" i="9"/>
  <c r="M73" i="9"/>
  <c r="M66" i="9"/>
  <c r="U67" i="9"/>
  <c r="U68" i="9"/>
  <c r="U69" i="9"/>
  <c r="U70" i="9"/>
  <c r="U71" i="9"/>
  <c r="L71" i="9" s="1"/>
  <c r="U72" i="9"/>
  <c r="L72" i="9" s="1"/>
  <c r="U66" i="9"/>
  <c r="L66" i="9" s="1"/>
  <c r="T67" i="9"/>
  <c r="T68" i="9"/>
  <c r="T69" i="9"/>
  <c r="T70" i="9"/>
  <c r="T71" i="9"/>
  <c r="T72" i="9"/>
  <c r="N72" i="9" s="1"/>
  <c r="T73" i="9"/>
  <c r="R67" i="9"/>
  <c r="R68" i="9"/>
  <c r="R69" i="9"/>
  <c r="R70" i="9"/>
  <c r="R71" i="9"/>
  <c r="R72" i="9"/>
  <c r="R73" i="9"/>
  <c r="R66" i="9"/>
  <c r="T66" i="9"/>
  <c r="L70" i="9"/>
  <c r="L73" i="9"/>
  <c r="L69" i="9"/>
  <c r="L68" i="9"/>
  <c r="L67" i="9"/>
  <c r="P76" i="9"/>
  <c r="N66" i="9"/>
  <c r="N69" i="9"/>
  <c r="E67" i="9"/>
  <c r="E66" i="9"/>
  <c r="E73" i="9"/>
  <c r="F66" i="9"/>
  <c r="I76" i="9"/>
  <c r="F67" i="9"/>
  <c r="G67" i="9" s="1"/>
  <c r="H67" i="9" s="1"/>
  <c r="D31" i="8"/>
  <c r="I29" i="9"/>
  <c r="F42" i="9"/>
  <c r="I40" i="9"/>
  <c r="I37" i="9"/>
  <c r="G30" i="9"/>
  <c r="G31" i="9"/>
  <c r="G32" i="9"/>
  <c r="G33" i="9"/>
  <c r="H33" i="9" s="1"/>
  <c r="I33" i="9" s="1"/>
  <c r="G34" i="9"/>
  <c r="G35" i="9"/>
  <c r="G36" i="9"/>
  <c r="G29" i="9"/>
  <c r="F30" i="9"/>
  <c r="F31" i="9"/>
  <c r="F32" i="9"/>
  <c r="F33" i="9"/>
  <c r="F34" i="9"/>
  <c r="F35" i="9"/>
  <c r="F36" i="9"/>
  <c r="F29" i="9"/>
  <c r="E30" i="9"/>
  <c r="E31" i="9"/>
  <c r="E32" i="9"/>
  <c r="E33" i="9"/>
  <c r="E34" i="9"/>
  <c r="E35" i="9"/>
  <c r="E36" i="9"/>
  <c r="E29" i="9"/>
  <c r="C31" i="7"/>
  <c r="H32" i="9"/>
  <c r="I32" i="9" s="1"/>
  <c r="H31" i="9"/>
  <c r="I31" i="9" s="1"/>
  <c r="H30" i="9"/>
  <c r="I30" i="9" s="1"/>
  <c r="M43" i="9"/>
  <c r="K43" i="9"/>
  <c r="K35" i="9"/>
  <c r="L37" i="9" s="1"/>
  <c r="K26" i="9"/>
  <c r="K30" i="9" s="1"/>
  <c r="O38" i="9"/>
  <c r="O37" i="9"/>
  <c r="O30" i="9"/>
  <c r="O31" i="9"/>
  <c r="O32" i="9"/>
  <c r="O33" i="9"/>
  <c r="O34" i="9"/>
  <c r="O35" i="9"/>
  <c r="O36" i="9"/>
  <c r="O29" i="9"/>
  <c r="N36" i="9"/>
  <c r="N30" i="9"/>
  <c r="N31" i="9"/>
  <c r="N32" i="9"/>
  <c r="N33" i="9"/>
  <c r="N34" i="9"/>
  <c r="N35" i="9"/>
  <c r="N29" i="9"/>
  <c r="K20" i="9"/>
  <c r="N20" i="9" s="1"/>
  <c r="F23" i="9"/>
  <c r="F17" i="9"/>
  <c r="F18" i="9"/>
  <c r="F19" i="9"/>
  <c r="F20" i="9"/>
  <c r="F21" i="9"/>
  <c r="F22" i="9"/>
  <c r="F16" i="9"/>
  <c r="G23" i="9"/>
  <c r="G22" i="9"/>
  <c r="I22" i="9" s="1"/>
  <c r="G21" i="9"/>
  <c r="G20" i="9"/>
  <c r="I20" i="9" s="1"/>
  <c r="G19" i="9"/>
  <c r="G18" i="9"/>
  <c r="G17" i="9"/>
  <c r="G16" i="9"/>
  <c r="I18" i="9"/>
  <c r="N71" i="9" l="1"/>
  <c r="O71" i="9" s="1"/>
  <c r="P71" i="9" s="1"/>
  <c r="N68" i="9"/>
  <c r="O68" i="9" s="1"/>
  <c r="P68" i="9" s="1"/>
  <c r="N70" i="9"/>
  <c r="O70" i="9" s="1"/>
  <c r="P70" i="9" s="1"/>
  <c r="N67" i="9"/>
  <c r="O67" i="9" s="1"/>
  <c r="P67" i="9" s="1"/>
  <c r="O72" i="9"/>
  <c r="P72" i="9" s="1"/>
  <c r="N73" i="9"/>
  <c r="O73" i="9" s="1"/>
  <c r="P73" i="9" s="1"/>
  <c r="O69" i="9"/>
  <c r="P69" i="9" s="1"/>
  <c r="O66" i="9"/>
  <c r="P66" i="9" s="1"/>
  <c r="E68" i="9"/>
  <c r="F68" i="9" s="1"/>
  <c r="G68" i="9"/>
  <c r="H68" i="9" s="1"/>
  <c r="G66" i="9"/>
  <c r="H66" i="9" s="1"/>
  <c r="E69" i="9"/>
  <c r="F69" i="9" s="1"/>
  <c r="H35" i="9"/>
  <c r="I35" i="9" s="1"/>
  <c r="H36" i="9"/>
  <c r="I36" i="9" s="1"/>
  <c r="H34" i="9"/>
  <c r="I34" i="9" s="1"/>
  <c r="H29" i="9"/>
  <c r="K48" i="9"/>
  <c r="I21" i="9"/>
  <c r="I23" i="9"/>
  <c r="I19" i="9"/>
  <c r="I17" i="9"/>
  <c r="G24" i="9"/>
  <c r="I16" i="9"/>
  <c r="P74" i="9" l="1"/>
  <c r="M78" i="9" s="1"/>
  <c r="E70" i="9"/>
  <c r="F70" i="9" s="1"/>
  <c r="G69" i="9"/>
  <c r="H69" i="9" s="1"/>
  <c r="H18" i="9"/>
  <c r="H22" i="9"/>
  <c r="H16" i="9"/>
  <c r="H19" i="9"/>
  <c r="H20" i="9"/>
  <c r="H21" i="9"/>
  <c r="H23" i="9"/>
  <c r="H17" i="9"/>
  <c r="G70" i="9" l="1"/>
  <c r="H70" i="9" s="1"/>
  <c r="E71" i="9"/>
  <c r="F71" i="9" s="1"/>
  <c r="H24" i="9"/>
  <c r="E72" i="9" l="1"/>
  <c r="F72" i="9" s="1"/>
  <c r="G71" i="9"/>
  <c r="H71" i="9" s="1"/>
  <c r="F73" i="9" l="1"/>
  <c r="G72" i="9"/>
  <c r="H72" i="9" s="1"/>
  <c r="G73" i="9" l="1"/>
  <c r="H73" i="9" s="1"/>
  <c r="H74" i="9" s="1"/>
  <c r="F78" i="9" s="1"/>
  <c r="E16" i="9" l="1"/>
  <c r="E17" i="9" s="1"/>
  <c r="E18" i="9" s="1"/>
  <c r="E19" i="9" s="1"/>
  <c r="E20" i="9" s="1"/>
  <c r="E21" i="9" s="1"/>
  <c r="E22" i="9" s="1"/>
  <c r="E23" i="9" s="1"/>
  <c r="E24" i="9" s="1"/>
  <c r="L12" i="9"/>
  <c r="J12" i="9"/>
  <c r="H12" i="9"/>
  <c r="F12" i="9"/>
  <c r="B108" i="9" l="1"/>
  <c r="D40" i="8"/>
  <c r="E40" i="8"/>
  <c r="F40" i="8" s="1"/>
  <c r="G40" i="8" s="1"/>
  <c r="D34" i="8"/>
  <c r="D35" i="8"/>
  <c r="D36" i="8"/>
  <c r="D37" i="8"/>
  <c r="D38" i="8"/>
  <c r="E38" i="8" s="1"/>
  <c r="F38" i="8" s="1"/>
  <c r="G38" i="8" s="1"/>
  <c r="D39" i="8"/>
  <c r="E39" i="8" s="1"/>
  <c r="F39" i="8" s="1"/>
  <c r="G39" i="8" s="1"/>
  <c r="D33" i="8"/>
  <c r="E33" i="8" s="1"/>
  <c r="F33" i="8" s="1"/>
  <c r="G33" i="8" s="1"/>
  <c r="D32" i="8"/>
  <c r="N37" i="8"/>
  <c r="P32" i="8"/>
  <c r="N32" i="8"/>
  <c r="E37" i="8"/>
  <c r="F37" i="8" s="1"/>
  <c r="G37" i="8" s="1"/>
  <c r="E36" i="8"/>
  <c r="F36" i="8" s="1"/>
  <c r="G36" i="8" s="1"/>
  <c r="E35" i="8"/>
  <c r="F35" i="8" s="1"/>
  <c r="G35" i="8" s="1"/>
  <c r="E34" i="8"/>
  <c r="F34" i="8" s="1"/>
  <c r="G34" i="8" s="1"/>
  <c r="E32" i="8"/>
  <c r="F32" i="8" s="1"/>
  <c r="G32" i="8" s="1"/>
  <c r="K18" i="8"/>
  <c r="P25" i="8" s="1"/>
  <c r="Q25" i="8" s="1"/>
  <c r="H7" i="8"/>
  <c r="G7" i="8"/>
  <c r="E8" i="8"/>
  <c r="E7" i="8"/>
  <c r="F25" i="8"/>
  <c r="F23" i="8"/>
  <c r="F21" i="8"/>
  <c r="F19" i="8"/>
  <c r="F17" i="8"/>
  <c r="F15" i="8"/>
  <c r="F13" i="8"/>
  <c r="F11" i="8"/>
  <c r="F9" i="8"/>
  <c r="E9" i="8"/>
  <c r="F7" i="8"/>
  <c r="F27" i="8" s="1"/>
  <c r="E7" i="7"/>
  <c r="L35" i="7"/>
  <c r="K33" i="7"/>
  <c r="K28" i="7"/>
  <c r="Q27" i="7"/>
  <c r="K24" i="7" s="1"/>
  <c r="Q26" i="7"/>
  <c r="Q17" i="7"/>
  <c r="Q18" i="7"/>
  <c r="Q19" i="7"/>
  <c r="Q20" i="7"/>
  <c r="Q21" i="7"/>
  <c r="Q22" i="7"/>
  <c r="Q23" i="7"/>
  <c r="Q24" i="7"/>
  <c r="Q25" i="7"/>
  <c r="Q16" i="7"/>
  <c r="P17" i="7"/>
  <c r="P18" i="7"/>
  <c r="P19" i="7"/>
  <c r="P20" i="7"/>
  <c r="P21" i="7"/>
  <c r="P22" i="7"/>
  <c r="P23" i="7"/>
  <c r="P24" i="7"/>
  <c r="P25" i="7"/>
  <c r="P16" i="7"/>
  <c r="G32" i="7"/>
  <c r="G33" i="7"/>
  <c r="G34" i="7"/>
  <c r="G35" i="7"/>
  <c r="G36" i="7"/>
  <c r="G37" i="7"/>
  <c r="G38" i="7"/>
  <c r="G39" i="7"/>
  <c r="G41" i="7" s="1"/>
  <c r="G40" i="7"/>
  <c r="G31" i="7"/>
  <c r="F32" i="7"/>
  <c r="F33" i="7"/>
  <c r="F34" i="7"/>
  <c r="F35" i="7"/>
  <c r="F36" i="7"/>
  <c r="F37" i="7"/>
  <c r="F38" i="7"/>
  <c r="F39" i="7"/>
  <c r="F40" i="7"/>
  <c r="F31" i="7"/>
  <c r="E32" i="7"/>
  <c r="E33" i="7"/>
  <c r="E34" i="7"/>
  <c r="E35" i="7"/>
  <c r="E36" i="7"/>
  <c r="E37" i="7"/>
  <c r="E38" i="7"/>
  <c r="E39" i="7"/>
  <c r="E40" i="7"/>
  <c r="E31" i="7"/>
  <c r="C40" i="7"/>
  <c r="D40" i="7" s="1"/>
  <c r="C39" i="7"/>
  <c r="D39" i="7" s="1"/>
  <c r="C38" i="7"/>
  <c r="D38" i="7" s="1"/>
  <c r="C37" i="7"/>
  <c r="D37" i="7" s="1"/>
  <c r="C36" i="7"/>
  <c r="D36" i="7" s="1"/>
  <c r="C35" i="7"/>
  <c r="D35" i="7" s="1"/>
  <c r="C34" i="7"/>
  <c r="D34" i="7" s="1"/>
  <c r="C33" i="7"/>
  <c r="C32" i="7"/>
  <c r="D32" i="7" s="1"/>
  <c r="D31" i="7"/>
  <c r="D33" i="7"/>
  <c r="N18" i="7"/>
  <c r="F27" i="7"/>
  <c r="K18" i="7" s="1"/>
  <c r="K24" i="6"/>
  <c r="C17" i="7"/>
  <c r="C20" i="7"/>
  <c r="C19" i="7"/>
  <c r="C18" i="7"/>
  <c r="C16" i="7"/>
  <c r="C15" i="7"/>
  <c r="E25" i="7"/>
  <c r="E23" i="7"/>
  <c r="E21" i="7"/>
  <c r="E19" i="7"/>
  <c r="E17" i="7"/>
  <c r="E15" i="7"/>
  <c r="E13" i="7"/>
  <c r="E11" i="7"/>
  <c r="E12" i="7" s="1"/>
  <c r="E9" i="7"/>
  <c r="H7" i="7"/>
  <c r="G9" i="7"/>
  <c r="H9" i="7" s="1"/>
  <c r="C12" i="7"/>
  <c r="G7" i="7"/>
  <c r="C11" i="7" s="1"/>
  <c r="F25" i="7"/>
  <c r="F23" i="7"/>
  <c r="F21" i="7"/>
  <c r="F19" i="7"/>
  <c r="F17" i="7"/>
  <c r="F15" i="7"/>
  <c r="B21" i="8"/>
  <c r="F13" i="7"/>
  <c r="F11" i="7"/>
  <c r="E10" i="7"/>
  <c r="F9" i="7"/>
  <c r="F7" i="7"/>
  <c r="E8" i="7"/>
  <c r="E31" i="8" l="1"/>
  <c r="F31" i="8" s="1"/>
  <c r="G31" i="8" s="1"/>
  <c r="G41" i="8" s="1"/>
  <c r="P18" i="8"/>
  <c r="Q18" i="8" s="1"/>
  <c r="P24" i="8"/>
  <c r="Q24" i="8" s="1"/>
  <c r="P16" i="8"/>
  <c r="Q16" i="8" s="1"/>
  <c r="P21" i="8"/>
  <c r="Q21" i="8" s="1"/>
  <c r="P20" i="8"/>
  <c r="Q20" i="8" s="1"/>
  <c r="P23" i="8"/>
  <c r="Q23" i="8" s="1"/>
  <c r="P19" i="8"/>
  <c r="Q19" i="8" s="1"/>
  <c r="P17" i="8"/>
  <c r="Q17" i="8" s="1"/>
  <c r="P22" i="8"/>
  <c r="Q22" i="8" s="1"/>
  <c r="N18" i="8"/>
  <c r="E10" i="8"/>
  <c r="E11" i="8" s="1"/>
  <c r="G9" i="8"/>
  <c r="C11" i="8"/>
  <c r="E14" i="7"/>
  <c r="E16" i="7" s="1"/>
  <c r="G11" i="7"/>
  <c r="G15" i="7"/>
  <c r="H15" i="7" s="1"/>
  <c r="Q26" i="8" l="1"/>
  <c r="Q27" i="8" s="1"/>
  <c r="K24" i="8" s="1"/>
  <c r="C12" i="8"/>
  <c r="H9" i="8"/>
  <c r="E12" i="8"/>
  <c r="E13" i="8" s="1"/>
  <c r="G11" i="8"/>
  <c r="G13" i="7"/>
  <c r="C13" i="7"/>
  <c r="H11" i="7"/>
  <c r="H13" i="7"/>
  <c r="C14" i="7"/>
  <c r="E18" i="7"/>
  <c r="K33" i="8" l="1"/>
  <c r="L35" i="8" s="1"/>
  <c r="K28" i="8"/>
  <c r="H11" i="8"/>
  <c r="C13" i="8"/>
  <c r="E14" i="8"/>
  <c r="E15" i="8" s="1"/>
  <c r="G13" i="8"/>
  <c r="G17" i="7"/>
  <c r="H17" i="7" s="1"/>
  <c r="E20" i="7"/>
  <c r="C14" i="8" l="1"/>
  <c r="H13" i="8"/>
  <c r="E16" i="8"/>
  <c r="E17" i="8" s="1"/>
  <c r="G15" i="8"/>
  <c r="E22" i="7"/>
  <c r="G19" i="7"/>
  <c r="H19" i="7" s="1"/>
  <c r="C15" i="8" l="1"/>
  <c r="H15" i="8"/>
  <c r="E18" i="8"/>
  <c r="E19" i="8" s="1"/>
  <c r="G17" i="8"/>
  <c r="G21" i="7"/>
  <c r="H21" i="7" s="1"/>
  <c r="E24" i="7"/>
  <c r="E20" i="8" l="1"/>
  <c r="E21" i="8" s="1"/>
  <c r="H17" i="8"/>
  <c r="C16" i="8"/>
  <c r="E26" i="7"/>
  <c r="G25" i="7" s="1"/>
  <c r="H25" i="7" s="1"/>
  <c r="G23" i="7"/>
  <c r="H23" i="7" s="1"/>
  <c r="E22" i="8" l="1"/>
  <c r="E23" i="8" s="1"/>
  <c r="G21" i="8"/>
  <c r="G19" i="8"/>
  <c r="C17" i="8" l="1"/>
  <c r="H19" i="8"/>
  <c r="H21" i="8"/>
  <c r="C18" i="8"/>
  <c r="E24" i="8"/>
  <c r="E25" i="8" s="1"/>
  <c r="G23" i="8" l="1"/>
  <c r="E26" i="8"/>
  <c r="G25" i="8" s="1"/>
  <c r="H25" i="8" l="1"/>
  <c r="C20" i="8"/>
  <c r="H23" i="8"/>
  <c r="C19" i="8"/>
  <c r="B21" i="7" l="1"/>
  <c r="K50" i="6"/>
  <c r="K49" i="6"/>
  <c r="K48" i="6"/>
  <c r="K47" i="6"/>
  <c r="K46" i="6"/>
  <c r="K45" i="6"/>
  <c r="K44" i="6"/>
  <c r="K43" i="6"/>
  <c r="K42" i="6"/>
  <c r="K41" i="6"/>
  <c r="K40" i="6"/>
  <c r="J37" i="6"/>
  <c r="K37" i="6"/>
  <c r="I37" i="6"/>
  <c r="C37" i="6"/>
  <c r="D37" i="6"/>
  <c r="E37" i="6"/>
  <c r="F37" i="6"/>
  <c r="G37" i="6"/>
  <c r="H37" i="6"/>
  <c r="B37" i="6"/>
  <c r="C41" i="6" l="1"/>
  <c r="C42" i="6"/>
  <c r="C43" i="6"/>
  <c r="C44" i="6"/>
  <c r="C45" i="6"/>
  <c r="C46" i="6"/>
  <c r="C47" i="6"/>
  <c r="C48" i="6"/>
  <c r="C49" i="6"/>
  <c r="C50" i="6"/>
  <c r="C22" i="6"/>
  <c r="C21" i="6"/>
  <c r="C20" i="6"/>
  <c r="C19" i="6"/>
  <c r="C18" i="6"/>
  <c r="C17" i="6"/>
  <c r="C16" i="6"/>
  <c r="C15" i="6"/>
  <c r="C14" i="6"/>
  <c r="C13" i="6"/>
  <c r="C12" i="6"/>
  <c r="H7" i="6" l="1"/>
  <c r="F29" i="6"/>
  <c r="B23" i="6"/>
  <c r="E8" i="6"/>
  <c r="G7" i="6" s="1"/>
  <c r="E9" i="6" l="1"/>
  <c r="E10" i="6" s="1"/>
  <c r="G9" i="6" l="1"/>
  <c r="E11" i="6"/>
  <c r="E12" i="6" l="1"/>
  <c r="E13" i="6" s="1"/>
  <c r="G11" i="6"/>
  <c r="H11" i="6" s="1"/>
  <c r="H9" i="6"/>
  <c r="E14" i="6" l="1"/>
  <c r="E15" i="6" s="1"/>
  <c r="G13" i="6"/>
  <c r="H13" i="6" s="1"/>
  <c r="E16" i="6" l="1"/>
  <c r="E17" i="6" s="1"/>
  <c r="G15" i="6"/>
  <c r="H15" i="6" s="1"/>
  <c r="E18" i="6" l="1"/>
  <c r="E19" i="6" s="1"/>
  <c r="G17" i="6"/>
  <c r="H17" i="6" s="1"/>
  <c r="E20" i="6" l="1"/>
  <c r="E21" i="6" s="1"/>
  <c r="G19" i="6"/>
  <c r="H19" i="6" s="1"/>
  <c r="E22" i="6" l="1"/>
  <c r="E23" i="6" s="1"/>
  <c r="G21" i="6"/>
  <c r="H21" i="6" s="1"/>
  <c r="E24" i="6" l="1"/>
  <c r="E25" i="6" s="1"/>
  <c r="G23" i="6" l="1"/>
  <c r="H23" i="6" s="1"/>
  <c r="E26" i="6"/>
  <c r="E27" i="6" s="1"/>
  <c r="G25" i="6"/>
  <c r="H25" i="6" s="1"/>
  <c r="E28" i="6" l="1"/>
  <c r="G27" i="6"/>
  <c r="H27" i="6" l="1"/>
  <c r="Q38" i="6" s="1"/>
  <c r="R38" i="6" s="1"/>
  <c r="Q29" i="6" l="1"/>
  <c r="R29" i="6" s="1"/>
  <c r="Q30" i="6"/>
  <c r="R30" i="6" s="1"/>
  <c r="Q28" i="6"/>
  <c r="R28" i="6" s="1"/>
  <c r="Q31" i="6"/>
  <c r="R31" i="6" s="1"/>
  <c r="Q33" i="6"/>
  <c r="R33" i="6" s="1"/>
  <c r="Q34" i="6"/>
  <c r="R34" i="6" s="1"/>
  <c r="Q37" i="6"/>
  <c r="R37" i="6" s="1"/>
  <c r="Q32" i="6"/>
  <c r="R32" i="6" s="1"/>
  <c r="Q36" i="6"/>
  <c r="R36" i="6" s="1"/>
  <c r="Q35" i="6"/>
  <c r="R35" i="6" s="1"/>
  <c r="D40" i="6"/>
  <c r="E40" i="6" s="1"/>
  <c r="F40" i="6" s="1"/>
  <c r="D50" i="6"/>
  <c r="E50" i="6" s="1"/>
  <c r="F50" i="6" s="1"/>
  <c r="R39" i="6" l="1"/>
  <c r="R40" i="6" s="1"/>
  <c r="N24" i="6" s="1"/>
  <c r="D41" i="6"/>
  <c r="E41" i="6" s="1"/>
  <c r="F41" i="6" s="1"/>
  <c r="K29" i="6" l="1"/>
  <c r="N30" i="6"/>
  <c r="L32" i="6" s="1"/>
  <c r="D42" i="6"/>
  <c r="E42" i="6" s="1"/>
  <c r="F42" i="6" s="1"/>
  <c r="E36" i="6" l="1"/>
  <c r="H34" i="6"/>
  <c r="G34" i="6"/>
  <c r="G36" i="6"/>
  <c r="F34" i="6"/>
  <c r="H36" i="6"/>
  <c r="I36" i="6"/>
  <c r="J36" i="6"/>
  <c r="K36" i="6"/>
  <c r="L36" i="6"/>
  <c r="L34" i="6"/>
  <c r="B36" i="6"/>
  <c r="K34" i="6"/>
  <c r="J34" i="6"/>
  <c r="I34" i="6"/>
  <c r="F36" i="6"/>
  <c r="E34" i="6"/>
  <c r="D34" i="6"/>
  <c r="C34" i="6"/>
  <c r="B34" i="6"/>
  <c r="C36" i="6"/>
  <c r="D36" i="6"/>
  <c r="D43" i="6"/>
  <c r="E43" i="6" s="1"/>
  <c r="F43" i="6" s="1"/>
  <c r="D44" i="6" l="1"/>
  <c r="E44" i="6" s="1"/>
  <c r="F44" i="6" s="1"/>
  <c r="D45" i="6" l="1"/>
  <c r="E45" i="6" s="1"/>
  <c r="F45" i="6" s="1"/>
  <c r="D46" i="6" l="1"/>
  <c r="E46" i="6" s="1"/>
  <c r="F46" i="6" s="1"/>
  <c r="D47" i="6" l="1"/>
  <c r="E47" i="6" s="1"/>
  <c r="F47" i="6" s="1"/>
  <c r="D48" i="6" l="1"/>
  <c r="E48" i="6" s="1"/>
  <c r="F48" i="6" s="1"/>
  <c r="D49" i="6"/>
  <c r="E49" i="6" s="1"/>
  <c r="F49" i="6" s="1"/>
  <c r="F51" i="6" l="1"/>
</calcChain>
</file>

<file path=xl/sharedStrings.xml><?xml version="1.0" encoding="utf-8"?>
<sst xmlns="http://schemas.openxmlformats.org/spreadsheetml/2006/main" count="260" uniqueCount="123">
  <si>
    <t>Халитова Алина Рамиловна 211-365</t>
  </si>
  <si>
    <t>Вариант 24</t>
  </si>
  <si>
    <t>Лабораторная работа №3</t>
  </si>
  <si>
    <t>1. Какая гипотеза называется статистической? Приведите пример.</t>
  </si>
  <si>
    <t>2. Какая статистическая гипотеза называется нулевой? Альтернативной? Приведите примеры.</t>
  </si>
  <si>
    <t>3. Что такое критерий значимости?</t>
  </si>
  <si>
    <t>4. Что такое уровень значимости? Как он связан с доверительной вероятностью?</t>
  </si>
  <si>
    <t>5. Что такое критическая область критерия?</t>
  </si>
  <si>
    <t>6. Поясните смысл ошибок первого и второго рода, возникающих при проверке гипотез.</t>
  </si>
  <si>
    <t>7. Какие критерии называются односторонними и двусторонними?</t>
  </si>
  <si>
    <t>8. Приведите пример H0 и Η1 гипотез.</t>
  </si>
  <si>
    <t>9. Какие выводы делает исследователь, если гипотеза H0 отклоняется?</t>
  </si>
  <si>
    <t>10. Какие выводы делает исследователь, если гипотеза H0 принимается?</t>
  </si>
  <si>
    <t>11. Как связаны вид альтернативной гипотезы и тип критической области?</t>
  </si>
  <si>
    <r>
      <t>12. Какой области (допустимых значений или критической) принадлежит K</t>
    </r>
    <r>
      <rPr>
        <b/>
        <vertAlign val="subscript"/>
        <sz val="11"/>
        <color theme="1"/>
        <rFont val="Calibri"/>
        <family val="2"/>
        <charset val="204"/>
        <scheme val="minor"/>
      </rPr>
      <t>эмп</t>
    </r>
    <r>
      <rPr>
        <b/>
        <sz val="11"/>
        <color theme="1"/>
        <rFont val="Calibri"/>
        <family val="2"/>
        <charset val="204"/>
        <scheme val="minor"/>
      </rPr>
      <t>, если делается вывод, что выборочные данные не противоречат данной гипотезе H0 о генеральной совокупности?</t>
    </r>
  </si>
  <si>
    <r>
      <t>13. Какой области (допустимых значений или критической) принадлежит K</t>
    </r>
    <r>
      <rPr>
        <b/>
        <vertAlign val="subscript"/>
        <sz val="11"/>
        <color theme="1"/>
        <rFont val="Calibri"/>
        <family val="2"/>
        <charset val="204"/>
        <scheme val="minor"/>
      </rPr>
      <t>эмп</t>
    </r>
    <r>
      <rPr>
        <b/>
        <sz val="11"/>
        <color theme="1"/>
        <rFont val="Calibri"/>
        <family val="2"/>
        <charset val="204"/>
        <scheme val="minor"/>
      </rPr>
      <t>, если делается вывод, что выборочные данные  не согласуются с выдвинутой гипотезой?</t>
    </r>
  </si>
  <si>
    <t>14. Какие критерии называются параметрическими?</t>
  </si>
  <si>
    <t>15. Дайте постановку задачи, для решения которой применяется критерий Стьюдента.</t>
  </si>
  <si>
    <t>16. При каких условиях применяется критерий Стьюдента?</t>
  </si>
  <si>
    <t>17. Какое условие необходимо проверить до начала применения критерия Стьюдента при малых выборках?</t>
  </si>
  <si>
    <t>18. Опишите последовательность действий применения критерия Стьюдента для независимых выборок.</t>
  </si>
  <si>
    <t>19. Дайте описание нулевой гипотезы в задаче о сравнении средних значений признака в двух независимых выборках.</t>
  </si>
  <si>
    <t xml:space="preserve">Статистической гипотезой называется любое предположение относительно вида или параметров генерального распределения. </t>
  </si>
  <si>
    <t>Данные</t>
  </si>
  <si>
    <t>Располагая выборочными данными и руководствуясь конкретными условиями рассматриваемой задачи, формулируют гипотезу Н0, которую называют основной или нулевой, и гипотезу Н1, конкурирующую с гипотезой Н0. Гипотезу НРасполагая выборочными данными и руководствуясь конкретными условиями рассматриваемой задачи, формулируют гипотезу Н0, которую называют основной или нулевой, и гипотезу Н1, конкурирующую с гипотезой Н0. Гипотезу Н1 называют также альтернативной.
Например:
Основная гипотеза
Альтернативные
H0 и H1 – две взаимно исключающие гипотезы.</t>
  </si>
  <si>
    <t>Ошибка 1-го рода совершается при отклонении гипотезы H0(т.е. принимается альтернативная), тогда как на самом деле гипотеза Н0 верна; вероятность ошибки обозначим α = P(H1/H0)
Ошибка второго рода совершается при принятии гипотезы Н0, тогда как на самом деле Н0 неверно и следовало бы принять гипотезу H1; вероятность ошибки второго рода обозначим как β = P(H0/H1)</t>
  </si>
  <si>
    <t>Вид критической области зависит от вида основной и альтернативной гипотезы.</t>
  </si>
  <si>
    <t>Параметрическими называют критерии, которые основаны на предположении, что распределение признака в совокупности подчиняется некоторому известному закону. К таким критериям относятся критерии Стьюдента, Фишера, Пирсона и т.д.</t>
  </si>
  <si>
    <t>α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</si>
  <si>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min</t>
    </r>
  </si>
  <si>
    <t>h</t>
  </si>
  <si>
    <t>n</t>
  </si>
  <si>
    <t>m</t>
  </si>
  <si>
    <t>z1</t>
  </si>
  <si>
    <t>ni</t>
  </si>
  <si>
    <t>xi*ni</t>
  </si>
  <si>
    <t>Границы интервалов</t>
  </si>
  <si>
    <t>Середины (xi)</t>
  </si>
  <si>
    <t>Кол-во интервалов</t>
  </si>
  <si>
    <t>Дисперсия</t>
  </si>
  <si>
    <r>
      <t>|x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 xml:space="preserve"> - x</t>
    </r>
    <r>
      <rPr>
        <sz val="11"/>
        <color theme="1"/>
        <rFont val="Calibri"/>
        <family val="2"/>
        <charset val="204"/>
      </rPr>
      <t>̅</t>
    </r>
    <r>
      <rPr>
        <vertAlign val="subscript"/>
        <sz val="11"/>
        <color theme="1"/>
        <rFont val="Calibri"/>
        <family val="2"/>
        <charset val="204"/>
      </rPr>
      <t>ϐ</t>
    </r>
    <r>
      <rPr>
        <sz val="11"/>
        <color theme="1"/>
        <rFont val="Calibri"/>
        <family val="2"/>
        <charset val="204"/>
      </rPr>
      <t>|</t>
    </r>
  </si>
  <si>
    <r>
      <t>(|x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 xml:space="preserve"> - x</t>
    </r>
    <r>
      <rPr>
        <sz val="11"/>
        <color theme="1"/>
        <rFont val="Calibri"/>
        <family val="2"/>
        <charset val="204"/>
      </rPr>
      <t>̅</t>
    </r>
    <r>
      <rPr>
        <vertAlign val="subscript"/>
        <sz val="11"/>
        <color theme="1"/>
        <rFont val="Calibri"/>
        <family val="2"/>
        <charset val="204"/>
      </rPr>
      <t>ϐ</t>
    </r>
    <r>
      <rPr>
        <sz val="11"/>
        <color theme="1"/>
        <rFont val="Calibri"/>
        <family val="2"/>
        <charset val="204"/>
      </rPr>
      <t>|)</t>
    </r>
    <r>
      <rPr>
        <vertAlign val="superscript"/>
        <sz val="11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∙n</t>
    </r>
    <r>
      <rPr>
        <vertAlign val="subscript"/>
        <sz val="11"/>
        <color theme="1"/>
        <rFont val="Calibri"/>
        <family val="2"/>
        <charset val="204"/>
      </rPr>
      <t>i</t>
    </r>
  </si>
  <si>
    <t>n1'</t>
  </si>
  <si>
    <t>n2'</t>
  </si>
  <si>
    <t>n3'</t>
  </si>
  <si>
    <t>n4'</t>
  </si>
  <si>
    <t>n5'</t>
  </si>
  <si>
    <t>n6'</t>
  </si>
  <si>
    <t>n7'</t>
  </si>
  <si>
    <t>n8'</t>
  </si>
  <si>
    <t>n9'</t>
  </si>
  <si>
    <t>n10'</t>
  </si>
  <si>
    <t>n11'</t>
  </si>
  <si>
    <t>ni'</t>
  </si>
  <si>
    <t>ni - ni'</t>
  </si>
  <si>
    <r>
      <t>(ni - ni')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</si>
  <si>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(ni - ni')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/ni'</t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</si>
  <si>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vertAlign val="subscript"/>
        <sz val="11"/>
        <color theme="1"/>
        <rFont val="Calibri"/>
        <family val="2"/>
        <charset val="204"/>
        <scheme val="minor"/>
      </rPr>
      <t>набл</t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</si>
  <si>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vertAlign val="subscript"/>
        <sz val="11"/>
        <color theme="1"/>
        <rFont val="Calibri"/>
        <family val="2"/>
        <charset val="204"/>
        <scheme val="minor"/>
      </rPr>
      <t>кр</t>
    </r>
  </si>
  <si>
    <t>Pi</t>
  </si>
  <si>
    <t>S</t>
  </si>
  <si>
    <t>Середины xi</t>
  </si>
  <si>
    <t>&lt;</t>
  </si>
  <si>
    <t>Ф(ti)</t>
  </si>
  <si>
    <t>Ф(ti+1)</t>
  </si>
  <si>
    <t>(xi+1 - xв)/S</t>
  </si>
  <si>
    <t>(xi - xв)/S</t>
  </si>
  <si>
    <r>
      <t xml:space="preserve">H0: Закон распределения генеральной совокупности является нормальным при уровне значимости </t>
    </r>
    <r>
      <rPr>
        <sz val="11"/>
        <color theme="1"/>
        <rFont val="Calibri"/>
        <family val="2"/>
        <charset val="204"/>
      </rPr>
      <t>α</t>
    </r>
  </si>
  <si>
    <t>H1: Закон распределения генеральной совокупности НЕ является нормальным при уровне значимости α</t>
  </si>
  <si>
    <r>
      <t xml:space="preserve">H0: Закон распределения генеральной совокупности является показательным при уровне значимости </t>
    </r>
    <r>
      <rPr>
        <sz val="11"/>
        <color theme="1"/>
        <rFont val="Calibri"/>
        <family val="2"/>
        <charset val="204"/>
      </rPr>
      <t>α</t>
    </r>
  </si>
  <si>
    <t>H1: Закон распределения генеральной совокупности НЕ является показательным при уровне значимости α</t>
  </si>
  <si>
    <t>H</t>
  </si>
  <si>
    <t>k</t>
  </si>
  <si>
    <t>Рассчитанное значение выборочной статистики критерия Пирсона 6,525 меньше критического значения 20,1 при уровне значимости 0,01 и числе степеней свободы 8. Это означает, что мы можем принять нулевую гипотезу о том, что cовокупность распределена по показательному закону при уровне значимости 0,01. Таким образом, можно сделать предположение, что распределение данных близко к показательному распределению.</t>
  </si>
  <si>
    <r>
      <t xml:space="preserve">H0: Закон распределения генеральной совокупности является равномерным при уровне значимости </t>
    </r>
    <r>
      <rPr>
        <sz val="11"/>
        <color theme="1"/>
        <rFont val="Calibri"/>
        <family val="2"/>
        <charset val="204"/>
      </rPr>
      <t>α</t>
    </r>
  </si>
  <si>
    <t>H1: Закон распределения генеральной совокупности НЕ является равномерным при уровне значимости α</t>
  </si>
  <si>
    <t>Рассчитанное значение выборочной статистики критерия Пирсона 14,567 меньше критического значения 18,5 при уровне значимости 0,01 и числе степеней свободы 7. Это означает, что мы можем принять нулевую гипотезу о том, что cовокупность распределена по равномерному закону на уровне значимости 0,01. Таким образом, можно сделать предположение, что распределение данных близко к равномерному распределению.</t>
  </si>
  <si>
    <r>
      <t xml:space="preserve">Рассчитанное значение выборочной статистики критерия Пирсона 6,038 меньше критического значения 20,1 при уровне значимости 0,01 и числе степеней свободы 8. Гипотеза H0 о нормальном распределении при уровне значимости </t>
    </r>
    <r>
      <rPr>
        <sz val="11"/>
        <color theme="1"/>
        <rFont val="Calibri"/>
        <family val="2"/>
        <charset val="204"/>
      </rPr>
      <t>α = 0,01 принимается. Можно сделать предположение, что распределение данных близко к нормальному распределению.</t>
    </r>
  </si>
  <si>
    <t>а)</t>
  </si>
  <si>
    <t>б)</t>
  </si>
  <si>
    <t>в)</t>
  </si>
  <si>
    <t>Вариационный ряд</t>
  </si>
  <si>
    <t>!За начало первого интервала возьмём xmin, иначе в оптимальное кол-во интервалов не входит x = 36,6</t>
  </si>
  <si>
    <r>
      <t>ω</t>
    </r>
    <r>
      <rPr>
        <sz val="11"/>
        <color theme="1"/>
        <rFont val="Calibri"/>
        <family val="2"/>
      </rPr>
      <t>i</t>
    </r>
  </si>
  <si>
    <t>&gt;</t>
  </si>
  <si>
    <t>Рассчитанное значение выборочной статистики критерия Пирсона 724,35 больше критического значения 12,6 при уровне значимости 0,05 и числе степеней свободы 6. Это означает, что мы НЕ можем принять нулевую гипотезу о том, что cовокупность распределена по показательному закону при уровне значимости 0,05. Можно сделать предположение, что распределение данных далеко от показательного распределения.</t>
  </si>
  <si>
    <t>Рассчитанное значение выборочной статистики критерия Пирсона 24,27 больше критического значения 11,1 при уровне значимости 0,05 и числе степеней свободы 5. Это означает, что мы НЕ можем принять нулевую гипотезу о том, что cовокупность распределена по равномерному закону при уровне значимости 0,05. Можно сделать предположение, что распределение данных далеко от равномерного распределения.</t>
  </si>
  <si>
    <t>Рассчитанное значение выборочной статистики критерия Пирсона 10,63 меньше критического значения 11,1 при уровне значимости 0,05 и числе степеней свободы 5. Это означает, что мы можем принять нулевую гипотезу о том, что cовокупность распределена по нормальному закону при уровне значимости 0,05. Можно сделать предположение, что распределение данных близко к нормальному распределению.</t>
  </si>
  <si>
    <t>Ответ</t>
  </si>
  <si>
    <t>1) Закон распределения генеральной совокупности является нормальным при уровне значимости α.</t>
  </si>
  <si>
    <t>4) Принимаем H0 гипотезу о том, что генеральная совокупность распределена по нормальному закону распределения при уровне значимости 0,05. Можно сделать предположение, что распределение данных близко к нормальному распределению.</t>
  </si>
  <si>
    <t>3) Критическое значение 11,1 при уровне значимости 0,05 и числе степеней свободы 5.</t>
  </si>
  <si>
    <t>2) Рассчитанное значение выборочной статистики критерия Пирсона 10,63.</t>
  </si>
  <si>
    <t>H0: Количество мальчиков в семье с двумя детьми - биномиальная случайная величина</t>
  </si>
  <si>
    <t>H1: Количество мальчиков в семье с двумя детьми НЕ является биномиальной случайной величиной</t>
  </si>
  <si>
    <t>Критерии, которые позволяют проверять гипотезы о значениях параметров только в одном направлении, называются односторонними. То есть, они определяют критическую область только с одной стороны от нулевого значения параметра. Односторонние критерии используются, когда мы заранее знаем, в какую сторону мы ожидаем отклонения от нулевого значения параметра.</t>
  </si>
  <si>
    <t>Критерии, которые позволяют проверять гипотезы о значениях параметров в обе стороны, называются двусторонними. Они определяют критическую область по обеим сторонам от нулевого значения параметра и используются, когда мы не знаем, в какую сторону мы ожидаем отклонения от нулевого значения параметра.</t>
  </si>
  <si>
    <t>Критическая область- это непересекающееся подмножество, которое содержит значения критерия, при которых гипотеза отклоняется. Критическая область критерия это область значений статистики критерия, для которых нулевая гипотеза отвергается в пользу альтернативной гипотезы.</t>
  </si>
  <si>
    <t>Уровень значимости - это вероятность отклонить нулевую гипотезу, когда она на самом деле верна. Он связан с доверительной вероятностью, поскольку он показывает вероятность ошибки первого рода, когда отвергается верная нулевая гипотеза. Вероятность ошибки первого рода при проверке статистических гипотез называют уровнем значимости и обычно обозначают α (отсюда название α- errors).</t>
  </si>
  <si>
    <t>Критерий значимости определяет вероятность того, что нулевая гипотеза будет отклонена при определенных условиях. Обычно выбирается уровень значимости, который указывает на вероятность отклонения нулевой гипотезы.</t>
  </si>
  <si>
    <t>Гипотезой может быть утверждение о том, что в школах работают одни женщины</t>
  </si>
  <si>
    <t>Если гипотеза H0 отклоняется, исследователь признает, что выборочные данные значимо отличаются от предполагаемого значения генеральной совокупности.</t>
  </si>
  <si>
    <t>Если гипотеза H0 принимается, исследователь подтверждает, что выборочные данные не противоречат нулевой гипотезе.</t>
  </si>
  <si>
    <t>В задаче о сравнении средних значений признака в двух независимых выборках нулевой гипотезой является предположение о равенстве средних значений в двух генеральных совокупностях, альтернативной гипотезой - предположение о различии средних значений. Пример: H0: средний возраст мужчин и женщин в двух генеральных совокупностях равен. H1: средний возраст мужчин и женщин в двух генеральных совокупностях различается.</t>
  </si>
  <si>
    <t>Выдвигается гипотеза H0</t>
  </si>
  <si>
    <t>Затем проверяется дисперсия: известна или неизвестна</t>
  </si>
  <si>
    <t>Если неизвестна, то вычисляется t-статистика</t>
  </si>
  <si>
    <t>Рассматривается альтернативная гипотеза H1 и в соответствие с каждой определяется область принятия основной гипотезы</t>
  </si>
  <si>
    <t>При малых выборках необходимо проверить условие на равенство дисперсий и использовать соответствующую модификацию этого критерия.</t>
  </si>
  <si>
    <t>Критерий Стьюдента применим, когда выборки являются нормально распределенными и дисперсия неизвестна.</t>
  </si>
  <si>
    <t>Даны две зависимые выборки объема n, т е пары наблюдений (x1,y1),(x2,y2)…(xn,yn) Проверяется гипотеза H0 о равенстве математических ожиданий ax = ay. Альтернативной гипотезой H1 является гипотеза ax != ay</t>
  </si>
  <si>
    <t>Если делается вывод, что выборочные данные не согласуются с выдвинутой гипотезой, то они принадлежат к критической области.</t>
  </si>
  <si>
    <t>Если делается вывод, что выборочные данные не противоречат данной гипотезе о генеральной совокупности, то они принадлежат допустимой области.</t>
  </si>
  <si>
    <t>Выдвигается гипотеза H0: X̄=x*, альтернативная гипотеза H1: X̄&gt;x* или X̄&lt;x*.</t>
  </si>
  <si>
    <t>Необходимо проверить нулевую гипотезу о равенстве генеральных долей, т.е. H0: p1=p2, H1: p1&lt;p2; p1&gt;p2; p1!=p2.</t>
  </si>
  <si>
    <t>Пример: H0: в школе работает больше женщин чем мужчин. H1: в школе работает больше мужчин чем женщин; H1: в школе работает равное количество мужчин и женщин</t>
  </si>
  <si>
    <t>xi</t>
  </si>
  <si>
    <t>θ̂</t>
  </si>
  <si>
    <t>p1</t>
  </si>
  <si>
    <t>p2</t>
  </si>
  <si>
    <t>p3</t>
  </si>
  <si>
    <t>Рассчитанное значение 0,116 меньше критического значения 6,6 при уровне значимости 0,01 и числе степеней свободы 1. Гипотеза H0 о биноминальном распределении случайной величины (кол-ва мальчиков) при уровне значимости α = 0,01 принимается.</t>
  </si>
  <si>
    <t>Степеней свободы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</si>
</sst>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/>
    <xf numFmtId="0" fontId="6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1" xfId="0" applyFill="1" applyBorder="1"/>
    <xf numFmtId="0" fontId="0" fillId="0" borderId="1" xfId="0" applyFill="1" applyBorder="1" applyAlignment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vertical="center" wrapText="1"/>
    </xf>
    <xf numFmtId="0" fontId="13" fillId="0" borderId="1" xfId="0" applyFont="1" applyBorder="1"/>
    <xf numFmtId="0" fontId="12" fillId="0" borderId="1" xfId="0" applyFont="1" applyBorder="1"/>
    <xf numFmtId="0" fontId="4" fillId="0" borderId="0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14" xfId="0" applyFill="1" applyBorder="1"/>
    <xf numFmtId="14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5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8" xfId="0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0" fillId="6" borderId="12" xfId="0" applyFill="1" applyBorder="1"/>
    <xf numFmtId="0" fontId="0" fillId="0" borderId="14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2" fillId="5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955C9"/>
      <color rgb="FFEBE7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ni</c:v>
          </c:tx>
          <c:spPr>
            <a:solidFill>
              <a:schemeClr val="accent1"/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cat>
            <c:numRef>
              <c:f>'Задание 1'!$B$11:$B$13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'Задание 1'!$C$11:$C$13</c:f>
              <c:numCache>
                <c:formatCode>General</c:formatCode>
                <c:ptCount val="3"/>
                <c:pt idx="0">
                  <c:v>476</c:v>
                </c:pt>
                <c:pt idx="1">
                  <c:v>1017</c:v>
                </c:pt>
                <c:pt idx="2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A-4F94-B8DE-481FB60C4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8666240"/>
        <c:axId val="518667224"/>
      </c:barChart>
      <c:lineChart>
        <c:grouping val="standard"/>
        <c:varyColors val="0"/>
        <c:ser>
          <c:idx val="1"/>
          <c:order val="1"/>
          <c:tx>
            <c:v>ni'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cat>
            <c:numRef>
              <c:f>'Задание 1'!$B$11:$B$13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'Задание 1'!$C$26:$C$28</c:f>
              <c:numCache>
                <c:formatCode>General</c:formatCode>
                <c:ptCount val="3"/>
                <c:pt idx="0">
                  <c:v>479.82190594059404</c:v>
                </c:pt>
                <c:pt idx="1">
                  <c:v>1009.3561881188118</c:v>
                </c:pt>
                <c:pt idx="2">
                  <c:v>530.82190594059409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2FA-4F94-B8DE-481FB60C4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666240"/>
        <c:axId val="518667224"/>
      </c:lineChart>
      <c:catAx>
        <c:axId val="5186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667224"/>
        <c:crosses val="autoZero"/>
        <c:auto val="1"/>
        <c:lblAlgn val="ctr"/>
        <c:lblOffset val="100"/>
        <c:noMultiLvlLbl val="0"/>
      </c:catAx>
      <c:valAx>
        <c:axId val="51866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6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ni</c:v>
          </c:tx>
          <c:spPr>
            <a:solidFill>
              <a:schemeClr val="accent1"/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cat>
            <c:numRef>
              <c:f>'Задание 2'!$C$12:$C$22</c:f>
              <c:numCache>
                <c:formatCode>General</c:formatCode>
                <c:ptCount val="11"/>
                <c:pt idx="0">
                  <c:v>-14.700000000000001</c:v>
                </c:pt>
                <c:pt idx="1">
                  <c:v>-12.500000000000002</c:v>
                </c:pt>
                <c:pt idx="2">
                  <c:v>-10.300000000000002</c:v>
                </c:pt>
                <c:pt idx="3">
                  <c:v>-8.1000000000000032</c:v>
                </c:pt>
                <c:pt idx="4">
                  <c:v>-5.9000000000000021</c:v>
                </c:pt>
                <c:pt idx="5">
                  <c:v>-3.7000000000000024</c:v>
                </c:pt>
                <c:pt idx="6">
                  <c:v>-1.5000000000000022</c:v>
                </c:pt>
                <c:pt idx="7">
                  <c:v>0.69999999999999796</c:v>
                </c:pt>
                <c:pt idx="8">
                  <c:v>2.8999999999999981</c:v>
                </c:pt>
                <c:pt idx="9">
                  <c:v>5.0999999999999979</c:v>
                </c:pt>
                <c:pt idx="10">
                  <c:v>7.2999999999999989</c:v>
                </c:pt>
              </c:numCache>
            </c:numRef>
          </c:cat>
          <c:val>
            <c:numRef>
              <c:f>'Задание 2'!$B$12:$B$22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26</c:v>
                </c:pt>
                <c:pt idx="3">
                  <c:v>51</c:v>
                </c:pt>
                <c:pt idx="4">
                  <c:v>84</c:v>
                </c:pt>
                <c:pt idx="5">
                  <c:v>80</c:v>
                </c:pt>
                <c:pt idx="6">
                  <c:v>55</c:v>
                </c:pt>
                <c:pt idx="7">
                  <c:v>44</c:v>
                </c:pt>
                <c:pt idx="8">
                  <c:v>10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2-48A6-9DAA-F60C28335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8666240"/>
        <c:axId val="518667224"/>
      </c:barChart>
      <c:lineChart>
        <c:grouping val="standard"/>
        <c:varyColors val="0"/>
        <c:ser>
          <c:idx val="1"/>
          <c:order val="1"/>
          <c:tx>
            <c:v>ni'</c:v>
          </c:tx>
          <c:spPr>
            <a:ln w="28575" cap="rnd">
              <a:solidFill>
                <a:schemeClr val="accent2"/>
              </a:solidFill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cat>
            <c:numRef>
              <c:f>'Задание 2'!$C$12:$C$22</c:f>
              <c:numCache>
                <c:formatCode>General</c:formatCode>
                <c:ptCount val="11"/>
                <c:pt idx="0">
                  <c:v>-14.700000000000001</c:v>
                </c:pt>
                <c:pt idx="1">
                  <c:v>-12.500000000000002</c:v>
                </c:pt>
                <c:pt idx="2">
                  <c:v>-10.300000000000002</c:v>
                </c:pt>
                <c:pt idx="3">
                  <c:v>-8.1000000000000032</c:v>
                </c:pt>
                <c:pt idx="4">
                  <c:v>-5.9000000000000021</c:v>
                </c:pt>
                <c:pt idx="5">
                  <c:v>-3.7000000000000024</c:v>
                </c:pt>
                <c:pt idx="6">
                  <c:v>-1.5000000000000022</c:v>
                </c:pt>
                <c:pt idx="7">
                  <c:v>0.69999999999999796</c:v>
                </c:pt>
                <c:pt idx="8">
                  <c:v>2.8999999999999981</c:v>
                </c:pt>
                <c:pt idx="9">
                  <c:v>5.0999999999999979</c:v>
                </c:pt>
                <c:pt idx="10">
                  <c:v>7.2999999999999989</c:v>
                </c:pt>
              </c:numCache>
            </c:numRef>
          </c:cat>
          <c:val>
            <c:numRef>
              <c:f>'Задание 2'!$C$40:$C$50</c:f>
              <c:numCache>
                <c:formatCode>General</c:formatCode>
                <c:ptCount val="11"/>
                <c:pt idx="0">
                  <c:v>2.3606999999999836</c:v>
                </c:pt>
                <c:pt idx="1">
                  <c:v>8.9304000000000112</c:v>
                </c:pt>
                <c:pt idx="2">
                  <c:v>25.54679999999999</c:v>
                </c:pt>
                <c:pt idx="3">
                  <c:v>51.24</c:v>
                </c:pt>
                <c:pt idx="4">
                  <c:v>76.933199999999999</c:v>
                </c:pt>
                <c:pt idx="5">
                  <c:v>82.350000000000009</c:v>
                </c:pt>
                <c:pt idx="6">
                  <c:v>63.537600000000005</c:v>
                </c:pt>
                <c:pt idx="7">
                  <c:v>34.952999999999989</c:v>
                </c:pt>
                <c:pt idx="8">
                  <c:v>14.566800000000001</c:v>
                </c:pt>
                <c:pt idx="9">
                  <c:v>4.0260000000000034</c:v>
                </c:pt>
                <c:pt idx="10">
                  <c:v>0.93696000000000246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0D2-48A6-9DAA-F60C28335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666240"/>
        <c:axId val="518667224"/>
      </c:lineChart>
      <c:catAx>
        <c:axId val="5186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667224"/>
        <c:crosses val="autoZero"/>
        <c:auto val="1"/>
        <c:lblAlgn val="ctr"/>
        <c:lblOffset val="100"/>
        <c:noMultiLvlLbl val="0"/>
      </c:catAx>
      <c:valAx>
        <c:axId val="51866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6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ni</c:v>
          </c:tx>
          <c:spPr>
            <a:solidFill>
              <a:schemeClr val="accent1"/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cat>
            <c:numRef>
              <c:f>'Задание 3'!$C$11:$C$20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3.3000000000000003</c:v>
                </c:pt>
                <c:pt idx="2">
                  <c:v>5.5</c:v>
                </c:pt>
                <c:pt idx="3">
                  <c:v>7.7000000000000011</c:v>
                </c:pt>
                <c:pt idx="4">
                  <c:v>9.9</c:v>
                </c:pt>
                <c:pt idx="5">
                  <c:v>12.1</c:v>
                </c:pt>
                <c:pt idx="6">
                  <c:v>14.299999999999999</c:v>
                </c:pt>
                <c:pt idx="7">
                  <c:v>16.5</c:v>
                </c:pt>
                <c:pt idx="8">
                  <c:v>18.699999999999996</c:v>
                </c:pt>
                <c:pt idx="9">
                  <c:v>20.9</c:v>
                </c:pt>
              </c:numCache>
            </c:numRef>
          </c:cat>
          <c:val>
            <c:numRef>
              <c:f>'Задание 3'!$B$11:$B$20</c:f>
              <c:numCache>
                <c:formatCode>General</c:formatCode>
                <c:ptCount val="10"/>
                <c:pt idx="0">
                  <c:v>152</c:v>
                </c:pt>
                <c:pt idx="1">
                  <c:v>104</c:v>
                </c:pt>
                <c:pt idx="2">
                  <c:v>44</c:v>
                </c:pt>
                <c:pt idx="3">
                  <c:v>35</c:v>
                </c:pt>
                <c:pt idx="4">
                  <c:v>22</c:v>
                </c:pt>
                <c:pt idx="5">
                  <c:v>15</c:v>
                </c:pt>
                <c:pt idx="6">
                  <c:v>9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1-4E24-94B3-328FA8758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8666240"/>
        <c:axId val="518667224"/>
      </c:barChart>
      <c:lineChart>
        <c:grouping val="standard"/>
        <c:varyColors val="0"/>
        <c:ser>
          <c:idx val="1"/>
          <c:order val="1"/>
          <c:tx>
            <c:v>ni'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cat>
            <c:numRef>
              <c:f>'Задание 3'!$C$11:$C$20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3.3000000000000003</c:v>
                </c:pt>
                <c:pt idx="2">
                  <c:v>5.5</c:v>
                </c:pt>
                <c:pt idx="3">
                  <c:v>7.7000000000000011</c:v>
                </c:pt>
                <c:pt idx="4">
                  <c:v>9.9</c:v>
                </c:pt>
                <c:pt idx="5">
                  <c:v>12.1</c:v>
                </c:pt>
                <c:pt idx="6">
                  <c:v>14.299999999999999</c:v>
                </c:pt>
                <c:pt idx="7">
                  <c:v>16.5</c:v>
                </c:pt>
                <c:pt idx="8">
                  <c:v>18.699999999999996</c:v>
                </c:pt>
                <c:pt idx="9">
                  <c:v>20.9</c:v>
                </c:pt>
              </c:numCache>
            </c:numRef>
          </c:cat>
          <c:val>
            <c:numRef>
              <c:f>'Задание 3'!$D$31:$D$40</c:f>
              <c:numCache>
                <c:formatCode>General</c:formatCode>
                <c:ptCount val="10"/>
                <c:pt idx="0">
                  <c:v>155.13031067430157</c:v>
                </c:pt>
                <c:pt idx="1">
                  <c:v>93.106049617844533</c:v>
                </c:pt>
                <c:pt idx="2">
                  <c:v>55.880352703223011</c:v>
                </c:pt>
                <c:pt idx="3">
                  <c:v>33.538248385077303</c:v>
                </c:pt>
                <c:pt idx="4">
                  <c:v>20.128972891652214</c:v>
                </c:pt>
                <c:pt idx="5">
                  <c:v>12.080999133310447</c:v>
                </c:pt>
                <c:pt idx="6">
                  <c:v>7.2507693683454564</c:v>
                </c:pt>
                <c:pt idx="7">
                  <c:v>4.3517639437600462</c:v>
                </c:pt>
                <c:pt idx="8">
                  <c:v>2.6118399938200514</c:v>
                </c:pt>
                <c:pt idx="9">
                  <c:v>1.5675731132198669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691-4E24-94B3-328FA8758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666240"/>
        <c:axId val="518667224"/>
      </c:lineChart>
      <c:catAx>
        <c:axId val="5186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667224"/>
        <c:crosses val="autoZero"/>
        <c:auto val="1"/>
        <c:lblAlgn val="ctr"/>
        <c:lblOffset val="100"/>
        <c:noMultiLvlLbl val="0"/>
      </c:catAx>
      <c:valAx>
        <c:axId val="51866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6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ni</c:v>
          </c:tx>
          <c:spPr>
            <a:solidFill>
              <a:schemeClr val="accent1"/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cat>
            <c:numRef>
              <c:f>'Задание 4'!$C$11:$C$20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0.79999999999999993</c:v>
                </c:pt>
                <c:pt idx="4">
                  <c:v>0.99999999999999989</c:v>
                </c:pt>
                <c:pt idx="5">
                  <c:v>1.1999999999999997</c:v>
                </c:pt>
                <c:pt idx="6">
                  <c:v>1.4</c:v>
                </c:pt>
                <c:pt idx="7">
                  <c:v>1.5999999999999996</c:v>
                </c:pt>
                <c:pt idx="8">
                  <c:v>1.7999999999999998</c:v>
                </c:pt>
                <c:pt idx="9">
                  <c:v>1.9999999999999996</c:v>
                </c:pt>
              </c:numCache>
            </c:numRef>
          </c:cat>
          <c:val>
            <c:numRef>
              <c:f>'Задание 4'!$B$11:$B$20</c:f>
              <c:numCache>
                <c:formatCode>General</c:formatCode>
                <c:ptCount val="10"/>
                <c:pt idx="0">
                  <c:v>37</c:v>
                </c:pt>
                <c:pt idx="1">
                  <c:v>31</c:v>
                </c:pt>
                <c:pt idx="2">
                  <c:v>49</c:v>
                </c:pt>
                <c:pt idx="3">
                  <c:v>34</c:v>
                </c:pt>
                <c:pt idx="4">
                  <c:v>50</c:v>
                </c:pt>
                <c:pt idx="5">
                  <c:v>36</c:v>
                </c:pt>
                <c:pt idx="6">
                  <c:v>34</c:v>
                </c:pt>
                <c:pt idx="7">
                  <c:v>49</c:v>
                </c:pt>
                <c:pt idx="8">
                  <c:v>29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C-4756-A200-76490137E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8666240"/>
        <c:axId val="518667224"/>
      </c:barChart>
      <c:lineChart>
        <c:grouping val="standard"/>
        <c:varyColors val="0"/>
        <c:ser>
          <c:idx val="1"/>
          <c:order val="1"/>
          <c:tx>
            <c:v>ni'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cat>
            <c:numRef>
              <c:f>'Задание 4'!$C$11:$C$20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0.79999999999999993</c:v>
                </c:pt>
                <c:pt idx="4">
                  <c:v>0.99999999999999989</c:v>
                </c:pt>
                <c:pt idx="5">
                  <c:v>1.1999999999999997</c:v>
                </c:pt>
                <c:pt idx="6">
                  <c:v>1.4</c:v>
                </c:pt>
                <c:pt idx="7">
                  <c:v>1.5999999999999996</c:v>
                </c:pt>
                <c:pt idx="8">
                  <c:v>1.7999999999999998</c:v>
                </c:pt>
                <c:pt idx="9">
                  <c:v>1.9999999999999996</c:v>
                </c:pt>
              </c:numCache>
            </c:numRef>
          </c:cat>
          <c:val>
            <c:numRef>
              <c:f>'Задание 4'!$D$31:$D$40</c:f>
              <c:numCache>
                <c:formatCode>General</c:formatCode>
                <c:ptCount val="10"/>
                <c:pt idx="0">
                  <c:v>35.328370883500533</c:v>
                </c:pt>
                <c:pt idx="1">
                  <c:v>39.735496385687384</c:v>
                </c:pt>
                <c:pt idx="2">
                  <c:v>39.735496385687384</c:v>
                </c:pt>
                <c:pt idx="3">
                  <c:v>39.735496385687384</c:v>
                </c:pt>
                <c:pt idx="4">
                  <c:v>39.735496385687384</c:v>
                </c:pt>
                <c:pt idx="5">
                  <c:v>39.735496385687384</c:v>
                </c:pt>
                <c:pt idx="6">
                  <c:v>39.735496385687384</c:v>
                </c:pt>
                <c:pt idx="7">
                  <c:v>39.735496385687384</c:v>
                </c:pt>
                <c:pt idx="8">
                  <c:v>39.735496385687384</c:v>
                </c:pt>
                <c:pt idx="9">
                  <c:v>25.78765803100038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DAC-4756-A200-76490137E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666240"/>
        <c:axId val="518667224"/>
      </c:lineChart>
      <c:catAx>
        <c:axId val="5186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667224"/>
        <c:crosses val="autoZero"/>
        <c:auto val="1"/>
        <c:lblAlgn val="ctr"/>
        <c:lblOffset val="100"/>
        <c:noMultiLvlLbl val="0"/>
      </c:catAx>
      <c:valAx>
        <c:axId val="51866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6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'Задание 5'!$F$16:$F$23</c:f>
              <c:numCache>
                <c:formatCode>General</c:formatCode>
                <c:ptCount val="8"/>
                <c:pt idx="0">
                  <c:v>-22.331249999999997</c:v>
                </c:pt>
                <c:pt idx="1">
                  <c:v>-12.593749999999998</c:v>
                </c:pt>
                <c:pt idx="2">
                  <c:v>-2.8562499999999975</c:v>
                </c:pt>
                <c:pt idx="3">
                  <c:v>6.8812500000000032</c:v>
                </c:pt>
                <c:pt idx="4">
                  <c:v>16.618750000000006</c:v>
                </c:pt>
                <c:pt idx="5">
                  <c:v>26.356250000000003</c:v>
                </c:pt>
                <c:pt idx="6">
                  <c:v>36.093750000000007</c:v>
                </c:pt>
                <c:pt idx="7">
                  <c:v>45.831250000000004</c:v>
                </c:pt>
              </c:numCache>
            </c:numRef>
          </c:cat>
          <c:val>
            <c:numRef>
              <c:f>'Задание 5'!$G$16:$G$23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16</c:v>
                </c:pt>
                <c:pt idx="3">
                  <c:v>22</c:v>
                </c:pt>
                <c:pt idx="4">
                  <c:v>23</c:v>
                </c:pt>
                <c:pt idx="5">
                  <c:v>18</c:v>
                </c:pt>
                <c:pt idx="6">
                  <c:v>8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6-4E43-8A1F-C3975E679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8666240"/>
        <c:axId val="518667224"/>
      </c:barChart>
      <c:lineChart>
        <c:grouping val="standard"/>
        <c:varyColors val="0"/>
        <c:ser>
          <c:idx val="1"/>
          <c:order val="1"/>
          <c:tx>
            <c:v>ni'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cat>
            <c:numRef>
              <c:f>'Задание 5'!$F$16:$F$23</c:f>
              <c:numCache>
                <c:formatCode>General</c:formatCode>
                <c:ptCount val="8"/>
                <c:pt idx="0">
                  <c:v>-22.331249999999997</c:v>
                </c:pt>
                <c:pt idx="1">
                  <c:v>-12.593749999999998</c:v>
                </c:pt>
                <c:pt idx="2">
                  <c:v>-2.8562499999999975</c:v>
                </c:pt>
                <c:pt idx="3">
                  <c:v>6.8812500000000032</c:v>
                </c:pt>
                <c:pt idx="4">
                  <c:v>16.618750000000006</c:v>
                </c:pt>
                <c:pt idx="5">
                  <c:v>26.356250000000003</c:v>
                </c:pt>
                <c:pt idx="6">
                  <c:v>36.093750000000007</c:v>
                </c:pt>
                <c:pt idx="7">
                  <c:v>45.831250000000004</c:v>
                </c:pt>
              </c:numCache>
            </c:numRef>
          </c:cat>
          <c:val>
            <c:numRef>
              <c:f>'Задание 5'!$F$29:$F$36</c:f>
              <c:numCache>
                <c:formatCode>General</c:formatCode>
                <c:ptCount val="8"/>
                <c:pt idx="0">
                  <c:v>443.96003257051041</c:v>
                </c:pt>
                <c:pt idx="1">
                  <c:v>207.7313809287904</c:v>
                </c:pt>
                <c:pt idx="2">
                  <c:v>97.198674332759211</c:v>
                </c:pt>
                <c:pt idx="3">
                  <c:v>45.479803050480776</c:v>
                </c:pt>
                <c:pt idx="4">
                  <c:v>21.280254074549617</c:v>
                </c:pt>
                <c:pt idx="5">
                  <c:v>9.9571498358236283</c:v>
                </c:pt>
                <c:pt idx="6">
                  <c:v>4.6590060675833742</c:v>
                </c:pt>
                <c:pt idx="7">
                  <c:v>2.1799749823673529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4A6-4E43-8A1F-C3975E679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666240"/>
        <c:axId val="518667224"/>
      </c:lineChart>
      <c:catAx>
        <c:axId val="5186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667224"/>
        <c:crosses val="autoZero"/>
        <c:auto val="1"/>
        <c:lblAlgn val="ctr"/>
        <c:lblOffset val="100"/>
        <c:noMultiLvlLbl val="0"/>
      </c:catAx>
      <c:valAx>
        <c:axId val="51866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6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'Задание 5'!$F$16:$F$23</c:f>
              <c:numCache>
                <c:formatCode>General</c:formatCode>
                <c:ptCount val="8"/>
                <c:pt idx="0">
                  <c:v>-22.331249999999997</c:v>
                </c:pt>
                <c:pt idx="1">
                  <c:v>-12.593749999999998</c:v>
                </c:pt>
                <c:pt idx="2">
                  <c:v>-2.8562499999999975</c:v>
                </c:pt>
                <c:pt idx="3">
                  <c:v>6.8812500000000032</c:v>
                </c:pt>
                <c:pt idx="4">
                  <c:v>16.618750000000006</c:v>
                </c:pt>
                <c:pt idx="5">
                  <c:v>26.356250000000003</c:v>
                </c:pt>
                <c:pt idx="6">
                  <c:v>36.093750000000007</c:v>
                </c:pt>
                <c:pt idx="7">
                  <c:v>45.831250000000004</c:v>
                </c:pt>
              </c:numCache>
            </c:numRef>
          </c:cat>
          <c:val>
            <c:numRef>
              <c:f>'Задание 5'!$G$16:$G$23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16</c:v>
                </c:pt>
                <c:pt idx="3">
                  <c:v>22</c:v>
                </c:pt>
                <c:pt idx="4">
                  <c:v>23</c:v>
                </c:pt>
                <c:pt idx="5">
                  <c:v>18</c:v>
                </c:pt>
                <c:pt idx="6">
                  <c:v>8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3-4A04-AB5B-A31120E8D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8666240"/>
        <c:axId val="518667224"/>
      </c:barChart>
      <c:lineChart>
        <c:grouping val="standard"/>
        <c:varyColors val="0"/>
        <c:ser>
          <c:idx val="1"/>
          <c:order val="1"/>
          <c:tx>
            <c:v>ni'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cat>
            <c:numRef>
              <c:f>'Задание 5'!$F$16:$F$23</c:f>
              <c:numCache>
                <c:formatCode>General</c:formatCode>
                <c:ptCount val="8"/>
                <c:pt idx="0">
                  <c:v>-22.331249999999997</c:v>
                </c:pt>
                <c:pt idx="1">
                  <c:v>-12.593749999999998</c:v>
                </c:pt>
                <c:pt idx="2">
                  <c:v>-2.8562499999999975</c:v>
                </c:pt>
                <c:pt idx="3">
                  <c:v>6.8812500000000032</c:v>
                </c:pt>
                <c:pt idx="4">
                  <c:v>16.618750000000006</c:v>
                </c:pt>
                <c:pt idx="5">
                  <c:v>26.356250000000003</c:v>
                </c:pt>
                <c:pt idx="6">
                  <c:v>36.093750000000007</c:v>
                </c:pt>
                <c:pt idx="7">
                  <c:v>45.831250000000004</c:v>
                </c:pt>
              </c:numCache>
            </c:numRef>
          </c:cat>
          <c:val>
            <c:numRef>
              <c:f>'Задание 5'!$E$66:$E$73</c:f>
              <c:numCache>
                <c:formatCode>General</c:formatCode>
                <c:ptCount val="8"/>
                <c:pt idx="0">
                  <c:v>5.0681450178630181</c:v>
                </c:pt>
                <c:pt idx="1">
                  <c:v>17.706799041113513</c:v>
                </c:pt>
                <c:pt idx="2">
                  <c:v>17.706799041113513</c:v>
                </c:pt>
                <c:pt idx="3">
                  <c:v>17.706799041113513</c:v>
                </c:pt>
                <c:pt idx="4">
                  <c:v>17.706799041113513</c:v>
                </c:pt>
                <c:pt idx="5">
                  <c:v>17.706799041113513</c:v>
                </c:pt>
                <c:pt idx="6">
                  <c:v>17.706799041113513</c:v>
                </c:pt>
                <c:pt idx="7">
                  <c:v>1.172649228818041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93-4A04-AB5B-A31120E8D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666240"/>
        <c:axId val="518667224"/>
      </c:lineChart>
      <c:catAx>
        <c:axId val="5186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667224"/>
        <c:crosses val="autoZero"/>
        <c:auto val="1"/>
        <c:lblAlgn val="ctr"/>
        <c:lblOffset val="100"/>
        <c:noMultiLvlLbl val="0"/>
      </c:catAx>
      <c:valAx>
        <c:axId val="51866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6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'Задание 5'!$F$16:$F$23</c:f>
              <c:numCache>
                <c:formatCode>General</c:formatCode>
                <c:ptCount val="8"/>
                <c:pt idx="0">
                  <c:v>-22.331249999999997</c:v>
                </c:pt>
                <c:pt idx="1">
                  <c:v>-12.593749999999998</c:v>
                </c:pt>
                <c:pt idx="2">
                  <c:v>-2.8562499999999975</c:v>
                </c:pt>
                <c:pt idx="3">
                  <c:v>6.8812500000000032</c:v>
                </c:pt>
                <c:pt idx="4">
                  <c:v>16.618750000000006</c:v>
                </c:pt>
                <c:pt idx="5">
                  <c:v>26.356250000000003</c:v>
                </c:pt>
                <c:pt idx="6">
                  <c:v>36.093750000000007</c:v>
                </c:pt>
                <c:pt idx="7">
                  <c:v>45.831250000000004</c:v>
                </c:pt>
              </c:numCache>
            </c:numRef>
          </c:cat>
          <c:val>
            <c:numRef>
              <c:f>'Задание 5'!$G$16:$G$23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16</c:v>
                </c:pt>
                <c:pt idx="3">
                  <c:v>22</c:v>
                </c:pt>
                <c:pt idx="4">
                  <c:v>23</c:v>
                </c:pt>
                <c:pt idx="5">
                  <c:v>18</c:v>
                </c:pt>
                <c:pt idx="6">
                  <c:v>8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B-4982-839C-02C65CB2A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8666240"/>
        <c:axId val="518667224"/>
      </c:barChart>
      <c:lineChart>
        <c:grouping val="standard"/>
        <c:varyColors val="0"/>
        <c:ser>
          <c:idx val="1"/>
          <c:order val="1"/>
          <c:tx>
            <c:v>ni'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cat>
            <c:numRef>
              <c:f>'Задание 5'!$F$16:$F$23</c:f>
              <c:numCache>
                <c:formatCode>General</c:formatCode>
                <c:ptCount val="8"/>
                <c:pt idx="0">
                  <c:v>-22.331249999999997</c:v>
                </c:pt>
                <c:pt idx="1">
                  <c:v>-12.593749999999998</c:v>
                </c:pt>
                <c:pt idx="2">
                  <c:v>-2.8562499999999975</c:v>
                </c:pt>
                <c:pt idx="3">
                  <c:v>6.8812500000000032</c:v>
                </c:pt>
                <c:pt idx="4">
                  <c:v>16.618750000000006</c:v>
                </c:pt>
                <c:pt idx="5">
                  <c:v>26.356250000000003</c:v>
                </c:pt>
                <c:pt idx="6">
                  <c:v>36.093750000000007</c:v>
                </c:pt>
                <c:pt idx="7">
                  <c:v>45.831250000000004</c:v>
                </c:pt>
              </c:numCache>
            </c:numRef>
          </c:cat>
          <c:val>
            <c:numRef>
              <c:f>'Задание 5'!$M$66:$M$73</c:f>
              <c:numCache>
                <c:formatCode>General</c:formatCode>
                <c:ptCount val="8"/>
                <c:pt idx="0">
                  <c:v>2.2500000000000018</c:v>
                </c:pt>
                <c:pt idx="1">
                  <c:v>6.9799999999999969</c:v>
                </c:pt>
                <c:pt idx="2">
                  <c:v>14.980000000000004</c:v>
                </c:pt>
                <c:pt idx="3">
                  <c:v>22.379999999999995</c:v>
                </c:pt>
                <c:pt idx="4">
                  <c:v>23.330000000000002</c:v>
                </c:pt>
                <c:pt idx="5">
                  <c:v>16.950000000000003</c:v>
                </c:pt>
                <c:pt idx="6">
                  <c:v>8.5899999999999981</c:v>
                </c:pt>
                <c:pt idx="7">
                  <c:v>3.0500000000000025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F4B-4982-839C-02C65CB2A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666240"/>
        <c:axId val="518667224"/>
      </c:lineChart>
      <c:catAx>
        <c:axId val="5186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667224"/>
        <c:crosses val="autoZero"/>
        <c:auto val="1"/>
        <c:lblAlgn val="ctr"/>
        <c:lblOffset val="100"/>
        <c:noMultiLvlLbl val="0"/>
      </c:catAx>
      <c:valAx>
        <c:axId val="51866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6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tmp"/><Relationship Id="rId7" Type="http://schemas.openxmlformats.org/officeDocument/2006/relationships/chart" Target="../charts/chart1.xml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png"/><Relationship Id="rId5" Type="http://schemas.openxmlformats.org/officeDocument/2006/relationships/image" Target="../media/image5.tmp"/><Relationship Id="rId4" Type="http://schemas.openxmlformats.org/officeDocument/2006/relationships/image" Target="../media/image4.png"/><Relationship Id="rId9" Type="http://schemas.openxmlformats.org/officeDocument/2006/relationships/image" Target="../media/image8.tmp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tmp"/><Relationship Id="rId3" Type="http://schemas.openxmlformats.org/officeDocument/2006/relationships/image" Target="../media/image3.tmp"/><Relationship Id="rId7" Type="http://schemas.openxmlformats.org/officeDocument/2006/relationships/image" Target="../media/image5.tmp"/><Relationship Id="rId2" Type="http://schemas.openxmlformats.org/officeDocument/2006/relationships/image" Target="../media/image10.tmp"/><Relationship Id="rId1" Type="http://schemas.openxmlformats.org/officeDocument/2006/relationships/image" Target="../media/image9.tmp"/><Relationship Id="rId6" Type="http://schemas.openxmlformats.org/officeDocument/2006/relationships/chart" Target="../charts/chart2.xml"/><Relationship Id="rId5" Type="http://schemas.openxmlformats.org/officeDocument/2006/relationships/image" Target="../media/image6.png"/><Relationship Id="rId10" Type="http://schemas.openxmlformats.org/officeDocument/2006/relationships/image" Target="../media/image8.tmp"/><Relationship Id="rId4" Type="http://schemas.openxmlformats.org/officeDocument/2006/relationships/image" Target="../media/image4.png"/><Relationship Id="rId9" Type="http://schemas.openxmlformats.org/officeDocument/2006/relationships/image" Target="../media/image12.tmp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tmp"/><Relationship Id="rId7" Type="http://schemas.openxmlformats.org/officeDocument/2006/relationships/image" Target="../media/image4.png"/><Relationship Id="rId2" Type="http://schemas.openxmlformats.org/officeDocument/2006/relationships/image" Target="../media/image14.tmp"/><Relationship Id="rId1" Type="http://schemas.openxmlformats.org/officeDocument/2006/relationships/image" Target="../media/image13.tmp"/><Relationship Id="rId6" Type="http://schemas.openxmlformats.org/officeDocument/2006/relationships/image" Target="../media/image16.tmp"/><Relationship Id="rId11" Type="http://schemas.openxmlformats.org/officeDocument/2006/relationships/image" Target="../media/image8.tmp"/><Relationship Id="rId5" Type="http://schemas.openxmlformats.org/officeDocument/2006/relationships/image" Target="../media/image12.tmp"/><Relationship Id="rId10" Type="http://schemas.openxmlformats.org/officeDocument/2006/relationships/chart" Target="../charts/chart3.xml"/><Relationship Id="rId4" Type="http://schemas.openxmlformats.org/officeDocument/2006/relationships/image" Target="../media/image15.tmp"/><Relationship Id="rId9" Type="http://schemas.openxmlformats.org/officeDocument/2006/relationships/image" Target="../media/image5.tmp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tmp"/><Relationship Id="rId13" Type="http://schemas.openxmlformats.org/officeDocument/2006/relationships/chart" Target="../charts/chart4.xml"/><Relationship Id="rId3" Type="http://schemas.openxmlformats.org/officeDocument/2006/relationships/image" Target="../media/image3.tmp"/><Relationship Id="rId7" Type="http://schemas.openxmlformats.org/officeDocument/2006/relationships/image" Target="../media/image5.tmp"/><Relationship Id="rId12" Type="http://schemas.openxmlformats.org/officeDocument/2006/relationships/image" Target="../media/image23.tmp"/><Relationship Id="rId2" Type="http://schemas.openxmlformats.org/officeDocument/2006/relationships/image" Target="../media/image18.tmp"/><Relationship Id="rId1" Type="http://schemas.openxmlformats.org/officeDocument/2006/relationships/image" Target="../media/image17.tmp"/><Relationship Id="rId6" Type="http://schemas.openxmlformats.org/officeDocument/2006/relationships/image" Target="../media/image6.png"/><Relationship Id="rId11" Type="http://schemas.openxmlformats.org/officeDocument/2006/relationships/image" Target="../media/image22.tmp"/><Relationship Id="rId5" Type="http://schemas.openxmlformats.org/officeDocument/2006/relationships/image" Target="../media/image4.png"/><Relationship Id="rId10" Type="http://schemas.openxmlformats.org/officeDocument/2006/relationships/image" Target="../media/image21.tmp"/><Relationship Id="rId4" Type="http://schemas.openxmlformats.org/officeDocument/2006/relationships/image" Target="../media/image15.tmp"/><Relationship Id="rId9" Type="http://schemas.openxmlformats.org/officeDocument/2006/relationships/image" Target="../media/image20.tmp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chart" Target="../charts/chart6.xml"/><Relationship Id="rId3" Type="http://schemas.openxmlformats.org/officeDocument/2006/relationships/image" Target="../media/image26.tmp"/><Relationship Id="rId7" Type="http://schemas.openxmlformats.org/officeDocument/2006/relationships/image" Target="../media/image4.png"/><Relationship Id="rId12" Type="http://schemas.openxmlformats.org/officeDocument/2006/relationships/chart" Target="../charts/chart5.xml"/><Relationship Id="rId2" Type="http://schemas.openxmlformats.org/officeDocument/2006/relationships/image" Target="../media/image25.tmp"/><Relationship Id="rId1" Type="http://schemas.openxmlformats.org/officeDocument/2006/relationships/image" Target="../media/image24.tmp"/><Relationship Id="rId6" Type="http://schemas.openxmlformats.org/officeDocument/2006/relationships/image" Target="../media/image15.tmp"/><Relationship Id="rId11" Type="http://schemas.openxmlformats.org/officeDocument/2006/relationships/image" Target="../media/image20.tmp"/><Relationship Id="rId5" Type="http://schemas.openxmlformats.org/officeDocument/2006/relationships/image" Target="../media/image3.tmp"/><Relationship Id="rId10" Type="http://schemas.openxmlformats.org/officeDocument/2006/relationships/image" Target="../media/image19.tmp"/><Relationship Id="rId4" Type="http://schemas.openxmlformats.org/officeDocument/2006/relationships/image" Target="../media/image27.tmp"/><Relationship Id="rId9" Type="http://schemas.openxmlformats.org/officeDocument/2006/relationships/image" Target="../media/image5.tmp"/><Relationship Id="rId14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emf"/><Relationship Id="rId2" Type="http://schemas.openxmlformats.org/officeDocument/2006/relationships/image" Target="../media/image29.emf"/><Relationship Id="rId1" Type="http://schemas.openxmlformats.org/officeDocument/2006/relationships/image" Target="../media/image2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4</xdr:row>
      <xdr:rowOff>83820</xdr:rowOff>
    </xdr:from>
    <xdr:to>
      <xdr:col>19</xdr:col>
      <xdr:colOff>503430</xdr:colOff>
      <xdr:row>6</xdr:row>
      <xdr:rowOff>15266</xdr:rowOff>
    </xdr:to>
    <xdr:pic>
      <xdr:nvPicPr>
        <xdr:cNvPr id="2" name="Рисунок 1" descr="Вырезка экрана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4720" y="815340"/>
          <a:ext cx="5883150" cy="297206"/>
        </a:xfrm>
        <a:prstGeom prst="rect">
          <a:avLst/>
        </a:prstGeom>
      </xdr:spPr>
    </xdr:pic>
    <xdr:clientData/>
  </xdr:twoCellAnchor>
  <xdr:twoCellAnchor editAs="oneCell">
    <xdr:from>
      <xdr:col>11</xdr:col>
      <xdr:colOff>106680</xdr:colOff>
      <xdr:row>6</xdr:row>
      <xdr:rowOff>99060</xdr:rowOff>
    </xdr:from>
    <xdr:to>
      <xdr:col>19</xdr:col>
      <xdr:colOff>587254</xdr:colOff>
      <xdr:row>10</xdr:row>
      <xdr:rowOff>144847</xdr:rowOff>
    </xdr:to>
    <xdr:pic>
      <xdr:nvPicPr>
        <xdr:cNvPr id="3" name="Рисунок 2" descr="Вырезка экрана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1196340"/>
          <a:ext cx="5936494" cy="777307"/>
        </a:xfrm>
        <a:prstGeom prst="rect">
          <a:avLst/>
        </a:prstGeom>
      </xdr:spPr>
    </xdr:pic>
    <xdr:clientData/>
  </xdr:twoCellAnchor>
  <xdr:twoCellAnchor editAs="oneCell">
    <xdr:from>
      <xdr:col>5</xdr:col>
      <xdr:colOff>175260</xdr:colOff>
      <xdr:row>12</xdr:row>
      <xdr:rowOff>30480</xdr:rowOff>
    </xdr:from>
    <xdr:to>
      <xdr:col>6</xdr:col>
      <xdr:colOff>327660</xdr:colOff>
      <xdr:row>14</xdr:row>
      <xdr:rowOff>158703</xdr:rowOff>
    </xdr:to>
    <xdr:pic>
      <xdr:nvPicPr>
        <xdr:cNvPr id="6" name="Рисунок 5" descr="Вырезка экрана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3840" y="4099560"/>
          <a:ext cx="899160" cy="493983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</xdr:colOff>
      <xdr:row>12</xdr:row>
      <xdr:rowOff>76200</xdr:rowOff>
    </xdr:from>
    <xdr:to>
      <xdr:col>11</xdr:col>
      <xdr:colOff>594361</xdr:colOff>
      <xdr:row>15</xdr:row>
      <xdr:rowOff>152400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D9777B6-18C8-4494-FE6F-A68518AC69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5" t="10101" r="2029" b="7071"/>
        <a:stretch/>
      </xdr:blipFill>
      <xdr:spPr bwMode="auto">
        <a:xfrm>
          <a:off x="9532620" y="3962400"/>
          <a:ext cx="2407921" cy="6248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68580</xdr:colOff>
      <xdr:row>19</xdr:row>
      <xdr:rowOff>38100</xdr:rowOff>
    </xdr:from>
    <xdr:to>
      <xdr:col>9</xdr:col>
      <xdr:colOff>579120</xdr:colOff>
      <xdr:row>21</xdr:row>
      <xdr:rowOff>167639</xdr:rowOff>
    </xdr:to>
    <xdr:pic>
      <xdr:nvPicPr>
        <xdr:cNvPr id="10" name="Рисунок 9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0" r="4383" b="12170"/>
        <a:stretch/>
      </xdr:blipFill>
      <xdr:spPr>
        <a:xfrm>
          <a:off x="9585960" y="5204460"/>
          <a:ext cx="1120140" cy="495299"/>
        </a:xfrm>
        <a:prstGeom prst="rect">
          <a:avLst/>
        </a:prstGeom>
      </xdr:spPr>
    </xdr:pic>
    <xdr:clientData/>
  </xdr:twoCellAnchor>
  <xdr:twoCellAnchor editAs="oneCell">
    <xdr:from>
      <xdr:col>5</xdr:col>
      <xdr:colOff>205739</xdr:colOff>
      <xdr:row>17</xdr:row>
      <xdr:rowOff>53340</xdr:rowOff>
    </xdr:from>
    <xdr:to>
      <xdr:col>6</xdr:col>
      <xdr:colOff>215724</xdr:colOff>
      <xdr:row>18</xdr:row>
      <xdr:rowOff>144780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8E6EE855-1B62-CE4F-EFFE-9F0A8C2259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71" t="11177" r="6742" b="13483"/>
        <a:stretch/>
      </xdr:blipFill>
      <xdr:spPr bwMode="auto">
        <a:xfrm>
          <a:off x="7894319" y="5219700"/>
          <a:ext cx="756745" cy="274320"/>
        </a:xfrm>
        <a:prstGeom prst="rect">
          <a:avLst/>
        </a:prstGeom>
        <a:noFill/>
      </xdr:spPr>
    </xdr:pic>
    <xdr:clientData/>
  </xdr:twoCellAnchor>
  <xdr:twoCellAnchor>
    <xdr:from>
      <xdr:col>9</xdr:col>
      <xdr:colOff>396240</xdr:colOff>
      <xdr:row>26</xdr:row>
      <xdr:rowOff>7620</xdr:rowOff>
    </xdr:from>
    <xdr:to>
      <xdr:col>16</xdr:col>
      <xdr:colOff>190500</xdr:colOff>
      <xdr:row>40</xdr:row>
      <xdr:rowOff>156210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0</xdr:col>
      <xdr:colOff>22860</xdr:colOff>
      <xdr:row>15</xdr:row>
      <xdr:rowOff>3810</xdr:rowOff>
    </xdr:from>
    <xdr:ext cx="105298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22860" y="2747010"/>
              <a:ext cx="105298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(0)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(1−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θ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22860" y="2747010"/>
              <a:ext cx="105298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 (0)</a:t>
              </a:r>
              <a:r>
                <a:rPr lang="en-US" sz="1100" b="0" i="0">
                  <a:latin typeface="Cambria Math" panose="02040503050406030204" pitchFamily="18" charset="0"/>
                </a:rPr>
                <a:t>=〖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(1−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22860</xdr:colOff>
      <xdr:row>15</xdr:row>
      <xdr:rowOff>179070</xdr:rowOff>
    </xdr:from>
    <xdr:ext cx="114608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22860" y="2922270"/>
              <a:ext cx="11460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(1)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</a:rPr>
                      <m:t>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(1−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</a:rPr>
                      <m:t>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22860" y="2922270"/>
              <a:ext cx="11460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 (1)</a:t>
              </a:r>
              <a:r>
                <a:rPr lang="en-US" sz="1100" b="0" i="0">
                  <a:latin typeface="Cambria Math" panose="02040503050406030204" pitchFamily="18" charset="0"/>
                </a:rPr>
                <a:t>=2</a:t>
              </a:r>
              <a:r>
                <a:rPr lang="el-GR" sz="1100" b="0" i="0">
                  <a:latin typeface="Cambria Math" panose="02040503050406030204" pitchFamily="18" charset="0"/>
                </a:rPr>
                <a:t>θ</a:t>
              </a:r>
              <a:r>
                <a:rPr lang="en-US" sz="1100" b="0" i="0">
                  <a:latin typeface="Cambria Math" panose="02040503050406030204" pitchFamily="18" charset="0"/>
                </a:rPr>
                <a:t>(1−</a:t>
              </a:r>
              <a:r>
                <a:rPr lang="el-GR" sz="1100" b="0" i="0">
                  <a:latin typeface="Cambria Math" panose="02040503050406030204" pitchFamily="18" charset="0"/>
                </a:rPr>
                <a:t>θ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22860</xdr:colOff>
      <xdr:row>16</xdr:row>
      <xdr:rowOff>179070</xdr:rowOff>
    </xdr:from>
    <xdr:ext cx="692946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22860" y="3105150"/>
              <a:ext cx="69294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θ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22860" y="3105150"/>
              <a:ext cx="69294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r>
                <a:rPr lang="ru-RU" sz="1100" b="0" i="0">
                  <a:latin typeface="Cambria Math" panose="02040503050406030204" pitchFamily="18" charset="0"/>
                </a:rPr>
                <a:t> (2)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l-GR" sz="1100" b="0" i="0">
                  <a:latin typeface="Cambria Math" panose="02040503050406030204" pitchFamily="18" charset="0"/>
                </a:rPr>
                <a:t>θ</a:t>
              </a:r>
              <a:r>
                <a:rPr lang="en-US" sz="1100" b="0" i="0">
                  <a:latin typeface="Cambria Math" panose="02040503050406030204" pitchFamily="18" charset="0"/>
                </a:rPr>
                <a:t>^2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2</xdr:col>
      <xdr:colOff>38100</xdr:colOff>
      <xdr:row>28</xdr:row>
      <xdr:rowOff>68580</xdr:rowOff>
    </xdr:from>
    <xdr:to>
      <xdr:col>2</xdr:col>
      <xdr:colOff>678235</xdr:colOff>
      <xdr:row>29</xdr:row>
      <xdr:rowOff>111274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70660" y="5234940"/>
          <a:ext cx="640135" cy="256054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</xdr:colOff>
      <xdr:row>36</xdr:row>
      <xdr:rowOff>160020</xdr:rowOff>
    </xdr:from>
    <xdr:to>
      <xdr:col>5</xdr:col>
      <xdr:colOff>716403</xdr:colOff>
      <xdr:row>39</xdr:row>
      <xdr:rowOff>205792</xdr:rowOff>
    </xdr:to>
    <xdr:pic>
      <xdr:nvPicPr>
        <xdr:cNvPr id="17" name="Рисунок 16" descr="Вырезка экрана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2780" y="6819900"/>
          <a:ext cx="1417443" cy="594412"/>
        </a:xfrm>
        <a:prstGeom prst="rect">
          <a:avLst/>
        </a:prstGeom>
      </xdr:spPr>
    </xdr:pic>
    <xdr:clientData/>
  </xdr:twoCellAnchor>
  <xdr:oneCellAnchor>
    <xdr:from>
      <xdr:col>9</xdr:col>
      <xdr:colOff>114300</xdr:colOff>
      <xdr:row>12</xdr:row>
      <xdr:rowOff>156210</xdr:rowOff>
    </xdr:from>
    <xdr:ext cx="143372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6758940" y="2350770"/>
              <a:ext cx="14337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56E87A27-2489-4D65-A2C7-5C53C848FCFC}" type="mathplaceholder">
                      <a:rPr lang="ru-RU" sz="1100" i="1">
                        <a:latin typeface="Cambria Math" panose="02040503050406030204" pitchFamily="18" charset="0"/>
                      </a:rPr>
                      <a:t>Место для уравнения.</a:t>
                    </a:fl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6758940" y="2350770"/>
              <a:ext cx="14337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"Место для уравнения."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60960</xdr:colOff>
      <xdr:row>4</xdr:row>
      <xdr:rowOff>179070</xdr:rowOff>
    </xdr:from>
    <xdr:ext cx="3742371" cy="2106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/>
            <xdr:cNvSpPr txBox="1"/>
          </xdr:nvSpPr>
          <xdr:spPr>
            <a:xfrm>
              <a:off x="3954780" y="910590"/>
              <a:ext cx="3742371" cy="210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sub>
                    </m:sSub>
                    <m:d>
                      <m:d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𝑘</m:t>
                        </m:r>
                      </m:e>
                    </m:d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sz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P</m:t>
                    </m:r>
                    <m:d>
                      <m:dPr>
                        <m:ctrlP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ru-RU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k</m:t>
                        </m:r>
                      </m:e>
                    </m:d>
                    <m:r>
                      <a:rPr lang="ru-RU" sz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m:rPr>
                            <m:sty m:val="p"/>
                          </m:rPr>
                          <a:rPr lang="ru-RU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C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ru-RU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n</m:t>
                        </m:r>
                      </m:sub>
                      <m:sup>
                        <m:r>
                          <m:rPr>
                            <m:sty m:val="p"/>
                          </m:rPr>
                          <a:rPr lang="ru-RU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k</m:t>
                        </m:r>
                      </m:sup>
                    </m:sSubSup>
                    <m:sSup>
                      <m:sSupPr>
                        <m:ctrlP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ru-RU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θ</m:t>
                        </m:r>
                      </m:e>
                      <m:sup>
                        <m:r>
                          <m:rPr>
                            <m:sty m:val="p"/>
                          </m:rPr>
                          <a:rPr lang="ru-RU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k</m:t>
                        </m:r>
                      </m:sup>
                    </m:sSup>
                    <m:sSup>
                      <m:sSupPr>
                        <m:ctrlP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RU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</m:t>
                            </m:r>
                            <m:r>
                              <a:rPr lang="ru-RU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</m:t>
                            </m:r>
                            <m:r>
                              <m:rPr>
                                <m:sty m:val="p"/>
                              </m:rPr>
                              <a:rPr lang="ru-RU" sz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θ</m:t>
                            </m:r>
                          </m:e>
                        </m:d>
                      </m:e>
                      <m:sup>
                        <m:r>
                          <m:rPr>
                            <m:sty m:val="p"/>
                          </m:rPr>
                          <a:rPr lang="ru-RU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n</m:t>
                        </m:r>
                        <m: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ru-RU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k</m:t>
                        </m:r>
                      </m:sup>
                    </m:sSup>
                    <m:r>
                      <a:rPr lang="ru-RU" sz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,</m:t>
                    </m:r>
                    <m:r>
                      <a:rPr lang="ru-RU" sz="12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 </m:t>
                    </m:r>
                    <m:r>
                      <m:rPr>
                        <m:sty m:val="p"/>
                      </m:rPr>
                      <a:rPr lang="ru-RU" sz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</m:t>
                    </m:r>
                    <m:r>
                      <a:rPr lang="ru-RU" sz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=0, 1, 2;</m:t>
                    </m:r>
                    <m:r>
                      <m:rPr>
                        <m:sty m:val="p"/>
                      </m:rPr>
                      <a:rPr lang="ru-RU" sz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θ</m:t>
                    </m:r>
                    <m:r>
                      <a:rPr lang="ru-RU" sz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∈</m:t>
                    </m:r>
                    <m:d>
                      <m:dPr>
                        <m:ctrlP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ru-RU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0,1</m:t>
                        </m:r>
                      </m:e>
                    </m:d>
                  </m:oMath>
                </m:oMathPara>
              </a14:m>
              <a:endParaRPr lang="ru-RU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9" name="TextBox 18"/>
            <xdr:cNvSpPr txBox="1"/>
          </xdr:nvSpPr>
          <xdr:spPr>
            <a:xfrm>
              <a:off x="3954780" y="910590"/>
              <a:ext cx="3742371" cy="210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𝑝_𝑗 (𝑘)=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P</a:t>
              </a:r>
              <a:r>
                <a:rPr lang="ru-RU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(k)=C_n^k θ^k (1−θ)^(n−k),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ru-RU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k=0, 1, 2;θ∈(0,1)</a:t>
              </a:r>
              <a:endParaRPr lang="ru-RU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22860</xdr:colOff>
      <xdr:row>7</xdr:row>
      <xdr:rowOff>26670</xdr:rowOff>
    </xdr:from>
    <xdr:ext cx="714426" cy="4800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3916680" y="1306830"/>
              <a:ext cx="714426" cy="4800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undOvr"/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sty m:val="p"/>
                          </m:rPr>
                          <a:rPr lang="ru-RU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k</m:t>
                        </m:r>
                        <m:r>
                          <a:rPr lang="ru-RU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=0</m:t>
                        </m:r>
                      </m:sub>
                      <m:sup>
                        <m:r>
                          <a:rPr lang="ru-RU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  <m:e>
                        <m:f>
                          <m:f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k</m:t>
                                </m:r>
                              </m:sub>
                            </m:sSub>
                            <m:sSubSup>
                              <m:sSubSup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p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k</m:t>
                                </m:r>
                              </m:sub>
                              <m:sup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p>
                            </m:sSubSup>
                            <m:d>
                              <m:d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sty m:val="p"/>
                                  </m:rP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θ</m:t>
                                </m:r>
                              </m:e>
                            </m:d>
                          </m:num>
                          <m:den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p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US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k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sty m:val="p"/>
                                  </m:rP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θ</m:t>
                                </m:r>
                              </m:e>
                            </m:d>
                          </m:den>
                        </m:f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3916680" y="1306830"/>
              <a:ext cx="714426" cy="4800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∑1_(k=0)^2▒(n_k p_k^′ (θ))/(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k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(θ)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68580</xdr:colOff>
      <xdr:row>13</xdr:row>
      <xdr:rowOff>140970</xdr:rowOff>
    </xdr:from>
    <xdr:ext cx="1228541" cy="1829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2209800" y="2518410"/>
              <a:ext cx="1228541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ru-RU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θ</m:t>
                            </m:r>
                          </m:e>
                        </m:acc>
                      </m:e>
                      <m:sub>
                        <m:r>
                          <m:rPr>
                            <m:sty m:val="p"/>
                          </m:rPr>
                          <a:rPr lang="ru-RU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n</m:t>
                        </m:r>
                      </m:sub>
                    </m:sSub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ru-RU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n</m:t>
                            </m:r>
                          </m:e>
                          <m:sub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ru-RU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+2</m:t>
                        </m:r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ru-RU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n</m:t>
                            </m:r>
                          </m:e>
                          <m:sub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/2</m:t>
                    </m:r>
                    <m:r>
                      <m:rPr>
                        <m:sty m:val="p"/>
                      </m:rPr>
                      <a:rPr lang="ru-RU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n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2209800" y="2518410"/>
              <a:ext cx="1228541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θ ̂_n=(n_1+2n_2 )/2n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152213</xdr:colOff>
      <xdr:row>4</xdr:row>
      <xdr:rowOff>22860</xdr:rowOff>
    </xdr:from>
    <xdr:to>
      <xdr:col>17</xdr:col>
      <xdr:colOff>541354</xdr:colOff>
      <xdr:row>17</xdr:row>
      <xdr:rowOff>121920</xdr:rowOff>
    </xdr:to>
    <xdr:pic>
      <xdr:nvPicPr>
        <xdr:cNvPr id="2" name="Рисунок 1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69" b="1260"/>
        <a:stretch/>
      </xdr:blipFill>
      <xdr:spPr>
        <a:xfrm>
          <a:off x="6621593" y="754380"/>
          <a:ext cx="6012701" cy="2887980"/>
        </a:xfrm>
        <a:prstGeom prst="rect">
          <a:avLst/>
        </a:prstGeom>
      </xdr:spPr>
    </xdr:pic>
    <xdr:clientData/>
  </xdr:twoCellAnchor>
  <xdr:twoCellAnchor editAs="oneCell">
    <xdr:from>
      <xdr:col>8</xdr:col>
      <xdr:colOff>165039</xdr:colOff>
      <xdr:row>17</xdr:row>
      <xdr:rowOff>131212</xdr:rowOff>
    </xdr:from>
    <xdr:to>
      <xdr:col>17</xdr:col>
      <xdr:colOff>622766</xdr:colOff>
      <xdr:row>18</xdr:row>
      <xdr:rowOff>154090</xdr:rowOff>
    </xdr:to>
    <xdr:pic>
      <xdr:nvPicPr>
        <xdr:cNvPr id="3" name="Рисунок 2" descr="Вырезка экрана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4419" y="3651652"/>
          <a:ext cx="6081287" cy="205758"/>
        </a:xfrm>
        <a:prstGeom prst="rect">
          <a:avLst/>
        </a:prstGeom>
      </xdr:spPr>
    </xdr:pic>
    <xdr:clientData/>
  </xdr:twoCellAnchor>
  <xdr:twoCellAnchor editAs="oneCell">
    <xdr:from>
      <xdr:col>10</xdr:col>
      <xdr:colOff>175260</xdr:colOff>
      <xdr:row>20</xdr:row>
      <xdr:rowOff>30480</xdr:rowOff>
    </xdr:from>
    <xdr:to>
      <xdr:col>11</xdr:col>
      <xdr:colOff>464820</xdr:colOff>
      <xdr:row>22</xdr:row>
      <xdr:rowOff>158703</xdr:rowOff>
    </xdr:to>
    <xdr:pic>
      <xdr:nvPicPr>
        <xdr:cNvPr id="4" name="Рисунок 3" descr="Вырезка экрана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3840" y="4099560"/>
          <a:ext cx="899160" cy="493983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</xdr:colOff>
      <xdr:row>19</xdr:row>
      <xdr:rowOff>76200</xdr:rowOff>
    </xdr:from>
    <xdr:to>
      <xdr:col>16</xdr:col>
      <xdr:colOff>594361</xdr:colOff>
      <xdr:row>22</xdr:row>
      <xdr:rowOff>152400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D9777B6-18C8-4494-FE6F-A68518AC69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5" t="10101" r="2029" b="7071"/>
        <a:stretch/>
      </xdr:blipFill>
      <xdr:spPr bwMode="auto">
        <a:xfrm>
          <a:off x="6332220" y="5242560"/>
          <a:ext cx="2407921" cy="62484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205739</xdr:colOff>
      <xdr:row>26</xdr:row>
      <xdr:rowOff>53340</xdr:rowOff>
    </xdr:from>
    <xdr:to>
      <xdr:col>11</xdr:col>
      <xdr:colOff>352884</xdr:colOff>
      <xdr:row>27</xdr:row>
      <xdr:rowOff>121920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E6EE855-1B62-CE4F-EFFE-9F0A8C2259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71" t="11177" r="6742" b="13483"/>
        <a:stretch/>
      </xdr:blipFill>
      <xdr:spPr bwMode="auto">
        <a:xfrm>
          <a:off x="6164579" y="6286500"/>
          <a:ext cx="756745" cy="274320"/>
        </a:xfrm>
        <a:prstGeom prst="rect">
          <a:avLst/>
        </a:prstGeom>
        <a:noFill/>
      </xdr:spPr>
    </xdr:pic>
    <xdr:clientData/>
  </xdr:twoCellAnchor>
  <xdr:twoCellAnchor>
    <xdr:from>
      <xdr:col>11</xdr:col>
      <xdr:colOff>220980</xdr:colOff>
      <xdr:row>40</xdr:row>
      <xdr:rowOff>95250</xdr:rowOff>
    </xdr:from>
    <xdr:to>
      <xdr:col>18</xdr:col>
      <xdr:colOff>266700</xdr:colOff>
      <xdr:row>52</xdr:row>
      <xdr:rowOff>739140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68580</xdr:colOff>
      <xdr:row>26</xdr:row>
      <xdr:rowOff>38100</xdr:rowOff>
    </xdr:from>
    <xdr:to>
      <xdr:col>14</xdr:col>
      <xdr:colOff>579120</xdr:colOff>
      <xdr:row>28</xdr:row>
      <xdr:rowOff>144779</xdr:rowOff>
    </xdr:to>
    <xdr:pic>
      <xdr:nvPicPr>
        <xdr:cNvPr id="12" name="Рисунок 11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0" r="4383" b="12170"/>
        <a:stretch/>
      </xdr:blipFill>
      <xdr:spPr>
        <a:xfrm>
          <a:off x="9044940" y="5021580"/>
          <a:ext cx="1120140" cy="495299"/>
        </a:xfrm>
        <a:prstGeom prst="rect">
          <a:avLst/>
        </a:prstGeom>
      </xdr:spPr>
    </xdr:pic>
    <xdr:clientData/>
  </xdr:twoCellAnchor>
  <xdr:twoCellAnchor editAs="oneCell">
    <xdr:from>
      <xdr:col>7</xdr:col>
      <xdr:colOff>143014</xdr:colOff>
      <xdr:row>38</xdr:row>
      <xdr:rowOff>52412</xdr:rowOff>
    </xdr:from>
    <xdr:to>
      <xdr:col>9</xdr:col>
      <xdr:colOff>495299</xdr:colOff>
      <xdr:row>39</xdr:row>
      <xdr:rowOff>167640</xdr:rowOff>
    </xdr:to>
    <xdr:pic>
      <xdr:nvPicPr>
        <xdr:cNvPr id="13" name="Рисунок 12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0" r="942" b="5982"/>
        <a:stretch/>
      </xdr:blipFill>
      <xdr:spPr>
        <a:xfrm>
          <a:off x="5781814" y="7512392"/>
          <a:ext cx="1792465" cy="320968"/>
        </a:xfrm>
        <a:prstGeom prst="rect">
          <a:avLst/>
        </a:prstGeom>
      </xdr:spPr>
    </xdr:pic>
    <xdr:clientData/>
  </xdr:twoCellAnchor>
  <xdr:twoCellAnchor editAs="oneCell">
    <xdr:from>
      <xdr:col>2</xdr:col>
      <xdr:colOff>15241</xdr:colOff>
      <xdr:row>50</xdr:row>
      <xdr:rowOff>83820</xdr:rowOff>
    </xdr:from>
    <xdr:to>
      <xdr:col>2</xdr:col>
      <xdr:colOff>658683</xdr:colOff>
      <xdr:row>51</xdr:row>
      <xdr:rowOff>121920</xdr:rowOff>
    </xdr:to>
    <xdr:pic>
      <xdr:nvPicPr>
        <xdr:cNvPr id="14" name="Рисунок 13" descr="Вырезка экрана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2121" y="9761220"/>
          <a:ext cx="643442" cy="251460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</xdr:colOff>
      <xdr:row>53</xdr:row>
      <xdr:rowOff>38100</xdr:rowOff>
    </xdr:from>
    <xdr:to>
      <xdr:col>5</xdr:col>
      <xdr:colOff>586863</xdr:colOff>
      <xdr:row>56</xdr:row>
      <xdr:rowOff>83872</xdr:rowOff>
    </xdr:to>
    <xdr:pic>
      <xdr:nvPicPr>
        <xdr:cNvPr id="15" name="Рисунок 14" descr="Вырезка экрана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1860" y="10294620"/>
          <a:ext cx="1417443" cy="5944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106680</xdr:colOff>
      <xdr:row>4</xdr:row>
      <xdr:rowOff>60960</xdr:rowOff>
    </xdr:from>
    <xdr:to>
      <xdr:col>19</xdr:col>
      <xdr:colOff>61478</xdr:colOff>
      <xdr:row>10</xdr:row>
      <xdr:rowOff>30603</xdr:rowOff>
    </xdr:to>
    <xdr:pic>
      <xdr:nvPicPr>
        <xdr:cNvPr id="2" name="Рисунок 1" descr="Вырезка экрана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140" y="792480"/>
          <a:ext cx="5982218" cy="1417443"/>
        </a:xfrm>
        <a:prstGeom prst="rect">
          <a:avLst/>
        </a:prstGeom>
      </xdr:spPr>
    </xdr:pic>
    <xdr:clientData/>
  </xdr:twoCellAnchor>
  <xdr:twoCellAnchor editAs="oneCell">
    <xdr:from>
      <xdr:col>10</xdr:col>
      <xdr:colOff>137160</xdr:colOff>
      <xdr:row>10</xdr:row>
      <xdr:rowOff>15240</xdr:rowOff>
    </xdr:from>
    <xdr:to>
      <xdr:col>19</xdr:col>
      <xdr:colOff>61476</xdr:colOff>
      <xdr:row>11</xdr:row>
      <xdr:rowOff>30497</xdr:rowOff>
    </xdr:to>
    <xdr:pic>
      <xdr:nvPicPr>
        <xdr:cNvPr id="3" name="Рисунок 2" descr="Вырезка экрана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2194560"/>
          <a:ext cx="5951736" cy="198137"/>
        </a:xfrm>
        <a:prstGeom prst="rect">
          <a:avLst/>
        </a:prstGeom>
      </xdr:spPr>
    </xdr:pic>
    <xdr:clientData/>
  </xdr:twoCellAnchor>
  <xdr:twoCellAnchor editAs="oneCell">
    <xdr:from>
      <xdr:col>10</xdr:col>
      <xdr:colOff>175260</xdr:colOff>
      <xdr:row>14</xdr:row>
      <xdr:rowOff>30480</xdr:rowOff>
    </xdr:from>
    <xdr:to>
      <xdr:col>11</xdr:col>
      <xdr:colOff>464820</xdr:colOff>
      <xdr:row>16</xdr:row>
      <xdr:rowOff>135843</xdr:rowOff>
    </xdr:to>
    <xdr:pic>
      <xdr:nvPicPr>
        <xdr:cNvPr id="4" name="Рисунок 3" descr="Вырезка экрана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3840" y="4099560"/>
          <a:ext cx="899160" cy="493983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</xdr:colOff>
      <xdr:row>14</xdr:row>
      <xdr:rowOff>45720</xdr:rowOff>
    </xdr:from>
    <xdr:to>
      <xdr:col>13</xdr:col>
      <xdr:colOff>685856</xdr:colOff>
      <xdr:row>16</xdr:row>
      <xdr:rowOff>129581</xdr:rowOff>
    </xdr:to>
    <xdr:pic>
      <xdr:nvPicPr>
        <xdr:cNvPr id="5" name="Рисунок 4" descr="Вырезка экрана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4940" y="2956560"/>
          <a:ext cx="647756" cy="472481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152401</xdr:colOff>
      <xdr:row>40</xdr:row>
      <xdr:rowOff>53340</xdr:rowOff>
    </xdr:from>
    <xdr:to>
      <xdr:col>3</xdr:col>
      <xdr:colOff>795843</xdr:colOff>
      <xdr:row>41</xdr:row>
      <xdr:rowOff>91440</xdr:rowOff>
    </xdr:to>
    <xdr:pic>
      <xdr:nvPicPr>
        <xdr:cNvPr id="6" name="Рисунок 5" descr="Вырезка экрана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9781" y="7719060"/>
          <a:ext cx="643442" cy="25146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27</xdr:row>
      <xdr:rowOff>30480</xdr:rowOff>
    </xdr:from>
    <xdr:to>
      <xdr:col>2</xdr:col>
      <xdr:colOff>464940</xdr:colOff>
      <xdr:row>28</xdr:row>
      <xdr:rowOff>129564</xdr:rowOff>
    </xdr:to>
    <xdr:pic>
      <xdr:nvPicPr>
        <xdr:cNvPr id="7" name="Рисунок 6" descr="Вырезка экрана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5318760"/>
          <a:ext cx="1379340" cy="281964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</xdr:colOff>
      <xdr:row>19</xdr:row>
      <xdr:rowOff>76200</xdr:rowOff>
    </xdr:from>
    <xdr:to>
      <xdr:col>13</xdr:col>
      <xdr:colOff>594361</xdr:colOff>
      <xdr:row>22</xdr:row>
      <xdr:rowOff>152400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D9777B6-18C8-4494-FE6F-A68518AC69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5" t="10101" r="2029" b="7071"/>
        <a:stretch/>
      </xdr:blipFill>
      <xdr:spPr bwMode="auto">
        <a:xfrm>
          <a:off x="9532620" y="3962400"/>
          <a:ext cx="2407921" cy="62484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205739</xdr:colOff>
      <xdr:row>25</xdr:row>
      <xdr:rowOff>53340</xdr:rowOff>
    </xdr:from>
    <xdr:to>
      <xdr:col>11</xdr:col>
      <xdr:colOff>352884</xdr:colOff>
      <xdr:row>26</xdr:row>
      <xdr:rowOff>144780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8E6EE855-1B62-CE4F-EFFE-9F0A8C2259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71" t="11177" r="6742" b="13483"/>
        <a:stretch/>
      </xdr:blipFill>
      <xdr:spPr bwMode="auto">
        <a:xfrm>
          <a:off x="7894319" y="5219700"/>
          <a:ext cx="756745" cy="27432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68580</xdr:colOff>
      <xdr:row>29</xdr:row>
      <xdr:rowOff>38100</xdr:rowOff>
    </xdr:from>
    <xdr:to>
      <xdr:col>11</xdr:col>
      <xdr:colOff>579120</xdr:colOff>
      <xdr:row>31</xdr:row>
      <xdr:rowOff>144779</xdr:rowOff>
    </xdr:to>
    <xdr:pic>
      <xdr:nvPicPr>
        <xdr:cNvPr id="13" name="Рисунок 12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0" r="4383" b="12170"/>
        <a:stretch/>
      </xdr:blipFill>
      <xdr:spPr>
        <a:xfrm>
          <a:off x="9585960" y="5204460"/>
          <a:ext cx="1120140" cy="495299"/>
        </a:xfrm>
        <a:prstGeom prst="rect">
          <a:avLst/>
        </a:prstGeom>
      </xdr:spPr>
    </xdr:pic>
    <xdr:clientData/>
  </xdr:twoCellAnchor>
  <xdr:twoCellAnchor>
    <xdr:from>
      <xdr:col>12</xdr:col>
      <xdr:colOff>114300</xdr:colOff>
      <xdr:row>27</xdr:row>
      <xdr:rowOff>160020</xdr:rowOff>
    </xdr:from>
    <xdr:to>
      <xdr:col>18</xdr:col>
      <xdr:colOff>487680</xdr:colOff>
      <xdr:row>44</xdr:row>
      <xdr:rowOff>144780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</xdr:col>
      <xdr:colOff>99060</xdr:colOff>
      <xdr:row>49</xdr:row>
      <xdr:rowOff>68580</xdr:rowOff>
    </xdr:from>
    <xdr:to>
      <xdr:col>6</xdr:col>
      <xdr:colOff>701163</xdr:colOff>
      <xdr:row>52</xdr:row>
      <xdr:rowOff>114352</xdr:rowOff>
    </xdr:to>
    <xdr:pic>
      <xdr:nvPicPr>
        <xdr:cNvPr id="12" name="Рисунок 11" descr="Вырезка экрана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2380" y="9715500"/>
          <a:ext cx="1417443" cy="5944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53340</xdr:colOff>
      <xdr:row>4</xdr:row>
      <xdr:rowOff>129540</xdr:rowOff>
    </xdr:from>
    <xdr:to>
      <xdr:col>19</xdr:col>
      <xdr:colOff>518</xdr:colOff>
      <xdr:row>9</xdr:row>
      <xdr:rowOff>30567</xdr:rowOff>
    </xdr:to>
    <xdr:pic>
      <xdr:nvPicPr>
        <xdr:cNvPr id="4" name="Рисунок 3" descr="Вырезка экрана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3280" y="861060"/>
          <a:ext cx="5982218" cy="998307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</xdr:colOff>
      <xdr:row>9</xdr:row>
      <xdr:rowOff>114300</xdr:rowOff>
    </xdr:from>
    <xdr:to>
      <xdr:col>18</xdr:col>
      <xdr:colOff>587256</xdr:colOff>
      <xdr:row>9</xdr:row>
      <xdr:rowOff>312437</xdr:rowOff>
    </xdr:to>
    <xdr:pic>
      <xdr:nvPicPr>
        <xdr:cNvPr id="5" name="Рисунок 4" descr="Вырезка экрана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0900" y="1943100"/>
          <a:ext cx="5951736" cy="198137"/>
        </a:xfrm>
        <a:prstGeom prst="rect">
          <a:avLst/>
        </a:prstGeom>
      </xdr:spPr>
    </xdr:pic>
    <xdr:clientData/>
  </xdr:twoCellAnchor>
  <xdr:twoCellAnchor editAs="oneCell">
    <xdr:from>
      <xdr:col>10</xdr:col>
      <xdr:colOff>175260</xdr:colOff>
      <xdr:row>14</xdr:row>
      <xdr:rowOff>30480</xdr:rowOff>
    </xdr:from>
    <xdr:to>
      <xdr:col>11</xdr:col>
      <xdr:colOff>464820</xdr:colOff>
      <xdr:row>16</xdr:row>
      <xdr:rowOff>158703</xdr:rowOff>
    </xdr:to>
    <xdr:pic>
      <xdr:nvPicPr>
        <xdr:cNvPr id="6" name="Рисунок 5" descr="Вырезка экрана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941320"/>
          <a:ext cx="899160" cy="493983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</xdr:colOff>
      <xdr:row>14</xdr:row>
      <xdr:rowOff>45720</xdr:rowOff>
    </xdr:from>
    <xdr:to>
      <xdr:col>13</xdr:col>
      <xdr:colOff>685856</xdr:colOff>
      <xdr:row>16</xdr:row>
      <xdr:rowOff>152441</xdr:rowOff>
    </xdr:to>
    <xdr:pic>
      <xdr:nvPicPr>
        <xdr:cNvPr id="7" name="Рисунок 6" descr="Вырезка экрана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4940" y="2956560"/>
          <a:ext cx="647756" cy="472481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</xdr:colOff>
      <xdr:row>19</xdr:row>
      <xdr:rowOff>76200</xdr:rowOff>
    </xdr:from>
    <xdr:to>
      <xdr:col>13</xdr:col>
      <xdr:colOff>594361</xdr:colOff>
      <xdr:row>22</xdr:row>
      <xdr:rowOff>152400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D9777B6-18C8-4494-FE6F-A68518AC69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5" t="10101" r="2029" b="7071"/>
        <a:stretch/>
      </xdr:blipFill>
      <xdr:spPr bwMode="auto">
        <a:xfrm>
          <a:off x="7193280" y="3924300"/>
          <a:ext cx="2407921" cy="62484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205739</xdr:colOff>
      <xdr:row>25</xdr:row>
      <xdr:rowOff>53340</xdr:rowOff>
    </xdr:from>
    <xdr:to>
      <xdr:col>11</xdr:col>
      <xdr:colOff>352884</xdr:colOff>
      <xdr:row>26</xdr:row>
      <xdr:rowOff>144780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8E6EE855-1B62-CE4F-EFFE-9F0A8C2259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71" t="11177" r="6742" b="13483"/>
        <a:stretch/>
      </xdr:blipFill>
      <xdr:spPr bwMode="auto">
        <a:xfrm>
          <a:off x="7383779" y="4998720"/>
          <a:ext cx="756745" cy="27432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68580</xdr:colOff>
      <xdr:row>29</xdr:row>
      <xdr:rowOff>38100</xdr:rowOff>
    </xdr:from>
    <xdr:to>
      <xdr:col>11</xdr:col>
      <xdr:colOff>579120</xdr:colOff>
      <xdr:row>31</xdr:row>
      <xdr:rowOff>144779</xdr:rowOff>
    </xdr:to>
    <xdr:pic>
      <xdr:nvPicPr>
        <xdr:cNvPr id="10" name="Рисунок 9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0" r="4383" b="12170"/>
        <a:stretch/>
      </xdr:blipFill>
      <xdr:spPr>
        <a:xfrm>
          <a:off x="7246620" y="5715000"/>
          <a:ext cx="1120140" cy="495299"/>
        </a:xfrm>
        <a:prstGeom prst="rect">
          <a:avLst/>
        </a:prstGeom>
      </xdr:spPr>
    </xdr:pic>
    <xdr:clientData/>
  </xdr:twoCellAnchor>
  <xdr:twoCellAnchor editAs="oneCell">
    <xdr:from>
      <xdr:col>13</xdr:col>
      <xdr:colOff>53340</xdr:colOff>
      <xdr:row>28</xdr:row>
      <xdr:rowOff>53340</xdr:rowOff>
    </xdr:from>
    <xdr:to>
      <xdr:col>16</xdr:col>
      <xdr:colOff>686047</xdr:colOff>
      <xdr:row>30</xdr:row>
      <xdr:rowOff>91477</xdr:rowOff>
    </xdr:to>
    <xdr:pic>
      <xdr:nvPicPr>
        <xdr:cNvPr id="12" name="Рисунок 11" descr="Вырезка экрана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2080" y="5562600"/>
          <a:ext cx="2850127" cy="426757"/>
        </a:xfrm>
        <a:prstGeom prst="rect">
          <a:avLst/>
        </a:prstGeom>
      </xdr:spPr>
    </xdr:pic>
    <xdr:clientData/>
  </xdr:twoCellAnchor>
  <xdr:twoCellAnchor editAs="oneCell">
    <xdr:from>
      <xdr:col>13</xdr:col>
      <xdr:colOff>205740</xdr:colOff>
      <xdr:row>33</xdr:row>
      <xdr:rowOff>45720</xdr:rowOff>
    </xdr:from>
    <xdr:to>
      <xdr:col>14</xdr:col>
      <xdr:colOff>510634</xdr:colOff>
      <xdr:row>35</xdr:row>
      <xdr:rowOff>137204</xdr:rowOff>
    </xdr:to>
    <xdr:pic>
      <xdr:nvPicPr>
        <xdr:cNvPr id="13" name="Рисунок 12" descr="Вырезка экрана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4480" y="6492240"/>
          <a:ext cx="1089754" cy="457244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</xdr:colOff>
      <xdr:row>29</xdr:row>
      <xdr:rowOff>60960</xdr:rowOff>
    </xdr:from>
    <xdr:to>
      <xdr:col>2</xdr:col>
      <xdr:colOff>632560</xdr:colOff>
      <xdr:row>31</xdr:row>
      <xdr:rowOff>152442</xdr:rowOff>
    </xdr:to>
    <xdr:pic>
      <xdr:nvPicPr>
        <xdr:cNvPr id="14" name="Рисунок 13" descr="Вырезка экрана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420" y="5753100"/>
          <a:ext cx="1158340" cy="48010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37</xdr:row>
      <xdr:rowOff>30480</xdr:rowOff>
    </xdr:from>
    <xdr:to>
      <xdr:col>2</xdr:col>
      <xdr:colOff>693534</xdr:colOff>
      <xdr:row>39</xdr:row>
      <xdr:rowOff>152442</xdr:rowOff>
    </xdr:to>
    <xdr:pic>
      <xdr:nvPicPr>
        <xdr:cNvPr id="15" name="Рисунок 14" descr="Вырезка экрана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" y="7208520"/>
          <a:ext cx="1280274" cy="487722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33</xdr:row>
      <xdr:rowOff>76199</xdr:rowOff>
    </xdr:from>
    <xdr:to>
      <xdr:col>2</xdr:col>
      <xdr:colOff>685800</xdr:colOff>
      <xdr:row>35</xdr:row>
      <xdr:rowOff>106680</xdr:rowOff>
    </xdr:to>
    <xdr:pic>
      <xdr:nvPicPr>
        <xdr:cNvPr id="16" name="Рисунок 15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387" b="11556"/>
        <a:stretch/>
      </xdr:blipFill>
      <xdr:spPr>
        <a:xfrm>
          <a:off x="68580" y="6522719"/>
          <a:ext cx="1836420" cy="396241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38</xdr:row>
      <xdr:rowOff>0</xdr:rowOff>
    </xdr:from>
    <xdr:to>
      <xdr:col>17</xdr:col>
      <xdr:colOff>365760</xdr:colOff>
      <xdr:row>53</xdr:row>
      <xdr:rowOff>91440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53341</xdr:colOff>
      <xdr:row>0</xdr:row>
      <xdr:rowOff>152401</xdr:rowOff>
    </xdr:from>
    <xdr:to>
      <xdr:col>23</xdr:col>
      <xdr:colOff>160021</xdr:colOff>
      <xdr:row>15</xdr:row>
      <xdr:rowOff>91441</xdr:rowOff>
    </xdr:to>
    <xdr:pic>
      <xdr:nvPicPr>
        <xdr:cNvPr id="4" name="Рисунок 3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7" t="1373" r="386" b="1153"/>
        <a:stretch/>
      </xdr:blipFill>
      <xdr:spPr>
        <a:xfrm>
          <a:off x="9372601" y="152401"/>
          <a:ext cx="5958840" cy="3246120"/>
        </a:xfrm>
        <a:prstGeom prst="rect">
          <a:avLst/>
        </a:prstGeom>
      </xdr:spPr>
    </xdr:pic>
    <xdr:clientData/>
  </xdr:twoCellAnchor>
  <xdr:twoCellAnchor editAs="oneCell">
    <xdr:from>
      <xdr:col>15</xdr:col>
      <xdr:colOff>30480</xdr:colOff>
      <xdr:row>16</xdr:row>
      <xdr:rowOff>45720</xdr:rowOff>
    </xdr:from>
    <xdr:to>
      <xdr:col>23</xdr:col>
      <xdr:colOff>38543</xdr:colOff>
      <xdr:row>34</xdr:row>
      <xdr:rowOff>129835</xdr:rowOff>
    </xdr:to>
    <xdr:pic>
      <xdr:nvPicPr>
        <xdr:cNvPr id="5" name="Рисунок 4" descr="Вырезка экрана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8560" y="3535680"/>
          <a:ext cx="5113463" cy="3398815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</xdr:colOff>
      <xdr:row>9</xdr:row>
      <xdr:rowOff>114300</xdr:rowOff>
    </xdr:from>
    <xdr:to>
      <xdr:col>5</xdr:col>
      <xdr:colOff>579120</xdr:colOff>
      <xdr:row>10</xdr:row>
      <xdr:rowOff>144780</xdr:rowOff>
    </xdr:to>
    <xdr:pic>
      <xdr:nvPicPr>
        <xdr:cNvPr id="6" name="Рисунок 5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0007"/>
        <a:stretch/>
      </xdr:blipFill>
      <xdr:spPr>
        <a:xfrm>
          <a:off x="3261360" y="1958340"/>
          <a:ext cx="1318260" cy="274320"/>
        </a:xfrm>
        <a:prstGeom prst="rect">
          <a:avLst/>
        </a:prstGeom>
      </xdr:spPr>
    </xdr:pic>
    <xdr:clientData/>
  </xdr:twoCellAnchor>
  <xdr:twoCellAnchor editAs="oneCell">
    <xdr:from>
      <xdr:col>10</xdr:col>
      <xdr:colOff>106680</xdr:colOff>
      <xdr:row>9</xdr:row>
      <xdr:rowOff>38101</xdr:rowOff>
    </xdr:from>
    <xdr:to>
      <xdr:col>11</xdr:col>
      <xdr:colOff>411480</xdr:colOff>
      <xdr:row>10</xdr:row>
      <xdr:rowOff>205740</xdr:rowOff>
    </xdr:to>
    <xdr:pic>
      <xdr:nvPicPr>
        <xdr:cNvPr id="7" name="Рисунок 6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97" t="1708" r="6899" b="6111"/>
        <a:stretch/>
      </xdr:blipFill>
      <xdr:spPr>
        <a:xfrm>
          <a:off x="7307580" y="1882141"/>
          <a:ext cx="990600" cy="411479"/>
        </a:xfrm>
        <a:prstGeom prst="rect">
          <a:avLst/>
        </a:prstGeom>
      </xdr:spPr>
    </xdr:pic>
    <xdr:clientData/>
  </xdr:twoCellAnchor>
  <xdr:twoCellAnchor editAs="oneCell">
    <xdr:from>
      <xdr:col>10</xdr:col>
      <xdr:colOff>175260</xdr:colOff>
      <xdr:row>16</xdr:row>
      <xdr:rowOff>30480</xdr:rowOff>
    </xdr:from>
    <xdr:to>
      <xdr:col>11</xdr:col>
      <xdr:colOff>388620</xdr:colOff>
      <xdr:row>18</xdr:row>
      <xdr:rowOff>181563</xdr:rowOff>
    </xdr:to>
    <xdr:pic>
      <xdr:nvPicPr>
        <xdr:cNvPr id="8" name="Рисунок 7" descr="Вырезка экрана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2956560"/>
          <a:ext cx="899160" cy="516843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</xdr:colOff>
      <xdr:row>16</xdr:row>
      <xdr:rowOff>45720</xdr:rowOff>
    </xdr:from>
    <xdr:to>
      <xdr:col>13</xdr:col>
      <xdr:colOff>685856</xdr:colOff>
      <xdr:row>18</xdr:row>
      <xdr:rowOff>175301</xdr:rowOff>
    </xdr:to>
    <xdr:pic>
      <xdr:nvPicPr>
        <xdr:cNvPr id="9" name="Рисунок 8" descr="Вырезка экрана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6840" y="2971800"/>
          <a:ext cx="647756" cy="495341"/>
        </a:xfrm>
        <a:prstGeom prst="rect">
          <a:avLst/>
        </a:prstGeom>
      </xdr:spPr>
    </xdr:pic>
    <xdr:clientData/>
  </xdr:twoCellAnchor>
  <xdr:twoCellAnchor editAs="oneCell">
    <xdr:from>
      <xdr:col>10</xdr:col>
      <xdr:colOff>281940</xdr:colOff>
      <xdr:row>21</xdr:row>
      <xdr:rowOff>60960</xdr:rowOff>
    </xdr:from>
    <xdr:to>
      <xdr:col>13</xdr:col>
      <xdr:colOff>487681</xdr:colOff>
      <xdr:row>24</xdr:row>
      <xdr:rowOff>137160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D9777B6-18C8-4494-FE6F-A68518AC69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5" t="10101" r="2029" b="7071"/>
        <a:stretch/>
      </xdr:blipFill>
      <xdr:spPr bwMode="auto">
        <a:xfrm>
          <a:off x="7673340" y="4465320"/>
          <a:ext cx="2407921" cy="62484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205739</xdr:colOff>
      <xdr:row>27</xdr:row>
      <xdr:rowOff>53340</xdr:rowOff>
    </xdr:from>
    <xdr:to>
      <xdr:col>11</xdr:col>
      <xdr:colOff>276684</xdr:colOff>
      <xdr:row>28</xdr:row>
      <xdr:rowOff>121920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8E6EE855-1B62-CE4F-EFFE-9F0A8C2259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71" t="11177" r="6742" b="13483"/>
        <a:stretch/>
      </xdr:blipFill>
      <xdr:spPr bwMode="auto">
        <a:xfrm>
          <a:off x="7345679" y="5013960"/>
          <a:ext cx="756745" cy="27432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68580</xdr:colOff>
      <xdr:row>31</xdr:row>
      <xdr:rowOff>38100</xdr:rowOff>
    </xdr:from>
    <xdr:to>
      <xdr:col>11</xdr:col>
      <xdr:colOff>502920</xdr:colOff>
      <xdr:row>33</xdr:row>
      <xdr:rowOff>167639</xdr:rowOff>
    </xdr:to>
    <xdr:pic>
      <xdr:nvPicPr>
        <xdr:cNvPr id="12" name="Рисунок 11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0" r="4383" b="12170"/>
        <a:stretch/>
      </xdr:blipFill>
      <xdr:spPr>
        <a:xfrm>
          <a:off x="7208520" y="5730240"/>
          <a:ext cx="1120140" cy="495299"/>
        </a:xfrm>
        <a:prstGeom prst="rect">
          <a:avLst/>
        </a:prstGeom>
      </xdr:spPr>
    </xdr:pic>
    <xdr:clientData/>
  </xdr:twoCellAnchor>
  <xdr:twoCellAnchor editAs="oneCell">
    <xdr:from>
      <xdr:col>10</xdr:col>
      <xdr:colOff>53340</xdr:colOff>
      <xdr:row>39</xdr:row>
      <xdr:rowOff>53340</xdr:rowOff>
    </xdr:from>
    <xdr:to>
      <xdr:col>13</xdr:col>
      <xdr:colOff>701287</xdr:colOff>
      <xdr:row>41</xdr:row>
      <xdr:rowOff>114337</xdr:rowOff>
    </xdr:to>
    <xdr:pic>
      <xdr:nvPicPr>
        <xdr:cNvPr id="15" name="Рисунок 14" descr="Вырезка экрана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2080" y="5562600"/>
          <a:ext cx="2850127" cy="426757"/>
        </a:xfrm>
        <a:prstGeom prst="rect">
          <a:avLst/>
        </a:prstGeom>
      </xdr:spPr>
    </xdr:pic>
    <xdr:clientData/>
  </xdr:twoCellAnchor>
  <xdr:twoCellAnchor editAs="oneCell">
    <xdr:from>
      <xdr:col>10</xdr:col>
      <xdr:colOff>205740</xdr:colOff>
      <xdr:row>44</xdr:row>
      <xdr:rowOff>45720</xdr:rowOff>
    </xdr:from>
    <xdr:to>
      <xdr:col>11</xdr:col>
      <xdr:colOff>609694</xdr:colOff>
      <xdr:row>46</xdr:row>
      <xdr:rowOff>137204</xdr:rowOff>
    </xdr:to>
    <xdr:pic>
      <xdr:nvPicPr>
        <xdr:cNvPr id="16" name="Рисунок 15" descr="Вырезка экрана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4480" y="6492240"/>
          <a:ext cx="1089754" cy="457244"/>
        </a:xfrm>
        <a:prstGeom prst="rect">
          <a:avLst/>
        </a:prstGeom>
      </xdr:spPr>
    </xdr:pic>
    <xdr:clientData/>
  </xdr:twoCellAnchor>
  <xdr:twoCellAnchor>
    <xdr:from>
      <xdr:col>3</xdr:col>
      <xdr:colOff>982980</xdr:colOff>
      <xdr:row>50</xdr:row>
      <xdr:rowOff>22860</xdr:rowOff>
    </xdr:from>
    <xdr:to>
      <xdr:col>9</xdr:col>
      <xdr:colOff>38100</xdr:colOff>
      <xdr:row>63</xdr:row>
      <xdr:rowOff>129540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975360</xdr:colOff>
      <xdr:row>84</xdr:row>
      <xdr:rowOff>15240</xdr:rowOff>
    </xdr:from>
    <xdr:to>
      <xdr:col>9</xdr:col>
      <xdr:colOff>30480</xdr:colOff>
      <xdr:row>97</xdr:row>
      <xdr:rowOff>121920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7620</xdr:colOff>
      <xdr:row>84</xdr:row>
      <xdr:rowOff>30480</xdr:rowOff>
    </xdr:from>
    <xdr:to>
      <xdr:col>15</xdr:col>
      <xdr:colOff>640080</xdr:colOff>
      <xdr:row>97</xdr:row>
      <xdr:rowOff>137160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</xdr:colOff>
      <xdr:row>5</xdr:row>
      <xdr:rowOff>716280</xdr:rowOff>
    </xdr:from>
    <xdr:to>
      <xdr:col>5</xdr:col>
      <xdr:colOff>380365</xdr:colOff>
      <xdr:row>5</xdr:row>
      <xdr:rowOff>1012825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520" y="1905000"/>
          <a:ext cx="1553845" cy="2965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464820</xdr:colOff>
      <xdr:row>5</xdr:row>
      <xdr:rowOff>1089660</xdr:rowOff>
    </xdr:from>
    <xdr:to>
      <xdr:col>5</xdr:col>
      <xdr:colOff>226695</xdr:colOff>
      <xdr:row>5</xdr:row>
      <xdr:rowOff>1520825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4020" y="2278380"/>
          <a:ext cx="1590675" cy="4311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91440</xdr:colOff>
      <xdr:row>26</xdr:row>
      <xdr:rowOff>289560</xdr:rowOff>
    </xdr:from>
    <xdr:to>
      <xdr:col>11</xdr:col>
      <xdr:colOff>144780</xdr:colOff>
      <xdr:row>26</xdr:row>
      <xdr:rowOff>1592580</xdr:rowOff>
    </xdr:to>
    <xdr:pic>
      <xdr:nvPicPr>
        <xdr:cNvPr id="5" name="Рисунок 4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2272"/>
        <a:stretch/>
      </xdr:blipFill>
      <xdr:spPr bwMode="auto">
        <a:xfrm>
          <a:off x="701040" y="8488680"/>
          <a:ext cx="6149340" cy="1303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workbookViewId="0">
      <selection activeCell="E22" sqref="E22"/>
    </sheetView>
  </sheetViews>
  <sheetFormatPr defaultRowHeight="14.4" x14ac:dyDescent="0.3"/>
  <cols>
    <col min="2" max="2" width="12" bestFit="1" customWidth="1"/>
    <col min="3" max="3" width="10.33203125" customWidth="1"/>
    <col min="4" max="4" width="15" customWidth="1"/>
    <col min="5" max="5" width="10.5546875" customWidth="1"/>
    <col min="6" max="6" width="10.88671875" customWidth="1"/>
    <col min="7" max="7" width="11.44140625" bestFit="1" customWidth="1"/>
    <col min="12" max="12" width="10.21875" customWidth="1"/>
    <col min="13" max="13" width="11.44140625" customWidth="1"/>
    <col min="14" max="14" width="10.5546875" customWidth="1"/>
    <col min="15" max="15" width="10.77734375" customWidth="1"/>
    <col min="18" max="18" width="9.88671875" customWidth="1"/>
  </cols>
  <sheetData>
    <row r="1" spans="1:20" x14ac:dyDescent="0.3">
      <c r="A1" s="49" t="s">
        <v>0</v>
      </c>
      <c r="B1" s="49"/>
      <c r="C1" s="49"/>
      <c r="D1" s="49"/>
      <c r="F1" s="45">
        <v>45043</v>
      </c>
    </row>
    <row r="2" spans="1:20" x14ac:dyDescent="0.3">
      <c r="A2" s="49" t="s">
        <v>2</v>
      </c>
      <c r="B2" s="49"/>
      <c r="C2" s="49"/>
      <c r="D2" s="49"/>
    </row>
    <row r="3" spans="1:20" x14ac:dyDescent="0.3">
      <c r="A3" s="49" t="s">
        <v>1</v>
      </c>
      <c r="B3" s="49"/>
      <c r="C3" s="49"/>
      <c r="D3" s="49"/>
      <c r="E3" s="48" t="s">
        <v>93</v>
      </c>
      <c r="F3" s="48"/>
      <c r="G3" s="48"/>
      <c r="H3" s="48"/>
      <c r="I3" s="48"/>
      <c r="J3" s="48"/>
      <c r="K3" s="48"/>
      <c r="L3" s="48"/>
      <c r="M3" s="48"/>
      <c r="N3" s="48"/>
    </row>
    <row r="4" spans="1:20" x14ac:dyDescent="0.3">
      <c r="A4" s="3"/>
      <c r="B4" s="3"/>
      <c r="C4" s="3"/>
      <c r="D4" s="3"/>
      <c r="E4" s="48" t="s">
        <v>94</v>
      </c>
      <c r="F4" s="48"/>
      <c r="G4" s="48"/>
      <c r="H4" s="48"/>
      <c r="I4" s="48"/>
      <c r="J4" s="48"/>
      <c r="K4" s="48"/>
      <c r="L4" s="48"/>
      <c r="M4" s="48"/>
      <c r="N4" s="48"/>
      <c r="O4" s="3"/>
      <c r="P4" s="3"/>
      <c r="Q4" s="3"/>
      <c r="R4" s="3"/>
      <c r="S4" s="3"/>
      <c r="T4" s="3"/>
    </row>
    <row r="5" spans="1:20" x14ac:dyDescent="0.3">
      <c r="A5" s="3"/>
      <c r="B5" s="3"/>
      <c r="C5" s="3"/>
      <c r="D5" s="7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3">
      <c r="A6" s="3"/>
      <c r="B6" s="3"/>
      <c r="C6" s="3"/>
      <c r="D6" s="3"/>
      <c r="E6" s="13"/>
      <c r="F6" s="13"/>
      <c r="G6" s="13"/>
      <c r="H6" s="13"/>
      <c r="I6" s="13"/>
      <c r="J6" s="1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4.4" customHeight="1" x14ac:dyDescent="0.3">
      <c r="A7" s="3"/>
      <c r="B7" s="39" t="s">
        <v>28</v>
      </c>
      <c r="C7" s="40">
        <v>0.01</v>
      </c>
      <c r="D7" s="9"/>
      <c r="E7" s="13"/>
      <c r="F7" s="13"/>
      <c r="G7" s="13"/>
      <c r="H7" s="13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3">
      <c r="A8" s="3"/>
      <c r="B8" s="107" t="s">
        <v>32</v>
      </c>
      <c r="C8" s="107">
        <v>3</v>
      </c>
      <c r="D8" s="3"/>
      <c r="E8" s="13"/>
      <c r="F8" s="13"/>
      <c r="G8" s="13"/>
      <c r="H8" s="13"/>
      <c r="I8" s="13"/>
      <c r="J8" s="1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3">
      <c r="A9" s="3"/>
      <c r="B9" s="3"/>
      <c r="C9" s="3"/>
      <c r="D9" s="3"/>
      <c r="E9" s="13"/>
      <c r="F9" s="13"/>
      <c r="G9" s="13"/>
      <c r="H9" s="13"/>
      <c r="I9" s="13"/>
      <c r="J9" s="1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3">
      <c r="A10" s="3"/>
      <c r="B10" s="25" t="s">
        <v>116</v>
      </c>
      <c r="C10" s="25" t="s">
        <v>34</v>
      </c>
      <c r="D10" s="25" t="s">
        <v>35</v>
      </c>
      <c r="F10" s="1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3">
      <c r="A11" s="3"/>
      <c r="B11" s="19">
        <v>0</v>
      </c>
      <c r="C11" s="19">
        <v>476</v>
      </c>
      <c r="D11" s="27">
        <f>B11*C11</f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3">
      <c r="A12" s="3"/>
      <c r="B12" s="19">
        <v>1</v>
      </c>
      <c r="C12" s="19">
        <v>1017</v>
      </c>
      <c r="D12" s="27">
        <f t="shared" ref="D12:D13" si="0">B12*C12</f>
        <v>1017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3">
      <c r="A13" s="3"/>
      <c r="B13" s="19">
        <v>2</v>
      </c>
      <c r="C13" s="19">
        <v>527</v>
      </c>
      <c r="D13" s="27">
        <f t="shared" si="0"/>
        <v>1054</v>
      </c>
      <c r="E13" s="3"/>
      <c r="F13" s="50"/>
      <c r="G13" s="51"/>
      <c r="H13" s="3"/>
      <c r="I13" s="66"/>
      <c r="J13" s="66"/>
      <c r="K13" s="66"/>
      <c r="L13" s="66"/>
      <c r="M13" s="3"/>
      <c r="N13" s="3"/>
      <c r="O13" s="3"/>
      <c r="P13" s="3"/>
      <c r="Q13" s="3"/>
      <c r="R13" s="3"/>
      <c r="S13" s="3"/>
      <c r="T13" s="3"/>
    </row>
    <row r="14" spans="1:20" x14ac:dyDescent="0.3">
      <c r="A14" s="3"/>
      <c r="B14" s="26"/>
      <c r="C14" s="30">
        <f>SUM(C11:C13)</f>
        <v>2020</v>
      </c>
      <c r="D14" s="3"/>
      <c r="E14" s="3"/>
      <c r="F14" s="52"/>
      <c r="G14" s="53"/>
      <c r="H14" s="3"/>
      <c r="I14" s="66"/>
      <c r="J14" s="66"/>
      <c r="K14" s="66"/>
      <c r="L14" s="66"/>
      <c r="M14" s="3"/>
      <c r="N14" s="3"/>
      <c r="O14" s="3"/>
      <c r="P14" s="3"/>
      <c r="Q14" s="3"/>
      <c r="R14" s="3"/>
      <c r="S14" s="3"/>
      <c r="T14" s="3"/>
    </row>
    <row r="15" spans="1:20" x14ac:dyDescent="0.3">
      <c r="A15" s="3"/>
      <c r="B15" s="3"/>
      <c r="C15" s="3"/>
      <c r="D15" s="3"/>
      <c r="E15" s="3"/>
      <c r="F15" s="54"/>
      <c r="G15" s="55"/>
      <c r="H15" s="3"/>
      <c r="I15" s="66"/>
      <c r="J15" s="66"/>
      <c r="K15" s="66"/>
      <c r="L15" s="66"/>
      <c r="M15" s="3"/>
      <c r="N15" s="3"/>
      <c r="O15" s="3"/>
      <c r="P15" s="3"/>
      <c r="Q15" s="3"/>
      <c r="R15" s="3"/>
      <c r="S15" s="3"/>
      <c r="T15" s="3"/>
    </row>
    <row r="16" spans="1:20" x14ac:dyDescent="0.3">
      <c r="A16" s="3"/>
      <c r="B16" s="3"/>
      <c r="C16" s="109" t="s">
        <v>117</v>
      </c>
      <c r="D16" s="31">
        <f>SUM(D11:D13)/(C14*B13)</f>
        <v>0.51262376237623763</v>
      </c>
      <c r="E16" s="3"/>
      <c r="F16" s="70">
        <f>SUM(D11:D13)/C14</f>
        <v>1.0252475247524753</v>
      </c>
      <c r="G16" s="70"/>
      <c r="H16" s="3"/>
      <c r="I16" s="66"/>
      <c r="J16" s="66"/>
      <c r="K16" s="66"/>
      <c r="L16" s="66"/>
      <c r="M16" s="3"/>
      <c r="N16" s="3"/>
      <c r="O16" s="3"/>
      <c r="P16" s="3"/>
      <c r="Q16" s="3"/>
      <c r="R16" s="3"/>
      <c r="S16" s="3"/>
      <c r="T16" s="3"/>
    </row>
    <row r="17" spans="1:20" x14ac:dyDescent="0.3">
      <c r="A17" s="3"/>
      <c r="B17" s="3"/>
      <c r="C17" s="3"/>
      <c r="D17" s="3"/>
      <c r="E17" s="3"/>
      <c r="F17" s="3"/>
      <c r="G17" s="3"/>
      <c r="H17" s="3"/>
      <c r="I17" s="67">
        <f>M25</f>
        <v>0.49589721595921971</v>
      </c>
      <c r="J17" s="67"/>
      <c r="K17" s="67"/>
      <c r="L17" s="67"/>
      <c r="M17" s="3"/>
      <c r="N17" s="3"/>
      <c r="O17" s="3"/>
      <c r="P17" s="3"/>
      <c r="Q17" s="3"/>
      <c r="R17" s="3"/>
      <c r="S17" s="3"/>
      <c r="T17" s="3"/>
    </row>
    <row r="18" spans="1:20" x14ac:dyDescent="0.3">
      <c r="A18" s="3"/>
      <c r="B18" s="7"/>
      <c r="C18" s="17"/>
      <c r="D18" s="3"/>
      <c r="E18" s="3"/>
      <c r="F18" s="66"/>
      <c r="G18" s="66"/>
      <c r="I18" s="3"/>
      <c r="J18" s="3"/>
      <c r="K18" s="3"/>
      <c r="L18" s="4"/>
      <c r="M18" s="3"/>
      <c r="N18" s="3"/>
      <c r="O18" s="3"/>
      <c r="P18" s="3"/>
      <c r="Q18" s="3"/>
      <c r="R18" s="3"/>
      <c r="S18" s="3"/>
      <c r="T18" s="3"/>
    </row>
    <row r="19" spans="1:20" x14ac:dyDescent="0.3">
      <c r="A19" s="3"/>
      <c r="B19" s="30" t="s">
        <v>118</v>
      </c>
      <c r="C19" s="30">
        <f>(1-D16)^2</f>
        <v>0.23753559700029409</v>
      </c>
      <c r="D19" s="3"/>
      <c r="E19" s="3"/>
      <c r="F19" s="66"/>
      <c r="G19" s="66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6.2" x14ac:dyDescent="0.3">
      <c r="A20" s="3"/>
      <c r="B20" s="30" t="s">
        <v>119</v>
      </c>
      <c r="C20" s="30">
        <f>2*D16*(1-D16)</f>
        <v>0.49968128124693656</v>
      </c>
      <c r="D20" s="3"/>
      <c r="E20" s="3"/>
      <c r="F20" s="67">
        <f>SQRT(I17)</f>
        <v>0.70419969892014278</v>
      </c>
      <c r="G20" s="67"/>
      <c r="H20" s="3"/>
      <c r="I20" s="68"/>
      <c r="J20" s="68"/>
      <c r="K20" s="3"/>
      <c r="L20" s="23" t="s">
        <v>40</v>
      </c>
      <c r="M20" s="23" t="s">
        <v>41</v>
      </c>
      <c r="N20" s="3"/>
      <c r="O20" s="3"/>
      <c r="P20" s="3"/>
      <c r="Q20" s="3"/>
      <c r="R20" s="3"/>
      <c r="S20" s="3"/>
      <c r="T20" s="3"/>
    </row>
    <row r="21" spans="1:20" x14ac:dyDescent="0.3">
      <c r="A21" s="3"/>
      <c r="B21" s="30" t="s">
        <v>120</v>
      </c>
      <c r="C21" s="30">
        <f>D16^2</f>
        <v>0.26278312175276936</v>
      </c>
      <c r="D21" s="3"/>
      <c r="E21" s="3"/>
      <c r="H21" s="3"/>
      <c r="I21" s="68"/>
      <c r="J21" s="68"/>
      <c r="K21" s="3"/>
      <c r="L21" s="19">
        <f>ABS(B11-$F$16)</f>
        <v>1.0252475247524753</v>
      </c>
      <c r="M21" s="19">
        <f>L21*L21*C11</f>
        <v>500.33906381727286</v>
      </c>
      <c r="N21" s="3"/>
      <c r="O21" s="3"/>
      <c r="P21" s="3"/>
      <c r="Q21" s="3"/>
      <c r="R21" s="3"/>
      <c r="S21" s="3"/>
      <c r="T21" s="3"/>
    </row>
    <row r="22" spans="1:20" x14ac:dyDescent="0.3">
      <c r="A22" s="3"/>
      <c r="B22" s="3"/>
      <c r="C22" s="3"/>
      <c r="D22" s="3"/>
      <c r="E22" s="3"/>
      <c r="H22" s="3"/>
      <c r="I22" s="68"/>
      <c r="J22" s="68"/>
      <c r="K22" s="3"/>
      <c r="L22" s="19">
        <f t="shared" ref="L22:L23" si="1">ABS(B12-$F$16)</f>
        <v>2.524752475247527E-2</v>
      </c>
      <c r="M22" s="19">
        <f t="shared" ref="M22:M23" si="2">L22*L22*C12</f>
        <v>0.64827394373100788</v>
      </c>
      <c r="N22" s="3"/>
      <c r="O22" s="3"/>
      <c r="P22" s="3"/>
      <c r="Q22" s="3"/>
      <c r="R22" s="3"/>
      <c r="S22" s="3"/>
      <c r="T22" s="3"/>
    </row>
    <row r="23" spans="1:20" x14ac:dyDescent="0.3">
      <c r="A23" s="3"/>
      <c r="B23" s="3"/>
      <c r="C23" s="3"/>
      <c r="D23" s="3"/>
      <c r="E23" s="3"/>
      <c r="F23" s="30" t="s">
        <v>60</v>
      </c>
      <c r="G23" s="30">
        <f>SQRT(I23)</f>
        <v>0.70437407052091361</v>
      </c>
      <c r="I23" s="56">
        <f>C14/(C14-1)*I17</f>
        <v>0.49614283122220099</v>
      </c>
      <c r="J23" s="57"/>
      <c r="K23" s="3"/>
      <c r="L23" s="19">
        <f t="shared" si="1"/>
        <v>0.97475247524752473</v>
      </c>
      <c r="M23" s="19">
        <f t="shared" si="2"/>
        <v>500.72503847661994</v>
      </c>
      <c r="N23" s="3"/>
      <c r="O23" s="3"/>
      <c r="P23" s="3"/>
      <c r="Q23" s="3"/>
      <c r="R23" s="3"/>
      <c r="S23" s="3"/>
      <c r="T23" s="3"/>
    </row>
    <row r="24" spans="1:20" x14ac:dyDescent="0.3">
      <c r="A24" s="3"/>
      <c r="B24" s="3"/>
      <c r="C24" s="3"/>
      <c r="D24" s="3"/>
      <c r="E24" s="3"/>
      <c r="F24" s="3"/>
      <c r="G24" s="3"/>
      <c r="H24" s="4"/>
      <c r="I24" s="4"/>
      <c r="J24" s="3"/>
      <c r="K24" s="3"/>
      <c r="L24" s="3"/>
      <c r="M24" s="19">
        <f>SUM(M21:M23)</f>
        <v>1001.7123762376239</v>
      </c>
      <c r="N24" s="3"/>
      <c r="O24" s="3"/>
      <c r="P24" s="3"/>
      <c r="Q24" s="3"/>
      <c r="R24" s="3"/>
      <c r="S24" s="3"/>
      <c r="T24" s="3"/>
    </row>
    <row r="25" spans="1:20" ht="16.2" x14ac:dyDescent="0.3">
      <c r="A25" s="3"/>
      <c r="B25" s="3"/>
      <c r="C25" s="25" t="s">
        <v>53</v>
      </c>
      <c r="D25" s="25" t="s">
        <v>54</v>
      </c>
      <c r="E25" s="25" t="s">
        <v>55</v>
      </c>
      <c r="F25" s="25" t="s">
        <v>56</v>
      </c>
      <c r="G25" s="3"/>
      <c r="H25" s="4"/>
      <c r="I25" s="4"/>
      <c r="J25" s="3"/>
      <c r="K25" s="3"/>
      <c r="L25" s="30" t="s">
        <v>39</v>
      </c>
      <c r="M25" s="30">
        <f>M24/C14</f>
        <v>0.49589721595921971</v>
      </c>
      <c r="N25" s="3"/>
      <c r="O25" s="3"/>
      <c r="P25" s="3"/>
      <c r="Q25" s="3"/>
      <c r="R25" s="3"/>
      <c r="S25" s="3"/>
      <c r="T25" s="3"/>
    </row>
    <row r="26" spans="1:20" x14ac:dyDescent="0.3">
      <c r="A26" s="3"/>
      <c r="B26" s="3"/>
      <c r="C26" s="19">
        <f>$C$14*C19</f>
        <v>479.82190594059404</v>
      </c>
      <c r="D26" s="19">
        <f>C11-C26</f>
        <v>-3.8219059405940357</v>
      </c>
      <c r="E26" s="19">
        <f>D26*D26</f>
        <v>14.60696501874798</v>
      </c>
      <c r="F26" s="19">
        <f>E26/C26</f>
        <v>3.0442472171240229E-2</v>
      </c>
      <c r="G26" s="4"/>
      <c r="H26" s="72" t="s">
        <v>122</v>
      </c>
      <c r="I26" s="72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3">
      <c r="A27" s="3"/>
      <c r="B27" s="3"/>
      <c r="C27" s="19">
        <f>$C$14*C20</f>
        <v>1009.3561881188118</v>
      </c>
      <c r="D27" s="19">
        <f>C12-C27</f>
        <v>7.643811881188185</v>
      </c>
      <c r="E27" s="19">
        <f t="shared" ref="E27:E28" si="3">D27*D27</f>
        <v>58.42786007499366</v>
      </c>
      <c r="F27" s="19">
        <f t="shared" ref="F27:F28" si="4">E27/C27</f>
        <v>5.7886265287468659E-2</v>
      </c>
      <c r="G27" s="4"/>
      <c r="H27" s="31" t="s">
        <v>72</v>
      </c>
      <c r="I27" s="31">
        <f>C8-2</f>
        <v>1</v>
      </c>
      <c r="K27" s="3"/>
      <c r="L27" s="3"/>
      <c r="M27" s="8"/>
      <c r="N27" s="8"/>
      <c r="O27" s="8"/>
      <c r="P27" s="3"/>
      <c r="Q27" s="3"/>
      <c r="R27" s="3"/>
      <c r="S27" s="3"/>
      <c r="T27" s="3"/>
    </row>
    <row r="28" spans="1:20" x14ac:dyDescent="0.3">
      <c r="A28" s="2"/>
      <c r="B28" s="3"/>
      <c r="C28" s="19">
        <f>$C$14*C21</f>
        <v>530.82190594059409</v>
      </c>
      <c r="D28" s="19">
        <f t="shared" ref="D27:D28" si="5">C13-C28</f>
        <v>-3.8219059405940925</v>
      </c>
      <c r="E28" s="19">
        <f t="shared" si="3"/>
        <v>14.606965018748415</v>
      </c>
      <c r="F28" s="19">
        <f t="shared" si="4"/>
        <v>2.7517637940856054E-2</v>
      </c>
      <c r="G28" s="4"/>
      <c r="H28" s="3"/>
      <c r="I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6.8" x14ac:dyDescent="0.35">
      <c r="A29" s="3"/>
      <c r="B29" s="3"/>
      <c r="C29" s="110"/>
      <c r="D29" s="3"/>
      <c r="E29" s="32" t="s">
        <v>57</v>
      </c>
      <c r="F29" s="42">
        <f>SUM(F26:F28)</f>
        <v>0.11584637539956495</v>
      </c>
      <c r="G29" s="108" t="s">
        <v>62</v>
      </c>
      <c r="H29" s="32" t="s">
        <v>58</v>
      </c>
      <c r="I29" s="41">
        <v>6.6</v>
      </c>
      <c r="K29" s="4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3">
      <c r="A30" s="3"/>
      <c r="B30" s="3"/>
      <c r="C30" s="111"/>
      <c r="D30" s="3"/>
      <c r="E30" s="73" t="s">
        <v>121</v>
      </c>
      <c r="F30" s="73"/>
      <c r="G30" s="73"/>
      <c r="H30" s="73"/>
      <c r="I30" s="73"/>
      <c r="K30" s="4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3">
      <c r="A31" s="3"/>
      <c r="B31" s="3"/>
      <c r="C31" s="3"/>
      <c r="D31" s="3"/>
      <c r="E31" s="73"/>
      <c r="F31" s="73"/>
      <c r="G31" s="73"/>
      <c r="H31" s="73"/>
      <c r="I31" s="73"/>
      <c r="K31" s="4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3">
      <c r="A32" s="3"/>
      <c r="B32" s="3"/>
      <c r="C32" s="3"/>
      <c r="D32" s="3"/>
      <c r="E32" s="73"/>
      <c r="F32" s="73"/>
      <c r="G32" s="73"/>
      <c r="H32" s="73"/>
      <c r="I32" s="73"/>
      <c r="K32" s="4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3">
      <c r="A33" s="3"/>
      <c r="B33" s="3"/>
      <c r="C33" s="3"/>
      <c r="E33" s="73"/>
      <c r="F33" s="73"/>
      <c r="G33" s="73"/>
      <c r="H33" s="73"/>
      <c r="I33" s="73"/>
      <c r="J33" s="4"/>
      <c r="K33" s="4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3">
      <c r="A34" s="3"/>
      <c r="B34" s="3"/>
      <c r="C34" s="3"/>
      <c r="E34" s="73"/>
      <c r="F34" s="73"/>
      <c r="G34" s="73"/>
      <c r="H34" s="73"/>
      <c r="I34" s="7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3">
      <c r="A35" s="3"/>
      <c r="B35" s="3"/>
      <c r="C35" s="3"/>
      <c r="E35" s="73"/>
      <c r="F35" s="73"/>
      <c r="G35" s="73"/>
      <c r="H35" s="73"/>
      <c r="I35" s="7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3">
      <c r="A36" s="3"/>
      <c r="B36" s="3"/>
      <c r="C36" s="3"/>
      <c r="D36" s="3"/>
      <c r="E36" s="73"/>
      <c r="F36" s="73"/>
      <c r="G36" s="73"/>
      <c r="H36" s="73"/>
      <c r="I36" s="7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3">
      <c r="A37" s="3"/>
      <c r="B37" s="3"/>
      <c r="C37" s="3"/>
      <c r="D37" s="3"/>
      <c r="E37" s="50"/>
      <c r="F37" s="51"/>
      <c r="G37" s="3"/>
      <c r="H37" s="4"/>
      <c r="I37" s="4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3">
      <c r="A38" s="3"/>
      <c r="B38" s="3"/>
      <c r="C38" s="3"/>
      <c r="D38" s="3"/>
      <c r="E38" s="52"/>
      <c r="F38" s="53"/>
      <c r="G38" s="3"/>
      <c r="H38" s="4"/>
      <c r="I38" s="4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3">
      <c r="A39" s="3"/>
      <c r="B39" s="3"/>
      <c r="C39" s="3"/>
      <c r="D39" s="3"/>
      <c r="E39" s="52"/>
      <c r="F39" s="53"/>
      <c r="G39" s="3"/>
      <c r="H39" s="4"/>
      <c r="I39" s="4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28.8" customHeight="1" x14ac:dyDescent="0.3">
      <c r="A40" s="3"/>
      <c r="B40" s="3"/>
      <c r="C40" s="3"/>
      <c r="D40" s="3"/>
      <c r="E40" s="54"/>
      <c r="F40" s="55"/>
      <c r="G40" s="11"/>
      <c r="H40" s="11"/>
      <c r="I40" s="11"/>
      <c r="J40" s="11"/>
      <c r="K40" s="11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3">
      <c r="A41" s="3"/>
      <c r="B41" s="3"/>
      <c r="C41" s="3"/>
      <c r="D41" s="3"/>
      <c r="E41" s="3"/>
      <c r="F41" s="3"/>
      <c r="G41" s="12"/>
      <c r="H41" s="4"/>
      <c r="I41" s="4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3">
      <c r="A42" s="3"/>
      <c r="B42" s="3"/>
      <c r="C42" s="3"/>
      <c r="D42" s="3"/>
      <c r="E42" s="3"/>
      <c r="F42" s="3"/>
      <c r="G42" s="12"/>
      <c r="H42" s="4"/>
      <c r="I42" s="4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3">
      <c r="A43" s="3"/>
      <c r="B43" s="3"/>
      <c r="C43" s="3"/>
      <c r="D43" s="3"/>
      <c r="E43" s="3"/>
      <c r="F43" s="3"/>
      <c r="G43" s="3"/>
      <c r="H43" s="4"/>
      <c r="I43" s="4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3">
      <c r="A48" s="3"/>
      <c r="B48" s="3"/>
      <c r="C48" s="3"/>
      <c r="D48" s="3"/>
      <c r="E48" s="3"/>
      <c r="F48" s="3"/>
      <c r="G48" s="3"/>
      <c r="H48" s="3"/>
      <c r="I48" s="4"/>
      <c r="J48" s="4"/>
      <c r="K48" s="4"/>
      <c r="L48" s="3"/>
      <c r="M48" s="3"/>
      <c r="N48" s="3"/>
      <c r="O48" s="3"/>
      <c r="P48" s="3"/>
      <c r="Q48" s="3"/>
      <c r="R48" s="3"/>
      <c r="S48" s="3"/>
      <c r="T48" s="3"/>
    </row>
    <row r="49" spans="1:21" x14ac:dyDescent="0.3">
      <c r="A49" s="3"/>
      <c r="B49" s="3"/>
      <c r="C49" s="3"/>
      <c r="D49" s="3"/>
      <c r="E49" s="3"/>
      <c r="F49" s="10"/>
      <c r="G49" s="2"/>
      <c r="H49" s="3"/>
      <c r="I49" s="4"/>
      <c r="J49" s="4"/>
      <c r="K49" s="4"/>
      <c r="L49" s="3"/>
      <c r="M49" s="8"/>
      <c r="N49" s="8"/>
      <c r="O49" s="8"/>
      <c r="P49" s="8"/>
      <c r="Q49" s="3"/>
      <c r="R49" s="3"/>
      <c r="S49" s="3"/>
      <c r="T49" s="3"/>
      <c r="U49" s="3"/>
    </row>
    <row r="50" spans="1:21" x14ac:dyDescent="0.3">
      <c r="A50" s="3"/>
      <c r="B50" s="3"/>
      <c r="C50" s="3"/>
      <c r="D50" s="3"/>
      <c r="E50" s="3"/>
      <c r="F50" s="2"/>
      <c r="G50" s="2"/>
      <c r="H50" s="3"/>
      <c r="I50" s="4"/>
      <c r="J50" s="4"/>
      <c r="K50" s="4"/>
      <c r="L50" s="3"/>
      <c r="M50" s="2"/>
      <c r="N50" s="3"/>
      <c r="O50" s="3"/>
      <c r="P50" s="3"/>
      <c r="Q50" s="3"/>
      <c r="R50" s="4"/>
      <c r="S50" s="12"/>
      <c r="T50" s="3"/>
      <c r="U50" s="3"/>
    </row>
    <row r="51" spans="1:21" x14ac:dyDescent="0.3">
      <c r="A51" s="3"/>
      <c r="B51" s="3"/>
      <c r="C51" s="3"/>
      <c r="D51" s="3"/>
      <c r="E51" s="3"/>
      <c r="F51" s="2"/>
      <c r="G51" s="2"/>
      <c r="H51" s="3"/>
      <c r="I51" s="4"/>
      <c r="J51" s="4"/>
      <c r="K51" s="4"/>
      <c r="L51" s="3"/>
      <c r="M51" s="3"/>
      <c r="N51" s="3"/>
      <c r="O51" s="3"/>
      <c r="P51" s="3"/>
      <c r="Q51" s="3"/>
      <c r="R51" s="4"/>
      <c r="S51" s="12"/>
      <c r="T51" s="3"/>
      <c r="U51" s="3"/>
    </row>
    <row r="52" spans="1:2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4"/>
      <c r="M52" s="4"/>
      <c r="N52" s="4"/>
      <c r="O52" s="4"/>
      <c r="P52" s="4"/>
      <c r="Q52" s="3"/>
      <c r="R52" s="4"/>
      <c r="S52" s="3"/>
      <c r="T52" s="3"/>
      <c r="U52" s="3"/>
    </row>
    <row r="53" spans="1:21" x14ac:dyDescent="0.3">
      <c r="A53" s="3"/>
      <c r="B53" s="3"/>
      <c r="C53" s="3"/>
      <c r="D53" s="3"/>
      <c r="E53" s="3"/>
      <c r="F53" s="47"/>
      <c r="G53" s="47"/>
      <c r="H53" s="47"/>
      <c r="I53" s="47"/>
      <c r="J53" s="47"/>
      <c r="K53" s="4"/>
      <c r="L53" s="3"/>
      <c r="M53" s="3"/>
      <c r="N53" s="3"/>
      <c r="O53" s="3"/>
      <c r="P53" s="3"/>
      <c r="Q53" s="3"/>
      <c r="R53" s="4"/>
      <c r="S53" s="3"/>
      <c r="T53" s="3"/>
      <c r="U53" s="3"/>
    </row>
    <row r="54" spans="1:21" x14ac:dyDescent="0.3">
      <c r="A54" s="3"/>
      <c r="B54" s="3"/>
      <c r="C54" s="3"/>
      <c r="D54" s="3"/>
      <c r="E54" s="3"/>
      <c r="F54" s="47"/>
      <c r="G54" s="47"/>
      <c r="H54" s="47"/>
      <c r="I54" s="47"/>
      <c r="J54" s="47"/>
      <c r="K54" s="3"/>
      <c r="L54" s="3"/>
      <c r="M54" s="3"/>
      <c r="N54" s="47"/>
      <c r="O54" s="47"/>
      <c r="P54" s="47"/>
      <c r="Q54" s="47"/>
      <c r="R54" s="47"/>
      <c r="S54" s="3"/>
      <c r="T54" s="3"/>
      <c r="U54" s="3"/>
    </row>
    <row r="55" spans="1:21" x14ac:dyDescent="0.3">
      <c r="A55" s="3"/>
      <c r="B55" s="3"/>
      <c r="C55" s="3"/>
      <c r="D55" s="3"/>
      <c r="E55" s="3"/>
      <c r="F55" s="2"/>
      <c r="G55" s="2"/>
      <c r="H55" s="2"/>
      <c r="I55" s="2"/>
      <c r="J55" s="2"/>
      <c r="K55" s="3"/>
      <c r="L55" s="3"/>
      <c r="M55" s="3"/>
      <c r="N55" s="2"/>
      <c r="O55" s="2"/>
      <c r="P55" s="2"/>
      <c r="Q55" s="2"/>
      <c r="R55" s="2"/>
      <c r="S55" s="3"/>
      <c r="T55" s="3"/>
      <c r="U55" s="3"/>
    </row>
    <row r="56" spans="1:21" x14ac:dyDescent="0.3">
      <c r="A56" s="3"/>
      <c r="B56" s="3"/>
      <c r="C56" s="3"/>
      <c r="D56" s="3"/>
      <c r="E56" s="3"/>
      <c r="F56" s="13"/>
      <c r="G56" s="13"/>
      <c r="H56" s="13"/>
      <c r="I56" s="13"/>
      <c r="J56" s="13"/>
      <c r="K56" s="3"/>
      <c r="L56" s="3"/>
      <c r="M56" s="3"/>
      <c r="N56" s="13"/>
      <c r="O56" s="13"/>
      <c r="P56" s="13"/>
      <c r="Q56" s="13"/>
      <c r="R56" s="13"/>
      <c r="S56" s="3"/>
      <c r="T56" s="3"/>
      <c r="U56" s="3"/>
    </row>
    <row r="57" spans="1:21" x14ac:dyDescent="0.3">
      <c r="A57" s="3"/>
      <c r="B57" s="3"/>
      <c r="C57" s="3"/>
      <c r="D57" s="3"/>
      <c r="E57" s="3"/>
      <c r="F57" s="13"/>
      <c r="G57" s="13"/>
      <c r="H57" s="13"/>
      <c r="I57" s="13"/>
      <c r="J57" s="13"/>
      <c r="K57" s="3"/>
      <c r="L57" s="3"/>
      <c r="M57" s="3"/>
      <c r="N57" s="13"/>
      <c r="O57" s="13"/>
      <c r="P57" s="13"/>
      <c r="Q57" s="13"/>
      <c r="R57" s="13"/>
      <c r="S57" s="3"/>
      <c r="T57" s="3"/>
      <c r="U57" s="3"/>
    </row>
    <row r="58" spans="1:2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x14ac:dyDescent="0.3">
      <c r="A60" s="3"/>
      <c r="B60" s="3"/>
      <c r="C60" s="3"/>
      <c r="D60" s="3"/>
      <c r="E60" s="3"/>
      <c r="F60" s="2"/>
      <c r="G60" s="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x14ac:dyDescent="0.3">
      <c r="A61" s="3"/>
      <c r="B61" s="3"/>
      <c r="C61" s="3"/>
      <c r="D61" s="3"/>
      <c r="E61" s="3"/>
      <c r="F61" s="2"/>
      <c r="G61" s="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x14ac:dyDescent="0.3">
      <c r="A62" s="3"/>
      <c r="B62" s="3"/>
      <c r="C62" s="3"/>
      <c r="D62" s="3"/>
      <c r="E62" s="3"/>
      <c r="F62" s="10"/>
      <c r="G62" s="2"/>
      <c r="H62" s="3"/>
      <c r="I62" s="3"/>
      <c r="J62" s="3"/>
      <c r="K62" s="3"/>
      <c r="L62" s="3"/>
      <c r="M62" s="3"/>
      <c r="N62" s="2"/>
      <c r="O62" s="2"/>
      <c r="P62" s="2"/>
      <c r="Q62" s="3"/>
      <c r="R62" s="3"/>
      <c r="S62" s="3"/>
      <c r="T62" s="3"/>
      <c r="U62" s="3"/>
    </row>
    <row r="63" spans="1:2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x14ac:dyDescent="0.3">
      <c r="A64" s="3"/>
      <c r="B64" s="3"/>
      <c r="C64" s="3"/>
      <c r="D64" s="3"/>
      <c r="E64" s="3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x14ac:dyDescent="0.3">
      <c r="A65" s="3"/>
      <c r="B65" s="3"/>
      <c r="C65" s="3"/>
      <c r="D65" s="3"/>
      <c r="E65" s="3"/>
      <c r="F65" s="2"/>
      <c r="G65" s="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3">
      <c r="A66" s="3"/>
      <c r="B66" s="3"/>
      <c r="C66" s="3"/>
      <c r="D66" s="3"/>
      <c r="E66" s="3"/>
      <c r="F66" s="2"/>
      <c r="G66" s="2"/>
      <c r="H66" s="3"/>
      <c r="I66" s="2"/>
      <c r="J66" s="2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x14ac:dyDescent="0.3">
      <c r="A67" s="3"/>
      <c r="B67" s="3"/>
      <c r="C67" s="3"/>
      <c r="D67" s="3"/>
      <c r="E67" s="3"/>
      <c r="F67" s="2"/>
      <c r="G67" s="2"/>
      <c r="H67" s="3"/>
      <c r="I67" s="2"/>
      <c r="J67" s="2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x14ac:dyDescent="0.3">
      <c r="A68" s="3"/>
      <c r="B68" s="3"/>
      <c r="C68" s="3"/>
      <c r="D68" s="3"/>
      <c r="E68" s="3"/>
      <c r="F68" s="2"/>
      <c r="G68" s="2"/>
      <c r="H68" s="3"/>
      <c r="I68" s="2"/>
      <c r="J68" s="2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x14ac:dyDescent="0.3">
      <c r="A69" s="3"/>
      <c r="B69" s="3"/>
      <c r="C69" s="3"/>
      <c r="D69" s="3"/>
      <c r="E69" s="3"/>
      <c r="F69" s="2"/>
      <c r="G69" s="2"/>
      <c r="H69" s="2"/>
      <c r="I69" s="2"/>
      <c r="J69" s="2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x14ac:dyDescent="0.3">
      <c r="A70" s="3"/>
      <c r="B70" s="3"/>
      <c r="C70" s="3"/>
      <c r="D70" s="3"/>
      <c r="E70" s="3"/>
      <c r="F70" s="2"/>
      <c r="G70" s="2"/>
      <c r="H70" s="2"/>
      <c r="I70" s="2"/>
      <c r="J70" s="2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x14ac:dyDescent="0.3">
      <c r="A71" s="3"/>
      <c r="B71" s="3"/>
      <c r="C71" s="3"/>
      <c r="D71" s="3"/>
      <c r="E71" s="3"/>
      <c r="F71" s="47"/>
      <c r="G71" s="47"/>
      <c r="H71" s="47"/>
      <c r="I71" s="47"/>
      <c r="J71" s="47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1" x14ac:dyDescent="0.3">
      <c r="A72" s="3"/>
      <c r="B72" s="3"/>
      <c r="C72" s="3"/>
      <c r="D72" s="3"/>
      <c r="E72" s="3"/>
      <c r="F72" s="4"/>
      <c r="G72" s="4"/>
      <c r="H72" s="4"/>
      <c r="I72" s="4"/>
      <c r="J72" s="3"/>
      <c r="K72" s="4"/>
      <c r="L72" s="4"/>
      <c r="M72" s="3"/>
      <c r="N72" s="3"/>
      <c r="O72" s="3"/>
      <c r="P72" s="3"/>
      <c r="Q72" s="3"/>
      <c r="R72" s="3"/>
      <c r="S72" s="3"/>
      <c r="T72" s="3"/>
    </row>
    <row r="73" spans="1:21" x14ac:dyDescent="0.3">
      <c r="A73" s="3"/>
      <c r="B73" s="3"/>
      <c r="C73" s="3"/>
      <c r="D73" s="3"/>
      <c r="E73" s="3"/>
      <c r="F73" s="3"/>
      <c r="G73" s="2"/>
      <c r="H73" s="2"/>
      <c r="I73" s="2"/>
      <c r="J73" s="3"/>
      <c r="K73" s="4"/>
      <c r="L73" s="4"/>
      <c r="M73" s="3"/>
      <c r="N73" s="3"/>
      <c r="O73" s="3"/>
      <c r="P73" s="3"/>
      <c r="Q73" s="3"/>
      <c r="R73" s="3"/>
      <c r="S73" s="3"/>
      <c r="T73" s="3"/>
    </row>
    <row r="74" spans="1:21" x14ac:dyDescent="0.3">
      <c r="A74" s="3"/>
      <c r="B74" s="3"/>
      <c r="C74" s="3"/>
      <c r="D74" s="3"/>
      <c r="E74" s="3"/>
      <c r="F74" s="13"/>
      <c r="G74" s="13"/>
      <c r="H74" s="13"/>
      <c r="I74" s="13"/>
      <c r="J74" s="13"/>
      <c r="K74" s="4"/>
      <c r="L74" s="4"/>
      <c r="M74" s="3"/>
      <c r="N74" s="3"/>
      <c r="O74" s="3"/>
      <c r="P74" s="3"/>
      <c r="Q74" s="3"/>
      <c r="R74" s="3"/>
      <c r="S74" s="3"/>
      <c r="T74" s="3"/>
    </row>
    <row r="75" spans="1:21" x14ac:dyDescent="0.3">
      <c r="A75" s="3"/>
      <c r="B75" s="3"/>
      <c r="C75" s="3"/>
      <c r="D75" s="3"/>
      <c r="E75" s="3"/>
      <c r="F75" s="13"/>
      <c r="G75" s="13"/>
      <c r="H75" s="13"/>
      <c r="I75" s="13"/>
      <c r="J75" s="1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1" x14ac:dyDescent="0.3">
      <c r="A78" s="3"/>
      <c r="B78" s="3"/>
      <c r="C78" s="3"/>
      <c r="D78" s="3"/>
      <c r="E78" s="3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3"/>
      <c r="Q78" s="3"/>
      <c r="R78" s="3"/>
      <c r="S78" s="3"/>
      <c r="T78" s="3"/>
    </row>
    <row r="79" spans="1:21" ht="14.4" customHeight="1" x14ac:dyDescent="0.3">
      <c r="A79" s="3"/>
      <c r="B79" s="3"/>
      <c r="C79" s="3"/>
      <c r="D79" s="3"/>
      <c r="E79" s="3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3"/>
      <c r="Q79" s="3"/>
      <c r="R79" s="3"/>
      <c r="S79" s="3"/>
      <c r="T79" s="3"/>
    </row>
    <row r="80" spans="1:21" ht="14.4" customHeight="1" x14ac:dyDescent="0.3">
      <c r="A80" s="3"/>
      <c r="B80" s="3"/>
      <c r="C80" s="3"/>
      <c r="D80" s="3"/>
      <c r="E80" s="3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3"/>
      <c r="Q80" s="3"/>
      <c r="R80" s="3"/>
      <c r="S80" s="3"/>
      <c r="T80" s="3"/>
    </row>
    <row r="81" spans="1:20" ht="14.4" customHeight="1" x14ac:dyDescent="0.3">
      <c r="A81" s="3"/>
      <c r="B81" s="3"/>
      <c r="C81" s="3"/>
      <c r="D81" s="3"/>
      <c r="E81" s="3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3"/>
      <c r="Q81" s="3"/>
      <c r="R81" s="3"/>
      <c r="S81" s="3"/>
      <c r="T81" s="3"/>
    </row>
    <row r="82" spans="1:20" ht="14.4" customHeight="1" x14ac:dyDescent="0.3">
      <c r="A82" s="3"/>
      <c r="B82" s="3"/>
      <c r="C82" s="3"/>
      <c r="D82" s="3"/>
      <c r="E82" s="3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3"/>
      <c r="Q82" s="3"/>
      <c r="R82" s="3"/>
      <c r="S82" s="3"/>
      <c r="T82" s="3"/>
    </row>
    <row r="83" spans="1:20" ht="14.4" customHeight="1" x14ac:dyDescent="0.3">
      <c r="A83" s="3"/>
      <c r="B83" s="3"/>
      <c r="C83" s="3"/>
      <c r="D83" s="3"/>
      <c r="E83" s="3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3"/>
      <c r="Q83" s="3"/>
      <c r="R83" s="3"/>
      <c r="S83" s="3"/>
      <c r="T83" s="3"/>
    </row>
    <row r="84" spans="1:20" ht="14.4" customHeight="1" x14ac:dyDescent="0.3">
      <c r="A84" s="3"/>
      <c r="B84" s="3"/>
      <c r="C84" s="3"/>
      <c r="D84" s="3"/>
      <c r="E84" s="3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3"/>
      <c r="Q84" s="3"/>
      <c r="R84" s="3"/>
      <c r="S84" s="3"/>
      <c r="T84" s="3"/>
    </row>
    <row r="85" spans="1:20" ht="14.4" customHeight="1" x14ac:dyDescent="0.3">
      <c r="A85" s="3"/>
      <c r="B85" s="3"/>
      <c r="C85" s="3"/>
      <c r="D85" s="3"/>
      <c r="E85" s="3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3"/>
      <c r="Q85" s="3"/>
      <c r="R85" s="3"/>
      <c r="S85" s="3"/>
      <c r="T85" s="3"/>
    </row>
    <row r="86" spans="1:20" ht="14.4" customHeight="1" x14ac:dyDescent="0.3">
      <c r="A86" s="3"/>
      <c r="B86" s="3"/>
      <c r="C86" s="3"/>
      <c r="D86" s="3"/>
      <c r="E86" s="3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3"/>
      <c r="Q86" s="3"/>
      <c r="R86" s="3"/>
      <c r="S86" s="3"/>
      <c r="T86" s="3"/>
    </row>
    <row r="87" spans="1:20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</sheetData>
  <sortState ref="D8:D27">
    <sortCondition ref="D8"/>
  </sortState>
  <mergeCells count="21">
    <mergeCell ref="F18:G19"/>
    <mergeCell ref="F20:G20"/>
    <mergeCell ref="E30:I36"/>
    <mergeCell ref="C29:C30"/>
    <mergeCell ref="E37:F40"/>
    <mergeCell ref="H26:I26"/>
    <mergeCell ref="A1:D1"/>
    <mergeCell ref="A2:D2"/>
    <mergeCell ref="A3:D3"/>
    <mergeCell ref="F13:G15"/>
    <mergeCell ref="F16:G16"/>
    <mergeCell ref="I13:L16"/>
    <mergeCell ref="N54:R54"/>
    <mergeCell ref="F54:J54"/>
    <mergeCell ref="F71:J71"/>
    <mergeCell ref="F53:J53"/>
    <mergeCell ref="E3:N3"/>
    <mergeCell ref="E4:N4"/>
    <mergeCell ref="I17:L17"/>
    <mergeCell ref="I20:J22"/>
    <mergeCell ref="I23:J2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9"/>
  <sheetViews>
    <sheetView topLeftCell="A40" zoomScaleNormal="100" workbookViewId="0">
      <selection activeCell="H48" sqref="H48:I48"/>
    </sheetView>
  </sheetViews>
  <sheetFormatPr defaultRowHeight="14.4" x14ac:dyDescent="0.3"/>
  <cols>
    <col min="1" max="1" width="15.33203125" customWidth="1"/>
    <col min="2" max="2" width="9.5546875" customWidth="1"/>
    <col min="3" max="3" width="9.6640625" customWidth="1"/>
    <col min="4" max="4" width="14.5546875" customWidth="1"/>
    <col min="5" max="5" width="13.33203125" customWidth="1"/>
    <col min="6" max="6" width="10.109375" customWidth="1"/>
    <col min="7" max="7" width="9.6640625" customWidth="1"/>
    <col min="8" max="8" width="12.109375" bestFit="1" customWidth="1"/>
    <col min="17" max="17" width="10.88671875" customWidth="1"/>
    <col min="18" max="18" width="10.6640625" customWidth="1"/>
    <col min="20" max="20" width="10.6640625" customWidth="1"/>
  </cols>
  <sheetData>
    <row r="1" spans="1:22" x14ac:dyDescent="0.3">
      <c r="A1" s="49" t="s">
        <v>0</v>
      </c>
      <c r="B1" s="49"/>
      <c r="C1" s="49"/>
      <c r="D1" s="49"/>
      <c r="F1" s="45">
        <v>45043</v>
      </c>
    </row>
    <row r="2" spans="1:22" x14ac:dyDescent="0.3">
      <c r="A2" s="49" t="s">
        <v>2</v>
      </c>
      <c r="B2" s="49"/>
      <c r="C2" s="49"/>
      <c r="D2" s="49"/>
    </row>
    <row r="3" spans="1:22" x14ac:dyDescent="0.3">
      <c r="A3" s="49" t="s">
        <v>1</v>
      </c>
      <c r="B3" s="49"/>
      <c r="C3" s="49"/>
      <c r="D3" s="49"/>
      <c r="E3" s="48" t="s">
        <v>67</v>
      </c>
      <c r="F3" s="48"/>
      <c r="G3" s="48"/>
      <c r="H3" s="48"/>
      <c r="I3" s="48"/>
      <c r="J3" s="48"/>
      <c r="K3" s="48"/>
      <c r="L3" s="48"/>
      <c r="M3" s="48"/>
      <c r="N3" s="48"/>
    </row>
    <row r="4" spans="1:22" x14ac:dyDescent="0.3">
      <c r="A4" s="3"/>
      <c r="B4" s="3"/>
      <c r="C4" s="3"/>
      <c r="D4" s="3"/>
      <c r="E4" s="48" t="s">
        <v>68</v>
      </c>
      <c r="F4" s="48"/>
      <c r="G4" s="48"/>
      <c r="H4" s="48"/>
      <c r="I4" s="48"/>
      <c r="J4" s="48"/>
      <c r="K4" s="48"/>
      <c r="L4" s="48"/>
      <c r="M4" s="48"/>
      <c r="N4" s="48"/>
      <c r="O4" s="3"/>
      <c r="P4" s="3"/>
      <c r="Q4" s="3"/>
      <c r="R4" s="3"/>
      <c r="S4" s="3"/>
      <c r="T4" s="3"/>
      <c r="U4" s="3"/>
      <c r="V4" s="3"/>
    </row>
    <row r="5" spans="1:22" x14ac:dyDescent="0.3">
      <c r="A5" s="3"/>
      <c r="B5" s="3"/>
      <c r="C5" s="3"/>
      <c r="D5" s="7"/>
      <c r="E5" s="2"/>
      <c r="F5" s="2"/>
      <c r="G5" s="2"/>
      <c r="H5" s="6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31.2" customHeight="1" x14ac:dyDescent="0.3">
      <c r="A6" s="3"/>
      <c r="B6" s="3"/>
      <c r="C6" s="3"/>
      <c r="D6" s="3"/>
      <c r="E6" s="28" t="s">
        <v>36</v>
      </c>
      <c r="F6" s="25" t="s">
        <v>34</v>
      </c>
      <c r="G6" s="28" t="s">
        <v>37</v>
      </c>
      <c r="H6" s="25" t="s">
        <v>35</v>
      </c>
      <c r="I6" s="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3">
      <c r="A7" s="3"/>
      <c r="B7" s="39" t="s">
        <v>28</v>
      </c>
      <c r="C7" s="40">
        <v>0.01</v>
      </c>
      <c r="D7" s="9"/>
      <c r="E7" s="19">
        <v>-15.8</v>
      </c>
      <c r="F7" s="69">
        <v>2</v>
      </c>
      <c r="G7" s="69">
        <f>AVERAGE(E7:E8)</f>
        <v>-14.700000000000001</v>
      </c>
      <c r="H7" s="69">
        <f>F7*G7</f>
        <v>-29.400000000000002</v>
      </c>
      <c r="I7" s="1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.6" x14ac:dyDescent="0.35">
      <c r="A8" s="3"/>
      <c r="B8" s="40" t="s">
        <v>29</v>
      </c>
      <c r="C8" s="40">
        <v>-15.8</v>
      </c>
      <c r="D8" s="3"/>
      <c r="E8" s="19">
        <f>E7+2.2</f>
        <v>-13.600000000000001</v>
      </c>
      <c r="F8" s="69"/>
      <c r="G8" s="69"/>
      <c r="H8" s="69"/>
      <c r="I8" s="1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3">
      <c r="A9" s="3"/>
      <c r="B9" s="40" t="s">
        <v>30</v>
      </c>
      <c r="C9" s="40">
        <v>2.2000000000000002</v>
      </c>
      <c r="D9" s="3"/>
      <c r="E9" s="19">
        <f>E8</f>
        <v>-13.600000000000001</v>
      </c>
      <c r="F9" s="69">
        <v>8</v>
      </c>
      <c r="G9" s="69">
        <f t="shared" ref="G9" si="0">AVERAGE(E9:E10)</f>
        <v>-12.500000000000002</v>
      </c>
      <c r="H9" s="69">
        <f t="shared" ref="H9" si="1">F9*G9</f>
        <v>-100.00000000000001</v>
      </c>
      <c r="I9" s="12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3">
      <c r="A10" s="3"/>
      <c r="B10" s="3"/>
      <c r="C10" s="3"/>
      <c r="D10" s="3"/>
      <c r="E10" s="19">
        <f t="shared" ref="E10:E18" si="2">E9+2.2</f>
        <v>-11.400000000000002</v>
      </c>
      <c r="F10" s="69"/>
      <c r="G10" s="69"/>
      <c r="H10" s="69"/>
      <c r="I10" s="1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28.8" x14ac:dyDescent="0.3">
      <c r="A11" s="24"/>
      <c r="B11" s="25" t="s">
        <v>34</v>
      </c>
      <c r="C11" s="28" t="s">
        <v>61</v>
      </c>
      <c r="D11" s="3"/>
      <c r="E11" s="19">
        <f>E10</f>
        <v>-11.400000000000002</v>
      </c>
      <c r="F11" s="69">
        <v>26</v>
      </c>
      <c r="G11" s="69">
        <f t="shared" ref="G11" si="3">AVERAGE(E11:E12)</f>
        <v>-10.300000000000002</v>
      </c>
      <c r="H11" s="69">
        <f t="shared" ref="H11" si="4">F11*G11</f>
        <v>-267.80000000000007</v>
      </c>
      <c r="I11" s="1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3">
      <c r="A12" s="19">
        <v>1</v>
      </c>
      <c r="B12" s="19">
        <v>2</v>
      </c>
      <c r="C12" s="19">
        <f>AVERAGE(E7:E8)</f>
        <v>-14.700000000000001</v>
      </c>
      <c r="D12" s="3"/>
      <c r="E12" s="19">
        <f t="shared" si="2"/>
        <v>-9.2000000000000028</v>
      </c>
      <c r="F12" s="69"/>
      <c r="G12" s="69"/>
      <c r="H12" s="69"/>
      <c r="I12" s="12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3">
      <c r="A13" s="19">
        <v>2</v>
      </c>
      <c r="B13" s="19">
        <v>8</v>
      </c>
      <c r="C13" s="19">
        <f>AVERAGE(E9:E10)</f>
        <v>-12.500000000000002</v>
      </c>
      <c r="D13" s="3"/>
      <c r="E13" s="19">
        <f>E12</f>
        <v>-9.2000000000000028</v>
      </c>
      <c r="F13" s="69">
        <v>51</v>
      </c>
      <c r="G13" s="69">
        <f t="shared" ref="G13" si="5">AVERAGE(E13:E14)</f>
        <v>-8.1000000000000032</v>
      </c>
      <c r="H13" s="69">
        <f t="shared" ref="H13" si="6">F13*G13</f>
        <v>-413.10000000000014</v>
      </c>
      <c r="I13" s="1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3">
      <c r="A14" s="19">
        <v>3</v>
      </c>
      <c r="B14" s="19">
        <v>26</v>
      </c>
      <c r="C14" s="19">
        <f>AVERAGE(E11:E12)</f>
        <v>-10.300000000000002</v>
      </c>
      <c r="D14" s="3"/>
      <c r="E14" s="19">
        <f t="shared" si="2"/>
        <v>-7.0000000000000027</v>
      </c>
      <c r="F14" s="69"/>
      <c r="G14" s="69"/>
      <c r="H14" s="69"/>
      <c r="I14" s="1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3">
      <c r="A15" s="19">
        <v>4</v>
      </c>
      <c r="B15" s="19">
        <v>51</v>
      </c>
      <c r="C15" s="19">
        <f>AVERAGE(E13:E14)</f>
        <v>-8.1000000000000032</v>
      </c>
      <c r="D15" s="3"/>
      <c r="E15" s="19">
        <f>E14</f>
        <v>-7.0000000000000027</v>
      </c>
      <c r="F15" s="69">
        <v>84</v>
      </c>
      <c r="G15" s="69">
        <f t="shared" ref="G15" si="7">AVERAGE(E15:E16)</f>
        <v>-5.9000000000000021</v>
      </c>
      <c r="H15" s="69">
        <f t="shared" ref="H15" si="8">F15*G15</f>
        <v>-495.60000000000019</v>
      </c>
      <c r="I15" s="12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x14ac:dyDescent="0.3">
      <c r="A16" s="19">
        <v>5</v>
      </c>
      <c r="B16" s="19">
        <v>84</v>
      </c>
      <c r="C16" s="19">
        <f>AVERAGE(E15:E16)</f>
        <v>-5.9000000000000021</v>
      </c>
      <c r="D16" s="3"/>
      <c r="E16" s="19">
        <f t="shared" si="2"/>
        <v>-4.8000000000000025</v>
      </c>
      <c r="F16" s="69"/>
      <c r="G16" s="69"/>
      <c r="H16" s="69"/>
      <c r="I16" s="12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3">
      <c r="A17" s="19">
        <v>6</v>
      </c>
      <c r="B17" s="19">
        <v>80</v>
      </c>
      <c r="C17" s="19">
        <f>AVERAGE(E17:E18)</f>
        <v>-3.7000000000000024</v>
      </c>
      <c r="D17" s="3"/>
      <c r="E17" s="19">
        <f>E16</f>
        <v>-4.8000000000000025</v>
      </c>
      <c r="F17" s="69">
        <v>80</v>
      </c>
      <c r="G17" s="69">
        <f t="shared" ref="G17" si="9">AVERAGE(E17:E18)</f>
        <v>-3.7000000000000024</v>
      </c>
      <c r="H17" s="69">
        <f t="shared" ref="H17" si="10">F17*G17</f>
        <v>-296.00000000000017</v>
      </c>
      <c r="I17" s="1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x14ac:dyDescent="0.3">
      <c r="A18" s="19">
        <v>7</v>
      </c>
      <c r="B18" s="19">
        <v>55</v>
      </c>
      <c r="C18" s="19">
        <f>AVERAGE(E19:E20)</f>
        <v>-1.5000000000000022</v>
      </c>
      <c r="D18" s="3"/>
      <c r="E18" s="19">
        <f t="shared" si="2"/>
        <v>-2.6000000000000023</v>
      </c>
      <c r="F18" s="69"/>
      <c r="G18" s="69"/>
      <c r="H18" s="69"/>
      <c r="I18" s="1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3">
      <c r="A19" s="19">
        <v>8</v>
      </c>
      <c r="B19" s="19">
        <v>44</v>
      </c>
      <c r="C19" s="19">
        <f>AVERAGE(E21:E22)</f>
        <v>0.69999999999999796</v>
      </c>
      <c r="D19" s="3"/>
      <c r="E19" s="19">
        <f>E18</f>
        <v>-2.6000000000000023</v>
      </c>
      <c r="F19" s="69">
        <v>55</v>
      </c>
      <c r="G19" s="69">
        <f t="shared" ref="G19" si="11">AVERAGE(E19:E20)</f>
        <v>-1.5000000000000022</v>
      </c>
      <c r="H19" s="69">
        <f t="shared" ref="H19" si="12">F19*G19</f>
        <v>-82.500000000000128</v>
      </c>
      <c r="I19" s="1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3">
      <c r="A20" s="19">
        <v>9</v>
      </c>
      <c r="B20" s="19">
        <v>10</v>
      </c>
      <c r="C20" s="19">
        <f>AVERAGE(E23:E24)</f>
        <v>2.8999999999999981</v>
      </c>
      <c r="D20" s="3"/>
      <c r="E20" s="19">
        <f>E19+2.2</f>
        <v>-0.40000000000000213</v>
      </c>
      <c r="F20" s="69"/>
      <c r="G20" s="69"/>
      <c r="H20" s="69"/>
      <c r="I20" s="12"/>
      <c r="J20" s="3"/>
      <c r="K20" s="3"/>
      <c r="L20" s="3"/>
      <c r="M20" s="3"/>
      <c r="N20" s="66"/>
      <c r="O20" s="66"/>
      <c r="P20" s="66"/>
      <c r="Q20" s="66"/>
      <c r="R20" s="3"/>
      <c r="S20" s="3"/>
      <c r="T20" s="3"/>
      <c r="U20" s="3"/>
      <c r="V20" s="3"/>
    </row>
    <row r="21" spans="1:22" x14ac:dyDescent="0.3">
      <c r="A21" s="19">
        <v>10</v>
      </c>
      <c r="B21" s="19">
        <v>5</v>
      </c>
      <c r="C21" s="19">
        <f>AVERAGE(E25:E26)</f>
        <v>5.0999999999999979</v>
      </c>
      <c r="D21" s="3"/>
      <c r="E21" s="19">
        <f>E20</f>
        <v>-0.40000000000000213</v>
      </c>
      <c r="F21" s="69">
        <v>44</v>
      </c>
      <c r="G21" s="69">
        <f t="shared" ref="G21" si="13">AVERAGE(E21:E22)</f>
        <v>0.69999999999999796</v>
      </c>
      <c r="H21" s="69">
        <f t="shared" ref="H21" si="14">F21*G21</f>
        <v>30.799999999999912</v>
      </c>
      <c r="I21" s="12"/>
      <c r="J21" s="3"/>
      <c r="K21" s="50"/>
      <c r="L21" s="51"/>
      <c r="M21" s="3"/>
      <c r="N21" s="66"/>
      <c r="O21" s="66"/>
      <c r="P21" s="66"/>
      <c r="Q21" s="66"/>
      <c r="R21" s="3"/>
      <c r="S21" s="3"/>
      <c r="T21" s="3"/>
      <c r="U21" s="3"/>
      <c r="V21" s="3"/>
    </row>
    <row r="22" spans="1:22" x14ac:dyDescent="0.3">
      <c r="A22" s="19">
        <v>11</v>
      </c>
      <c r="B22" s="19">
        <v>1</v>
      </c>
      <c r="C22" s="19">
        <f>AVERAGE(E27:E28)</f>
        <v>7.2999999999999989</v>
      </c>
      <c r="D22" s="3"/>
      <c r="E22" s="19">
        <f t="shared" ref="E22:E28" si="15">E21+2.2</f>
        <v>1.799999999999998</v>
      </c>
      <c r="F22" s="69"/>
      <c r="G22" s="69"/>
      <c r="H22" s="69"/>
      <c r="I22" s="12"/>
      <c r="J22" s="3"/>
      <c r="K22" s="52"/>
      <c r="L22" s="53"/>
      <c r="M22" s="3"/>
      <c r="N22" s="66"/>
      <c r="O22" s="66"/>
      <c r="P22" s="66"/>
      <c r="Q22" s="66"/>
      <c r="R22" s="3"/>
      <c r="S22" s="3"/>
      <c r="T22" s="3"/>
      <c r="U22" s="3"/>
      <c r="V22" s="3"/>
    </row>
    <row r="23" spans="1:22" x14ac:dyDescent="0.3">
      <c r="A23" s="31" t="s">
        <v>32</v>
      </c>
      <c r="B23" s="31">
        <f>COUNT(B12:B22)</f>
        <v>11</v>
      </c>
      <c r="C23" s="3"/>
      <c r="D23" s="3"/>
      <c r="E23" s="19">
        <f>E22</f>
        <v>1.799999999999998</v>
      </c>
      <c r="F23" s="69">
        <v>10</v>
      </c>
      <c r="G23" s="69">
        <f t="shared" ref="G23" si="16">AVERAGE(E23:E24)</f>
        <v>2.8999999999999981</v>
      </c>
      <c r="H23" s="69">
        <f t="shared" ref="H23" si="17">F23*G23</f>
        <v>28.999999999999982</v>
      </c>
      <c r="I23" s="12"/>
      <c r="J23" s="3"/>
      <c r="K23" s="54"/>
      <c r="L23" s="55"/>
      <c r="M23" s="3"/>
      <c r="N23" s="66"/>
      <c r="O23" s="66"/>
      <c r="P23" s="66"/>
      <c r="Q23" s="66"/>
      <c r="R23" s="3"/>
      <c r="S23" s="3"/>
      <c r="T23" s="3"/>
      <c r="U23" s="3"/>
      <c r="V23" s="3"/>
    </row>
    <row r="24" spans="1:22" x14ac:dyDescent="0.3">
      <c r="A24" s="66" t="s">
        <v>38</v>
      </c>
      <c r="B24" s="66"/>
      <c r="C24" s="3"/>
      <c r="D24" s="3"/>
      <c r="E24" s="19">
        <f t="shared" si="15"/>
        <v>3.9999999999999982</v>
      </c>
      <c r="F24" s="69"/>
      <c r="G24" s="69"/>
      <c r="H24" s="69"/>
      <c r="I24" s="12"/>
      <c r="J24" s="3"/>
      <c r="K24" s="70">
        <f>SUM(H7:H28)/F29</f>
        <v>-4.3491803278688552</v>
      </c>
      <c r="L24" s="70"/>
      <c r="M24" s="3"/>
      <c r="N24" s="67">
        <f>R40</f>
        <v>14.468838125951807</v>
      </c>
      <c r="O24" s="67"/>
      <c r="P24" s="67"/>
      <c r="Q24" s="67"/>
      <c r="R24" s="3"/>
      <c r="S24" s="3"/>
      <c r="T24" s="3"/>
      <c r="U24" s="3"/>
      <c r="V24" s="3"/>
    </row>
    <row r="25" spans="1:22" x14ac:dyDescent="0.3">
      <c r="A25" s="3"/>
      <c r="B25" s="3"/>
      <c r="C25" s="3"/>
      <c r="D25" s="3"/>
      <c r="E25" s="19">
        <f>E24</f>
        <v>3.9999999999999982</v>
      </c>
      <c r="F25" s="69">
        <v>5</v>
      </c>
      <c r="G25" s="69">
        <f t="shared" ref="G25" si="18">AVERAGE(E25:E26)</f>
        <v>5.0999999999999979</v>
      </c>
      <c r="H25" s="69">
        <f t="shared" ref="H25" si="19">F25*G25</f>
        <v>25.499999999999989</v>
      </c>
      <c r="I25" s="12"/>
      <c r="N25" s="3"/>
      <c r="O25" s="3"/>
      <c r="P25" s="3"/>
      <c r="Q25" s="4"/>
      <c r="R25" s="3"/>
      <c r="S25" s="3"/>
      <c r="T25" s="3"/>
      <c r="U25" s="3"/>
      <c r="V25" s="3"/>
    </row>
    <row r="26" spans="1:22" x14ac:dyDescent="0.3">
      <c r="A26" s="3"/>
      <c r="B26" s="3"/>
      <c r="C26" s="3"/>
      <c r="D26" s="3"/>
      <c r="E26" s="19">
        <f t="shared" si="15"/>
        <v>6.1999999999999984</v>
      </c>
      <c r="F26" s="69"/>
      <c r="G26" s="69"/>
      <c r="H26" s="69"/>
      <c r="I26" s="12"/>
      <c r="J26" s="4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6.2" x14ac:dyDescent="0.3">
      <c r="A27" s="3"/>
      <c r="B27" s="3"/>
      <c r="C27" s="3"/>
      <c r="D27" s="3"/>
      <c r="E27" s="19">
        <f>E26</f>
        <v>6.1999999999999984</v>
      </c>
      <c r="F27" s="69">
        <v>1</v>
      </c>
      <c r="G27" s="69">
        <f>AVERAGE(E27:E28)</f>
        <v>7.2999999999999989</v>
      </c>
      <c r="H27" s="69">
        <f t="shared" ref="H27" si="20">F27*G27</f>
        <v>7.2999999999999989</v>
      </c>
      <c r="I27" s="12"/>
      <c r="J27" s="4"/>
      <c r="K27" s="66"/>
      <c r="L27" s="66"/>
      <c r="M27" s="3"/>
      <c r="N27" s="68"/>
      <c r="O27" s="68"/>
      <c r="P27" s="3"/>
      <c r="Q27" s="23" t="s">
        <v>40</v>
      </c>
      <c r="R27" s="23" t="s">
        <v>41</v>
      </c>
      <c r="S27" s="3"/>
      <c r="T27" s="3"/>
      <c r="U27" s="3"/>
      <c r="V27" s="3"/>
    </row>
    <row r="28" spans="1:22" x14ac:dyDescent="0.3">
      <c r="A28" s="3"/>
      <c r="B28" s="3"/>
      <c r="C28" s="3"/>
      <c r="D28" s="3"/>
      <c r="E28" s="19">
        <f t="shared" si="15"/>
        <v>8.3999999999999986</v>
      </c>
      <c r="F28" s="69"/>
      <c r="G28" s="69"/>
      <c r="H28" s="69"/>
      <c r="I28" s="12"/>
      <c r="J28" s="6"/>
      <c r="K28" s="66"/>
      <c r="L28" s="66"/>
      <c r="M28" s="3"/>
      <c r="N28" s="68"/>
      <c r="O28" s="68"/>
      <c r="P28" s="3"/>
      <c r="Q28" s="19">
        <f>ABS(G7-$K$24)</f>
        <v>10.350819672131145</v>
      </c>
      <c r="R28" s="19">
        <f>Q28*Q28*F7</f>
        <v>214.27893576995422</v>
      </c>
      <c r="S28" s="3"/>
      <c r="T28" s="3"/>
      <c r="U28" s="3"/>
      <c r="V28" s="3"/>
    </row>
    <row r="29" spans="1:22" x14ac:dyDescent="0.3">
      <c r="A29" s="3"/>
      <c r="B29" s="3"/>
      <c r="C29" s="3"/>
      <c r="D29" s="3"/>
      <c r="E29" s="29" t="s">
        <v>31</v>
      </c>
      <c r="F29" s="29">
        <f>SUM(F7:F28)</f>
        <v>366</v>
      </c>
      <c r="G29" s="3"/>
      <c r="H29" s="3"/>
      <c r="I29" s="3"/>
      <c r="J29" s="3"/>
      <c r="K29" s="67">
        <f>SQRT(N24)</f>
        <v>3.8037925976519551</v>
      </c>
      <c r="L29" s="67"/>
      <c r="M29" s="3"/>
      <c r="N29" s="68"/>
      <c r="O29" s="68"/>
      <c r="P29" s="3"/>
      <c r="Q29" s="19">
        <f>ABS(G9-$K$24)</f>
        <v>8.1508196721311457</v>
      </c>
      <c r="R29" s="19">
        <f>Q29*Q29*F9</f>
        <v>531.48689062080064</v>
      </c>
      <c r="S29" s="3"/>
      <c r="T29" s="3"/>
      <c r="U29" s="3"/>
      <c r="V29" s="3"/>
    </row>
    <row r="30" spans="1:22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N30" s="56">
        <f>F29/(F29-1)*N24</f>
        <v>14.508478778351677</v>
      </c>
      <c r="O30" s="57"/>
      <c r="P30" s="3"/>
      <c r="Q30" s="19">
        <f>ABS(G11-$K$24)</f>
        <v>5.9508196721311473</v>
      </c>
      <c r="R30" s="19">
        <f>Q30*Q30*F11</f>
        <v>920.7186240257995</v>
      </c>
      <c r="S30" s="3"/>
      <c r="T30" s="3"/>
      <c r="U30" s="3"/>
      <c r="V30" s="3"/>
    </row>
    <row r="31" spans="1:22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O31" s="3"/>
      <c r="P31" s="3"/>
      <c r="Q31" s="19">
        <f>ABS(G13-$K$24)</f>
        <v>3.750819672131148</v>
      </c>
      <c r="R31" s="19">
        <f>Q31*Q31*F13</f>
        <v>717.50105885514665</v>
      </c>
      <c r="S31" s="3"/>
      <c r="T31" s="3"/>
      <c r="U31" s="3"/>
      <c r="V31" s="3"/>
    </row>
    <row r="32" spans="1:22" x14ac:dyDescent="0.3">
      <c r="A32" s="3"/>
      <c r="F32" s="3"/>
      <c r="G32" s="4"/>
      <c r="H32" s="4"/>
      <c r="I32" s="4"/>
      <c r="J32" s="4"/>
      <c r="K32" s="29" t="s">
        <v>60</v>
      </c>
      <c r="L32" s="29">
        <f>SQRT(N30)</f>
        <v>3.808999708368547</v>
      </c>
      <c r="O32" s="4"/>
      <c r="P32" s="4"/>
      <c r="Q32" s="19">
        <f>ABS(G15-$K$24)</f>
        <v>1.5508196721311469</v>
      </c>
      <c r="R32" s="19">
        <f>Q32*Q32*F15</f>
        <v>202.02349905939246</v>
      </c>
      <c r="S32" s="3"/>
      <c r="T32" s="3"/>
      <c r="U32" s="3"/>
      <c r="V32" s="3"/>
    </row>
    <row r="33" spans="1:22" x14ac:dyDescent="0.3">
      <c r="A33" s="3"/>
      <c r="O33" s="4"/>
      <c r="P33" s="4"/>
      <c r="Q33" s="19">
        <f>ABS(G17-$K$24)</f>
        <v>0.64918032786885282</v>
      </c>
      <c r="R33" s="19">
        <f>Q33*Q33*F17</f>
        <v>33.714807847352901</v>
      </c>
      <c r="S33" s="3"/>
      <c r="T33" s="3"/>
      <c r="U33" s="3"/>
      <c r="V33" s="3"/>
    </row>
    <row r="34" spans="1:22" x14ac:dyDescent="0.3">
      <c r="A34" s="28" t="s">
        <v>66</v>
      </c>
      <c r="B34" s="19">
        <f>(E7-$K$24)/$L$32</f>
        <v>-3.0062537539641103</v>
      </c>
      <c r="C34" s="19">
        <f>(E9-$K$24)/$L$32</f>
        <v>-2.4286742925725808</v>
      </c>
      <c r="D34" s="19">
        <f>(E11-$K$24)/$L$32</f>
        <v>-1.8510948311810507</v>
      </c>
      <c r="E34" s="19">
        <f>(E13-$K$24)/$L$32</f>
        <v>-1.273515369789521</v>
      </c>
      <c r="F34" s="19">
        <f>(E15-$K$24)/$L$32</f>
        <v>-0.69593590839799102</v>
      </c>
      <c r="G34" s="19">
        <f>(E17-$K$24)/$L$32</f>
        <v>-0.11835644700646099</v>
      </c>
      <c r="H34" s="20">
        <f>(E19-$K$24)/$L$32</f>
        <v>0.45922301438506902</v>
      </c>
      <c r="I34" s="20">
        <f>(E21-$K$24)/$L$32</f>
        <v>1.036802475776599</v>
      </c>
      <c r="J34" s="20">
        <f>(E23-$K$24)/$L$32</f>
        <v>1.6143819371681289</v>
      </c>
      <c r="K34" s="21">
        <f>(E25-$K$24)/$L$32</f>
        <v>2.1919613985596591</v>
      </c>
      <c r="L34" s="21">
        <f>(E27-$K$24)/$L$32</f>
        <v>2.769540859951189</v>
      </c>
      <c r="N34" s="4"/>
      <c r="O34" s="4"/>
      <c r="P34" s="4"/>
      <c r="Q34" s="19">
        <f>ABS(G19-$K$24)</f>
        <v>2.849180327868853</v>
      </c>
      <c r="R34" s="19">
        <f>Q34*Q34*F19</f>
        <v>446.48056973931756</v>
      </c>
      <c r="S34" s="3"/>
      <c r="T34" s="3"/>
      <c r="U34" s="3"/>
      <c r="V34" s="3"/>
    </row>
    <row r="35" spans="1:22" x14ac:dyDescent="0.3">
      <c r="A35" s="25" t="s">
        <v>63</v>
      </c>
      <c r="B35" s="21">
        <v>-0.49864999999999998</v>
      </c>
      <c r="C35" s="21">
        <v>-0.49220000000000003</v>
      </c>
      <c r="D35" s="21">
        <v>-0.46779999999999999</v>
      </c>
      <c r="E35" s="21">
        <v>-0.39800000000000002</v>
      </c>
      <c r="F35" s="21">
        <v>-0.25800000000000001</v>
      </c>
      <c r="G35" s="21">
        <v>-4.7800000000000002E-2</v>
      </c>
      <c r="H35" s="21">
        <v>0.1772</v>
      </c>
      <c r="I35" s="36">
        <v>0.3508</v>
      </c>
      <c r="J35" s="37">
        <v>0.44629999999999997</v>
      </c>
      <c r="K35" s="37">
        <v>0.48609999999999998</v>
      </c>
      <c r="L35" s="37">
        <v>0.49709999999999999</v>
      </c>
      <c r="N35" s="4"/>
      <c r="O35" s="4"/>
      <c r="P35" s="4"/>
      <c r="Q35" s="19">
        <f>ABS(G21-$K$24)</f>
        <v>5.0491803278688536</v>
      </c>
      <c r="R35" s="19">
        <f>Q35*Q35*F21</f>
        <v>1121.7457672668643</v>
      </c>
      <c r="S35" s="3"/>
      <c r="T35" s="3"/>
      <c r="U35" s="3"/>
      <c r="V35" s="3"/>
    </row>
    <row r="36" spans="1:22" ht="20.399999999999999" customHeight="1" x14ac:dyDescent="0.3">
      <c r="A36" s="28" t="s">
        <v>65</v>
      </c>
      <c r="B36" s="19">
        <f>(E8-$K$24)/$L$32</f>
        <v>-2.4286742925725808</v>
      </c>
      <c r="C36" s="19">
        <f>(E10-$K$24)/$L$32</f>
        <v>-1.8510948311810507</v>
      </c>
      <c r="D36" s="19">
        <f>(E12-$K$24)/$L$32</f>
        <v>-1.273515369789521</v>
      </c>
      <c r="E36" s="19">
        <f>(E14-$K$24)/$L$32</f>
        <v>-0.69593590839799102</v>
      </c>
      <c r="F36" s="19">
        <f>(E16-$K$24)/$L$32</f>
        <v>-0.11835644700646099</v>
      </c>
      <c r="G36" s="19">
        <f>(E18-$K$24)/$L$32</f>
        <v>0.45922301438506902</v>
      </c>
      <c r="H36" s="20">
        <f>(E20-$K$24)/$L$32</f>
        <v>1.036802475776599</v>
      </c>
      <c r="I36" s="20">
        <f>(E22-$K$24)/$L$32</f>
        <v>1.6143819371681289</v>
      </c>
      <c r="J36" s="20">
        <f>(E24-$K$24)/$L$32</f>
        <v>2.1919613985596591</v>
      </c>
      <c r="K36" s="21">
        <f>(E26-$K$24)/$L$32</f>
        <v>2.769540859951189</v>
      </c>
      <c r="L36" s="21">
        <f>(E28-$K$24)/$L$32</f>
        <v>3.347120321342719</v>
      </c>
      <c r="N36" s="4"/>
      <c r="O36" s="4"/>
      <c r="P36" s="4"/>
      <c r="Q36" s="19">
        <f>ABS(G23-$K$24)</f>
        <v>7.2491803278688529</v>
      </c>
      <c r="R36" s="19">
        <f>Q36*Q36*F23</f>
        <v>525.50615425960768</v>
      </c>
      <c r="S36" s="3"/>
      <c r="T36" s="3"/>
      <c r="U36" s="3"/>
      <c r="V36" s="3"/>
    </row>
    <row r="37" spans="1:22" x14ac:dyDescent="0.3">
      <c r="A37" s="25" t="s">
        <v>64</v>
      </c>
      <c r="B37" s="19">
        <f>C35</f>
        <v>-0.49220000000000003</v>
      </c>
      <c r="C37" s="19">
        <f t="shared" ref="C37:H37" si="21">D35</f>
        <v>-0.46779999999999999</v>
      </c>
      <c r="D37" s="19">
        <f t="shared" si="21"/>
        <v>-0.39800000000000002</v>
      </c>
      <c r="E37" s="19">
        <f t="shared" si="21"/>
        <v>-0.25800000000000001</v>
      </c>
      <c r="F37" s="19">
        <f t="shared" si="21"/>
        <v>-4.7800000000000002E-2</v>
      </c>
      <c r="G37" s="19">
        <f t="shared" si="21"/>
        <v>0.1772</v>
      </c>
      <c r="H37" s="19">
        <f t="shared" si="21"/>
        <v>0.3508</v>
      </c>
      <c r="I37" s="19">
        <f>J35</f>
        <v>0.44629999999999997</v>
      </c>
      <c r="J37" s="19">
        <f t="shared" ref="J37:K37" si="22">K35</f>
        <v>0.48609999999999998</v>
      </c>
      <c r="K37" s="19">
        <f t="shared" si="22"/>
        <v>0.49709999999999999</v>
      </c>
      <c r="L37" s="21">
        <v>0.49965999999999999</v>
      </c>
      <c r="N37" s="3"/>
      <c r="O37" s="3"/>
      <c r="P37" s="3"/>
      <c r="Q37" s="19">
        <f>ABS(G25-$K$24)</f>
        <v>9.4491803278688522</v>
      </c>
      <c r="R37" s="19">
        <f>Q37*Q37*F25</f>
        <v>446.43504434291856</v>
      </c>
      <c r="S37" s="3"/>
      <c r="T37" s="3"/>
      <c r="U37" s="3"/>
      <c r="V37" s="3"/>
    </row>
    <row r="38" spans="1:22" x14ac:dyDescent="0.3">
      <c r="A38" s="3"/>
      <c r="B38" s="6"/>
      <c r="C38" s="6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19">
        <f>ABS(G27-$K$24)</f>
        <v>11.649180327868855</v>
      </c>
      <c r="R38" s="19">
        <f>Q38*Q38*F27</f>
        <v>135.70340231120673</v>
      </c>
      <c r="S38" s="3"/>
      <c r="T38" s="3"/>
      <c r="U38" s="3"/>
      <c r="V38" s="3"/>
    </row>
    <row r="39" spans="1:22" ht="16.2" x14ac:dyDescent="0.3">
      <c r="A39" s="3"/>
      <c r="B39" s="3"/>
      <c r="C39" s="25" t="s">
        <v>53</v>
      </c>
      <c r="D39" s="25" t="s">
        <v>54</v>
      </c>
      <c r="E39" s="25" t="s">
        <v>55</v>
      </c>
      <c r="F39" s="25" t="s">
        <v>56</v>
      </c>
      <c r="G39" s="4"/>
      <c r="H39" s="66"/>
      <c r="I39" s="66"/>
      <c r="J39" s="66"/>
      <c r="K39" s="25" t="s">
        <v>59</v>
      </c>
      <c r="L39" s="8"/>
      <c r="M39" s="4"/>
      <c r="N39" s="4"/>
      <c r="O39" s="3"/>
      <c r="P39" s="3"/>
      <c r="Q39" s="3"/>
      <c r="R39" s="19">
        <f>SUM(R28:R38)</f>
        <v>5295.5947540983616</v>
      </c>
      <c r="S39" s="3"/>
      <c r="T39" s="3"/>
      <c r="U39" s="3"/>
      <c r="V39" s="3"/>
    </row>
    <row r="40" spans="1:22" x14ac:dyDescent="0.3">
      <c r="A40" s="3"/>
      <c r="B40" s="22" t="s">
        <v>42</v>
      </c>
      <c r="C40" s="19">
        <f>$F$29*K40</f>
        <v>2.3606999999999836</v>
      </c>
      <c r="D40" s="19">
        <f>F7-C40</f>
        <v>-0.36069999999998359</v>
      </c>
      <c r="E40" s="19">
        <f>D40*D40</f>
        <v>0.13010448999998817</v>
      </c>
      <c r="F40" s="19">
        <f>E40/C40</f>
        <v>5.511267420679844E-2</v>
      </c>
      <c r="G40" s="3"/>
      <c r="H40" s="66"/>
      <c r="I40" s="66"/>
      <c r="J40" s="66"/>
      <c r="K40" s="20">
        <f>B37-B35</f>
        <v>6.4499999999999558E-3</v>
      </c>
      <c r="L40" s="8"/>
      <c r="M40" s="4"/>
      <c r="N40" s="4"/>
      <c r="O40" s="8"/>
      <c r="P40" s="8"/>
      <c r="Q40" s="29" t="s">
        <v>39</v>
      </c>
      <c r="R40" s="29">
        <f>R39/F29</f>
        <v>14.468838125951807</v>
      </c>
      <c r="S40" s="3"/>
      <c r="T40" s="3"/>
      <c r="U40" s="3"/>
      <c r="V40" s="3"/>
    </row>
    <row r="41" spans="1:22" x14ac:dyDescent="0.3">
      <c r="A41" s="3"/>
      <c r="B41" s="22" t="s">
        <v>43</v>
      </c>
      <c r="C41" s="19">
        <f t="shared" ref="C41:C50" si="23">$F$29*K41</f>
        <v>8.9304000000000112</v>
      </c>
      <c r="D41" s="19">
        <f>F9-C41</f>
        <v>-0.93040000000001122</v>
      </c>
      <c r="E41" s="19">
        <f t="shared" ref="E41:E50" si="24">D41*D41</f>
        <v>0.86564416000002087</v>
      </c>
      <c r="F41" s="19">
        <f t="shared" ref="F41:F50" si="25">E41/C41</f>
        <v>9.6932294186152887E-2</v>
      </c>
      <c r="G41" s="3"/>
      <c r="H41" s="2"/>
      <c r="I41" s="6"/>
      <c r="J41" s="6"/>
      <c r="K41" s="20">
        <f>C37-C35</f>
        <v>2.4400000000000033E-2</v>
      </c>
      <c r="L41" s="4"/>
      <c r="M41" s="4"/>
      <c r="N41" s="4"/>
      <c r="O41" s="2"/>
      <c r="P41" s="3"/>
      <c r="Q41" s="3"/>
      <c r="R41" s="3"/>
      <c r="S41" s="3"/>
      <c r="T41" s="4"/>
      <c r="U41" s="12"/>
      <c r="V41" s="3"/>
    </row>
    <row r="42" spans="1:22" x14ac:dyDescent="0.3">
      <c r="A42" s="3"/>
      <c r="B42" s="22" t="s">
        <v>44</v>
      </c>
      <c r="C42" s="19">
        <f t="shared" si="23"/>
        <v>25.54679999999999</v>
      </c>
      <c r="D42" s="19">
        <f>F11-C42</f>
        <v>0.4532000000000096</v>
      </c>
      <c r="E42" s="19">
        <f t="shared" si="24"/>
        <v>0.20539024000000869</v>
      </c>
      <c r="F42" s="19">
        <f t="shared" si="25"/>
        <v>8.0397638843224505E-3</v>
      </c>
      <c r="G42" s="3"/>
      <c r="H42" s="2"/>
      <c r="I42" s="6"/>
      <c r="J42" s="6"/>
      <c r="K42" s="19">
        <f>D37-D35</f>
        <v>6.9799999999999973E-2</v>
      </c>
      <c r="L42" s="4"/>
      <c r="M42" s="4"/>
      <c r="N42" s="4"/>
      <c r="O42" s="3"/>
      <c r="P42" s="3"/>
      <c r="Q42" s="3"/>
      <c r="R42" s="3"/>
      <c r="S42" s="3"/>
      <c r="T42" s="4"/>
      <c r="U42" s="12"/>
      <c r="V42" s="3"/>
    </row>
    <row r="43" spans="1:22" x14ac:dyDescent="0.3">
      <c r="A43" s="3"/>
      <c r="B43" s="22" t="s">
        <v>45</v>
      </c>
      <c r="C43" s="19">
        <f t="shared" si="23"/>
        <v>51.24</v>
      </c>
      <c r="D43" s="19">
        <f>F13-C43</f>
        <v>-0.24000000000000199</v>
      </c>
      <c r="E43" s="19">
        <f t="shared" si="24"/>
        <v>5.7600000000000956E-2</v>
      </c>
      <c r="F43" s="19">
        <f t="shared" si="25"/>
        <v>1.1241217798595034E-3</v>
      </c>
      <c r="G43" s="3"/>
      <c r="H43" s="3"/>
      <c r="I43" s="3"/>
      <c r="J43" s="3"/>
      <c r="K43" s="19">
        <f>E37-E35</f>
        <v>0.14000000000000001</v>
      </c>
      <c r="L43" s="3"/>
      <c r="M43" s="3"/>
      <c r="N43" s="3"/>
      <c r="O43" s="4"/>
      <c r="P43" s="4"/>
      <c r="Q43" s="4"/>
      <c r="R43" s="4"/>
      <c r="S43" s="3"/>
      <c r="T43" s="4"/>
      <c r="U43" s="3"/>
      <c r="V43" s="3"/>
    </row>
    <row r="44" spans="1:22" x14ac:dyDescent="0.3">
      <c r="A44" s="3"/>
      <c r="B44" s="22" t="s">
        <v>46</v>
      </c>
      <c r="C44" s="19">
        <f t="shared" si="23"/>
        <v>76.933199999999999</v>
      </c>
      <c r="D44" s="19">
        <f>F15-C44</f>
        <v>7.0668000000000006</v>
      </c>
      <c r="E44" s="19">
        <f t="shared" si="24"/>
        <v>49.939662240000011</v>
      </c>
      <c r="F44" s="19">
        <f t="shared" si="25"/>
        <v>0.64913018358784003</v>
      </c>
      <c r="G44" s="3"/>
      <c r="H44" s="3"/>
      <c r="I44" s="3"/>
      <c r="J44" s="3"/>
      <c r="K44" s="19">
        <f>F37-F35</f>
        <v>0.2102</v>
      </c>
      <c r="L44" s="3"/>
      <c r="M44" s="3"/>
      <c r="N44" s="3"/>
      <c r="O44" s="3"/>
      <c r="P44" s="3"/>
      <c r="Q44" s="3"/>
      <c r="R44" s="3"/>
      <c r="S44" s="3"/>
      <c r="T44" s="4"/>
      <c r="U44" s="3"/>
      <c r="V44" s="3"/>
    </row>
    <row r="45" spans="1:22" x14ac:dyDescent="0.3">
      <c r="A45" s="3"/>
      <c r="B45" s="22" t="s">
        <v>47</v>
      </c>
      <c r="C45" s="19">
        <f t="shared" si="23"/>
        <v>82.350000000000009</v>
      </c>
      <c r="D45" s="19">
        <f>F17-C45</f>
        <v>-2.3500000000000085</v>
      </c>
      <c r="E45" s="19">
        <f t="shared" si="24"/>
        <v>5.5225000000000399</v>
      </c>
      <c r="F45" s="19">
        <f t="shared" si="25"/>
        <v>6.7061323618701152E-2</v>
      </c>
      <c r="G45" s="4"/>
      <c r="H45" s="4"/>
      <c r="I45" s="4"/>
      <c r="J45" s="4"/>
      <c r="K45" s="20">
        <f>G37-G35</f>
        <v>0.22500000000000001</v>
      </c>
      <c r="L45" s="4"/>
      <c r="M45" s="3"/>
      <c r="N45" s="3"/>
      <c r="O45" s="47"/>
      <c r="P45" s="47"/>
      <c r="Q45" s="47"/>
      <c r="R45" s="47"/>
      <c r="S45" s="47"/>
      <c r="T45" s="3"/>
      <c r="U45" s="3"/>
      <c r="V45" s="3"/>
    </row>
    <row r="46" spans="1:22" x14ac:dyDescent="0.3">
      <c r="A46" s="3"/>
      <c r="B46" s="22" t="s">
        <v>48</v>
      </c>
      <c r="C46" s="19">
        <f t="shared" si="23"/>
        <v>63.537600000000005</v>
      </c>
      <c r="D46" s="19">
        <f>F19-C46</f>
        <v>-8.5376000000000047</v>
      </c>
      <c r="E46" s="19">
        <f t="shared" si="24"/>
        <v>72.890613760000079</v>
      </c>
      <c r="F46" s="19">
        <f t="shared" si="25"/>
        <v>1.1472043917302521</v>
      </c>
      <c r="G46" s="2"/>
      <c r="H46" s="2"/>
      <c r="I46" s="2"/>
      <c r="J46" s="6"/>
      <c r="K46" s="20">
        <f>H37-H35</f>
        <v>0.1736</v>
      </c>
      <c r="L46" s="2"/>
      <c r="M46" s="3"/>
      <c r="N46" s="3"/>
      <c r="O46" s="2"/>
      <c r="P46" s="2"/>
      <c r="Q46" s="2"/>
      <c r="R46" s="2"/>
      <c r="S46" s="2"/>
      <c r="T46" s="3"/>
      <c r="U46" s="3"/>
      <c r="V46" s="3"/>
    </row>
    <row r="47" spans="1:22" x14ac:dyDescent="0.3">
      <c r="A47" s="3"/>
      <c r="B47" s="22" t="s">
        <v>49</v>
      </c>
      <c r="C47" s="19">
        <f t="shared" si="23"/>
        <v>34.952999999999989</v>
      </c>
      <c r="D47" s="19">
        <f>F21-C47</f>
        <v>9.0470000000000113</v>
      </c>
      <c r="E47" s="19">
        <f t="shared" si="24"/>
        <v>81.84820900000021</v>
      </c>
      <c r="F47" s="19">
        <f t="shared" si="25"/>
        <v>2.3416647784167379</v>
      </c>
      <c r="G47" s="13"/>
      <c r="H47" s="13"/>
      <c r="I47" s="13"/>
      <c r="J47" s="13"/>
      <c r="K47" s="35">
        <f>I37-I35</f>
        <v>9.5499999999999974E-2</v>
      </c>
      <c r="L47" s="13"/>
      <c r="M47" s="3"/>
      <c r="N47" s="3"/>
      <c r="O47" s="13"/>
      <c r="P47" s="13"/>
      <c r="Q47" s="13"/>
      <c r="R47" s="13"/>
      <c r="S47" s="13"/>
      <c r="T47" s="3"/>
      <c r="U47" s="3"/>
      <c r="V47" s="3"/>
    </row>
    <row r="48" spans="1:22" x14ac:dyDescent="0.3">
      <c r="A48" s="3"/>
      <c r="B48" s="22" t="s">
        <v>50</v>
      </c>
      <c r="C48" s="19">
        <f t="shared" si="23"/>
        <v>14.566800000000001</v>
      </c>
      <c r="D48" s="19">
        <f>F23-C48</f>
        <v>-4.5668000000000006</v>
      </c>
      <c r="E48" s="19">
        <f t="shared" si="24"/>
        <v>20.855662240000004</v>
      </c>
      <c r="F48" s="19">
        <f t="shared" si="25"/>
        <v>1.4317257215036936</v>
      </c>
      <c r="G48" s="13"/>
      <c r="H48" s="72" t="s">
        <v>122</v>
      </c>
      <c r="I48" s="72"/>
      <c r="J48" s="13"/>
      <c r="K48" s="35">
        <f>J37-J35</f>
        <v>3.9800000000000002E-2</v>
      </c>
      <c r="L48" s="13"/>
      <c r="M48" s="3"/>
      <c r="N48" s="3"/>
      <c r="O48" s="13"/>
      <c r="P48" s="13"/>
      <c r="Q48" s="13"/>
      <c r="R48" s="13"/>
      <c r="S48" s="13"/>
      <c r="T48" s="3"/>
      <c r="U48" s="3"/>
      <c r="V48" s="3"/>
    </row>
    <row r="49" spans="1:22" x14ac:dyDescent="0.3">
      <c r="A49" s="3"/>
      <c r="B49" s="22" t="s">
        <v>51</v>
      </c>
      <c r="C49" s="19">
        <f t="shared" si="23"/>
        <v>4.0260000000000034</v>
      </c>
      <c r="D49" s="19">
        <f>F25-C49</f>
        <v>0.97399999999999665</v>
      </c>
      <c r="E49" s="19">
        <f t="shared" si="24"/>
        <v>0.94867599999999341</v>
      </c>
      <c r="F49" s="19">
        <f t="shared" si="25"/>
        <v>0.23563735717833895</v>
      </c>
      <c r="G49" s="3"/>
      <c r="H49" s="29" t="s">
        <v>72</v>
      </c>
      <c r="I49" s="29">
        <f>B23-3</f>
        <v>8</v>
      </c>
      <c r="J49" s="3"/>
      <c r="K49" s="19">
        <f>K37-K35</f>
        <v>1.100000000000001E-2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x14ac:dyDescent="0.3">
      <c r="A50" s="3"/>
      <c r="B50" s="22" t="s">
        <v>52</v>
      </c>
      <c r="C50" s="19">
        <f t="shared" si="23"/>
        <v>0.93696000000000246</v>
      </c>
      <c r="D50" s="19">
        <f>F27-C50</f>
        <v>6.3039999999997542E-2</v>
      </c>
      <c r="E50" s="19">
        <f t="shared" si="24"/>
        <v>3.9740415999996899E-3</v>
      </c>
      <c r="F50" s="19">
        <f t="shared" si="25"/>
        <v>4.2414207650269802E-3</v>
      </c>
      <c r="G50" s="3"/>
      <c r="H50" s="3"/>
      <c r="I50" s="3"/>
      <c r="J50" s="3"/>
      <c r="K50" s="19">
        <f>L37-L35</f>
        <v>2.5600000000000067E-3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6.8" x14ac:dyDescent="0.35">
      <c r="A51" s="3"/>
      <c r="B51" s="3"/>
      <c r="C51" s="64"/>
      <c r="D51" s="3"/>
      <c r="E51" s="32" t="s">
        <v>57</v>
      </c>
      <c r="F51" s="42">
        <f>SUM(F40:F50)</f>
        <v>6.0378740308577239</v>
      </c>
      <c r="G51" s="38" t="s">
        <v>62</v>
      </c>
      <c r="H51" s="32" t="s">
        <v>58</v>
      </c>
      <c r="I51" s="41">
        <v>20.100000000000001</v>
      </c>
      <c r="J51" s="34"/>
      <c r="K51" s="14"/>
      <c r="L51" s="14"/>
      <c r="M51" s="14"/>
      <c r="N51" s="14"/>
      <c r="O51" s="14"/>
      <c r="P51" s="14"/>
      <c r="Q51" s="14"/>
      <c r="R51" s="3"/>
      <c r="S51" s="3"/>
      <c r="T51" s="3"/>
      <c r="U51" s="3"/>
      <c r="V51" s="3"/>
    </row>
    <row r="52" spans="1:22" ht="18.600000000000001" customHeight="1" x14ac:dyDescent="0.3">
      <c r="A52" s="3"/>
      <c r="B52" s="3"/>
      <c r="C52" s="65"/>
      <c r="D52" s="3"/>
      <c r="E52" s="58" t="s">
        <v>77</v>
      </c>
      <c r="F52" s="59"/>
      <c r="G52" s="59"/>
      <c r="H52" s="59"/>
      <c r="I52" s="60"/>
      <c r="J52" s="15"/>
      <c r="K52" s="15"/>
      <c r="L52" s="15"/>
      <c r="M52" s="15"/>
      <c r="N52" s="15"/>
      <c r="O52" s="15"/>
      <c r="P52" s="15"/>
      <c r="Q52" s="15"/>
      <c r="R52" s="3"/>
      <c r="S52" s="3"/>
      <c r="T52" s="3"/>
      <c r="U52" s="3"/>
      <c r="V52" s="3"/>
    </row>
    <row r="53" spans="1:22" ht="83.4" customHeight="1" x14ac:dyDescent="0.3">
      <c r="A53" s="3"/>
      <c r="B53" s="3"/>
      <c r="C53" s="3"/>
      <c r="D53" s="3"/>
      <c r="E53" s="61"/>
      <c r="F53" s="62"/>
      <c r="G53" s="62"/>
      <c r="H53" s="62"/>
      <c r="I53" s="63"/>
      <c r="J53" s="15"/>
      <c r="K53" s="15"/>
      <c r="L53" s="15"/>
      <c r="M53" s="15"/>
      <c r="N53" s="15"/>
      <c r="O53" s="15"/>
      <c r="P53" s="15"/>
      <c r="Q53" s="15"/>
      <c r="R53" s="3"/>
      <c r="S53" s="3"/>
      <c r="T53" s="3"/>
      <c r="U53" s="3"/>
      <c r="V53" s="3"/>
    </row>
    <row r="54" spans="1:22" ht="14.4" customHeight="1" x14ac:dyDescent="0.3">
      <c r="A54" s="3"/>
      <c r="B54" s="3"/>
      <c r="C54" s="3"/>
      <c r="D54" s="3"/>
      <c r="E54" s="50"/>
      <c r="F54" s="51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3"/>
      <c r="S54" s="3"/>
      <c r="T54" s="3"/>
      <c r="U54" s="3"/>
      <c r="V54" s="3"/>
    </row>
    <row r="55" spans="1:22" ht="14.4" customHeight="1" x14ac:dyDescent="0.3">
      <c r="A55" s="3"/>
      <c r="B55" s="3"/>
      <c r="C55" s="3"/>
      <c r="D55" s="3"/>
      <c r="E55" s="52"/>
      <c r="F55" s="53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3"/>
      <c r="S55" s="3"/>
      <c r="T55" s="3"/>
      <c r="U55" s="3"/>
      <c r="V55" s="3"/>
    </row>
    <row r="56" spans="1:22" ht="14.4" customHeight="1" x14ac:dyDescent="0.3">
      <c r="A56" s="3"/>
      <c r="B56" s="3"/>
      <c r="C56" s="3"/>
      <c r="D56" s="3"/>
      <c r="E56" s="52"/>
      <c r="F56" s="53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3"/>
      <c r="S56" s="3"/>
      <c r="T56" s="3"/>
      <c r="U56" s="3"/>
      <c r="V56" s="3"/>
    </row>
    <row r="57" spans="1:22" ht="14.4" customHeight="1" x14ac:dyDescent="0.3">
      <c r="A57" s="3"/>
      <c r="B57" s="3"/>
      <c r="C57" s="3"/>
      <c r="D57" s="3"/>
      <c r="E57" s="54"/>
      <c r="F57" s="5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3"/>
      <c r="S57" s="3"/>
      <c r="T57" s="3"/>
      <c r="U57" s="3"/>
      <c r="V57" s="3"/>
    </row>
    <row r="58" spans="1:22" ht="14.4" customHeight="1" x14ac:dyDescent="0.3">
      <c r="A58" s="3"/>
      <c r="B58" s="3"/>
      <c r="C58" s="3"/>
      <c r="D58" s="3"/>
      <c r="E58" s="3"/>
      <c r="F58" s="3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3"/>
      <c r="S58" s="3"/>
      <c r="T58" s="3"/>
      <c r="U58" s="3"/>
      <c r="V58" s="3"/>
    </row>
    <row r="59" spans="1:22" ht="14.4" customHeight="1" x14ac:dyDescent="0.3">
      <c r="A59" s="3"/>
      <c r="B59" s="3"/>
      <c r="C59" s="3"/>
      <c r="D59" s="3"/>
      <c r="E59" s="3"/>
      <c r="F59" s="3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3"/>
      <c r="S59" s="3"/>
      <c r="T59" s="3"/>
      <c r="U59" s="3"/>
      <c r="V59" s="3"/>
    </row>
    <row r="60" spans="1:22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x14ac:dyDescent="0.3">
      <c r="A108" s="2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</sheetData>
  <sortState ref="C12:C22">
    <sortCondition ref="C12"/>
  </sortState>
  <mergeCells count="53">
    <mergeCell ref="A1:D1"/>
    <mergeCell ref="A2:D2"/>
    <mergeCell ref="A3:D3"/>
    <mergeCell ref="O45:S45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G19:G20"/>
    <mergeCell ref="G21:G22"/>
    <mergeCell ref="G23:G24"/>
    <mergeCell ref="G25:G26"/>
    <mergeCell ref="G7:G8"/>
    <mergeCell ref="G9:G10"/>
    <mergeCell ref="G11:G12"/>
    <mergeCell ref="G13:G14"/>
    <mergeCell ref="G15:G16"/>
    <mergeCell ref="C51:C52"/>
    <mergeCell ref="H39:J40"/>
    <mergeCell ref="N24:Q24"/>
    <mergeCell ref="K29:L29"/>
    <mergeCell ref="A24:B24"/>
    <mergeCell ref="K27:L28"/>
    <mergeCell ref="N27:O29"/>
    <mergeCell ref="G27:G28"/>
    <mergeCell ref="K24:L24"/>
    <mergeCell ref="H23:H24"/>
    <mergeCell ref="H25:H26"/>
    <mergeCell ref="H27:H28"/>
    <mergeCell ref="H48:I48"/>
    <mergeCell ref="E54:F57"/>
    <mergeCell ref="K21:L23"/>
    <mergeCell ref="N30:O30"/>
    <mergeCell ref="E3:N3"/>
    <mergeCell ref="E4:N4"/>
    <mergeCell ref="E52:I53"/>
    <mergeCell ref="N20:Q23"/>
    <mergeCell ref="H7:H8"/>
    <mergeCell ref="H9:H10"/>
    <mergeCell ref="H11:H12"/>
    <mergeCell ref="H13:H14"/>
    <mergeCell ref="H15:H16"/>
    <mergeCell ref="H17:H18"/>
    <mergeCell ref="H19:H20"/>
    <mergeCell ref="H21:H22"/>
    <mergeCell ref="G17:G1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opLeftCell="A31" workbookViewId="0">
      <selection activeCell="I38" sqref="I38:J38"/>
    </sheetView>
  </sheetViews>
  <sheetFormatPr defaultRowHeight="14.4" x14ac:dyDescent="0.3"/>
  <cols>
    <col min="3" max="3" width="9.88671875" customWidth="1"/>
    <col min="4" max="4" width="14.44140625" customWidth="1"/>
    <col min="5" max="6" width="11.88671875" customWidth="1"/>
    <col min="7" max="7" width="12.109375" customWidth="1"/>
    <col min="14" max="14" width="10.33203125" customWidth="1"/>
    <col min="15" max="15" width="10.109375" customWidth="1"/>
    <col min="16" max="16" width="10.77734375" customWidth="1"/>
    <col min="17" max="17" width="12.21875" customWidth="1"/>
    <col min="20" max="20" width="10.33203125" customWidth="1"/>
  </cols>
  <sheetData>
    <row r="1" spans="1:23" x14ac:dyDescent="0.3">
      <c r="A1" s="49" t="s">
        <v>0</v>
      </c>
      <c r="B1" s="49"/>
      <c r="C1" s="49"/>
      <c r="D1" s="49"/>
      <c r="F1" s="45">
        <v>45043</v>
      </c>
    </row>
    <row r="2" spans="1:23" x14ac:dyDescent="0.3">
      <c r="A2" s="49" t="s">
        <v>2</v>
      </c>
      <c r="B2" s="49"/>
      <c r="C2" s="49"/>
      <c r="D2" s="49"/>
    </row>
    <row r="3" spans="1:23" x14ac:dyDescent="0.3">
      <c r="A3" s="49" t="s">
        <v>1</v>
      </c>
      <c r="B3" s="49"/>
      <c r="C3" s="49"/>
      <c r="D3" s="49"/>
      <c r="E3" s="48" t="s">
        <v>69</v>
      </c>
      <c r="F3" s="48"/>
      <c r="G3" s="48"/>
      <c r="H3" s="48"/>
      <c r="I3" s="48"/>
      <c r="J3" s="48"/>
      <c r="K3" s="48"/>
      <c r="L3" s="48"/>
      <c r="M3" s="48"/>
      <c r="N3" s="48"/>
    </row>
    <row r="4" spans="1:23" x14ac:dyDescent="0.3">
      <c r="A4" s="3"/>
      <c r="B4" s="3"/>
      <c r="C4" s="3"/>
      <c r="D4" s="3"/>
      <c r="E4" s="48" t="s">
        <v>70</v>
      </c>
      <c r="F4" s="48"/>
      <c r="G4" s="48"/>
      <c r="H4" s="48"/>
      <c r="I4" s="48"/>
      <c r="J4" s="48"/>
      <c r="K4" s="48"/>
      <c r="L4" s="48"/>
      <c r="M4" s="48"/>
      <c r="N4" s="48"/>
      <c r="O4" s="3"/>
      <c r="P4" s="3"/>
      <c r="Q4" s="3"/>
      <c r="R4" s="3"/>
      <c r="S4" s="3"/>
      <c r="T4" s="3"/>
      <c r="U4" s="3"/>
      <c r="V4" s="3"/>
      <c r="W4" s="3"/>
    </row>
    <row r="5" spans="1:23" x14ac:dyDescent="0.3">
      <c r="A5" s="3"/>
      <c r="B5" s="3"/>
      <c r="C5" s="3"/>
      <c r="D5" s="7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27.6" customHeight="1" x14ac:dyDescent="0.35">
      <c r="A6" s="3"/>
      <c r="B6" s="40" t="s">
        <v>29</v>
      </c>
      <c r="C6" s="40">
        <v>0</v>
      </c>
      <c r="D6" s="3"/>
      <c r="E6" s="28" t="s">
        <v>36</v>
      </c>
      <c r="F6" s="25" t="s">
        <v>34</v>
      </c>
      <c r="G6" s="28" t="s">
        <v>37</v>
      </c>
      <c r="H6" s="25" t="s">
        <v>35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">
      <c r="A7" s="3"/>
      <c r="B7" s="39" t="s">
        <v>28</v>
      </c>
      <c r="C7" s="40">
        <v>0.01</v>
      </c>
      <c r="D7" s="9"/>
      <c r="E7" s="21">
        <f>C6</f>
        <v>0</v>
      </c>
      <c r="F7" s="74">
        <f>B11</f>
        <v>152</v>
      </c>
      <c r="G7" s="74">
        <f>AVERAGE(E7:E8)</f>
        <v>1.1000000000000001</v>
      </c>
      <c r="H7" s="74">
        <f>G7*F7</f>
        <v>167.20000000000002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">
      <c r="A8" s="3"/>
      <c r="B8" s="40" t="s">
        <v>71</v>
      </c>
      <c r="C8" s="40">
        <v>2.2000000000000002</v>
      </c>
      <c r="D8" s="3"/>
      <c r="E8" s="19">
        <f>E7+$C$8</f>
        <v>2.2000000000000002</v>
      </c>
      <c r="F8" s="74"/>
      <c r="G8" s="74"/>
      <c r="H8" s="7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3">
      <c r="A9" s="3"/>
      <c r="B9" s="3"/>
      <c r="C9" s="3"/>
      <c r="D9" s="3"/>
      <c r="E9" s="19">
        <f>E8</f>
        <v>2.2000000000000002</v>
      </c>
      <c r="F9" s="69">
        <f>B12</f>
        <v>104</v>
      </c>
      <c r="G9" s="74">
        <f>AVERAGE(E9:E10)</f>
        <v>3.3000000000000003</v>
      </c>
      <c r="H9" s="74">
        <f t="shared" ref="H9" si="0">G9*F9</f>
        <v>343.20000000000005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28.8" x14ac:dyDescent="0.3">
      <c r="A10" s="24"/>
      <c r="B10" s="25" t="s">
        <v>34</v>
      </c>
      <c r="C10" s="28" t="s">
        <v>61</v>
      </c>
      <c r="D10" s="3"/>
      <c r="E10" s="19">
        <f>E9+$C$8</f>
        <v>4.4000000000000004</v>
      </c>
      <c r="F10" s="69"/>
      <c r="G10" s="74"/>
      <c r="H10" s="7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">
      <c r="A11" s="19">
        <v>1</v>
      </c>
      <c r="B11" s="19">
        <v>152</v>
      </c>
      <c r="C11" s="19">
        <f>G7</f>
        <v>1.1000000000000001</v>
      </c>
      <c r="D11" s="3"/>
      <c r="E11" s="19">
        <f>E10</f>
        <v>4.4000000000000004</v>
      </c>
      <c r="F11" s="69">
        <f>B13</f>
        <v>44</v>
      </c>
      <c r="G11" s="74">
        <f t="shared" ref="G11" si="1">AVERAGE(E11:E12)</f>
        <v>5.5</v>
      </c>
      <c r="H11" s="74">
        <f t="shared" ref="H11" si="2">G11*F11</f>
        <v>242</v>
      </c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">
      <c r="A12" s="19">
        <v>2</v>
      </c>
      <c r="B12" s="19">
        <v>104</v>
      </c>
      <c r="C12" s="19">
        <f>G9</f>
        <v>3.3000000000000003</v>
      </c>
      <c r="D12" s="3"/>
      <c r="E12" s="19">
        <f t="shared" ref="E12:E26" si="3">E11+$C$8</f>
        <v>6.6000000000000005</v>
      </c>
      <c r="F12" s="69"/>
      <c r="G12" s="74"/>
      <c r="H12" s="74"/>
      <c r="I12" s="4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">
      <c r="A13" s="19">
        <v>3</v>
      </c>
      <c r="B13" s="19">
        <v>44</v>
      </c>
      <c r="C13" s="19">
        <f>G11</f>
        <v>5.5</v>
      </c>
      <c r="D13" s="3"/>
      <c r="E13" s="19">
        <f>E12</f>
        <v>6.6000000000000005</v>
      </c>
      <c r="F13" s="74">
        <f>B14</f>
        <v>35</v>
      </c>
      <c r="G13" s="74">
        <f t="shared" ref="G13" si="4">AVERAGE(E13:E14)</f>
        <v>7.7000000000000011</v>
      </c>
      <c r="H13" s="74">
        <f t="shared" ref="H13" si="5">G13*F13</f>
        <v>269.50000000000006</v>
      </c>
      <c r="I13" s="4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">
      <c r="A14" s="19">
        <v>4</v>
      </c>
      <c r="B14" s="19">
        <v>35</v>
      </c>
      <c r="C14" s="19">
        <f>G13</f>
        <v>7.7000000000000011</v>
      </c>
      <c r="D14" s="3"/>
      <c r="E14" s="19">
        <f t="shared" si="3"/>
        <v>8.8000000000000007</v>
      </c>
      <c r="F14" s="74"/>
      <c r="G14" s="74"/>
      <c r="H14" s="74"/>
      <c r="I14" s="4"/>
      <c r="J14" s="3"/>
      <c r="K14" s="3"/>
      <c r="L14" s="3"/>
      <c r="M14" s="3"/>
      <c r="N14" s="8"/>
      <c r="O14" s="8"/>
      <c r="P14" s="8"/>
      <c r="Q14" s="3"/>
      <c r="R14" s="3"/>
      <c r="S14" s="3"/>
      <c r="T14" s="3"/>
      <c r="U14" s="3"/>
      <c r="V14" s="3"/>
      <c r="W14" s="3"/>
    </row>
    <row r="15" spans="1:23" ht="16.2" x14ac:dyDescent="0.3">
      <c r="A15" s="19">
        <v>5</v>
      </c>
      <c r="B15" s="19">
        <v>22</v>
      </c>
      <c r="C15" s="19">
        <f>G15</f>
        <v>9.9</v>
      </c>
      <c r="D15" s="3"/>
      <c r="E15" s="19">
        <f>E14</f>
        <v>8.8000000000000007</v>
      </c>
      <c r="F15" s="74">
        <f>B15</f>
        <v>22</v>
      </c>
      <c r="G15" s="74">
        <f t="shared" ref="G15" si="6">AVERAGE(E15:E16)</f>
        <v>9.9</v>
      </c>
      <c r="H15" s="74">
        <f t="shared" ref="H15" si="7">G15*F15</f>
        <v>217.8</v>
      </c>
      <c r="I15" s="3"/>
      <c r="J15" s="3"/>
      <c r="K15" s="50"/>
      <c r="L15" s="51"/>
      <c r="M15" s="3"/>
      <c r="N15" s="64"/>
      <c r="O15" s="3"/>
      <c r="P15" s="23" t="s">
        <v>40</v>
      </c>
      <c r="Q15" s="23" t="s">
        <v>41</v>
      </c>
      <c r="R15" s="3"/>
      <c r="S15" s="3"/>
      <c r="T15" s="3"/>
      <c r="U15" s="3"/>
      <c r="V15" s="3"/>
      <c r="W15" s="3"/>
    </row>
    <row r="16" spans="1:23" x14ac:dyDescent="0.3">
      <c r="A16" s="19">
        <v>6</v>
      </c>
      <c r="B16" s="19">
        <v>15</v>
      </c>
      <c r="C16" s="19">
        <f>G17</f>
        <v>12.1</v>
      </c>
      <c r="D16" s="3"/>
      <c r="E16" s="19">
        <f t="shared" si="3"/>
        <v>11</v>
      </c>
      <c r="F16" s="74"/>
      <c r="G16" s="74"/>
      <c r="H16" s="74"/>
      <c r="I16" s="4"/>
      <c r="J16" s="3"/>
      <c r="K16" s="52"/>
      <c r="L16" s="53"/>
      <c r="M16" s="3"/>
      <c r="N16" s="75"/>
      <c r="O16" s="3"/>
      <c r="P16" s="19">
        <f>ABS(C11-$K$18)</f>
        <v>3.2092783505154645</v>
      </c>
      <c r="Q16" s="19">
        <f>P16*P16*B11</f>
        <v>1565.5190647252637</v>
      </c>
      <c r="R16" s="3"/>
      <c r="S16" s="3"/>
      <c r="T16" s="3"/>
      <c r="U16" s="3"/>
      <c r="V16" s="3"/>
      <c r="W16" s="3"/>
    </row>
    <row r="17" spans="1:23" x14ac:dyDescent="0.3">
      <c r="A17" s="19">
        <v>7</v>
      </c>
      <c r="B17" s="19">
        <v>9</v>
      </c>
      <c r="C17" s="19">
        <f>G19</f>
        <v>14.299999999999999</v>
      </c>
      <c r="D17" s="3"/>
      <c r="E17" s="19">
        <f>E16</f>
        <v>11</v>
      </c>
      <c r="F17" s="74">
        <f>B16</f>
        <v>15</v>
      </c>
      <c r="G17" s="74">
        <f t="shared" ref="G17" si="8">AVERAGE(E17:E18)</f>
        <v>12.1</v>
      </c>
      <c r="H17" s="74">
        <f t="shared" ref="H17" si="9">G17*F17</f>
        <v>181.5</v>
      </c>
      <c r="I17" s="4"/>
      <c r="J17" s="3"/>
      <c r="K17" s="54"/>
      <c r="L17" s="55"/>
      <c r="M17" s="3"/>
      <c r="N17" s="65"/>
      <c r="O17" s="3"/>
      <c r="P17" s="19">
        <f t="shared" ref="P17:P25" si="10">ABS(C12-$K$18)</f>
        <v>1.0092783505154643</v>
      </c>
      <c r="Q17" s="19">
        <f t="shared" ref="Q17:Q25" si="11">P17*P17*B12</f>
        <v>105.93885003719851</v>
      </c>
      <c r="R17" s="3"/>
      <c r="S17" s="3"/>
      <c r="T17" s="3"/>
      <c r="U17" s="3"/>
      <c r="V17" s="3"/>
      <c r="W17" s="3"/>
    </row>
    <row r="18" spans="1:23" x14ac:dyDescent="0.3">
      <c r="A18" s="19">
        <v>8</v>
      </c>
      <c r="B18" s="19">
        <v>5</v>
      </c>
      <c r="C18" s="19">
        <f>G21</f>
        <v>16.5</v>
      </c>
      <c r="D18" s="3"/>
      <c r="E18" s="19">
        <f t="shared" si="3"/>
        <v>13.2</v>
      </c>
      <c r="F18" s="74"/>
      <c r="G18" s="74"/>
      <c r="H18" s="74"/>
      <c r="I18" s="4"/>
      <c r="J18" s="3"/>
      <c r="K18" s="70">
        <f>SUM(H7:H26)/F27</f>
        <v>4.3092783505154646</v>
      </c>
      <c r="L18" s="70"/>
      <c r="M18" s="3"/>
      <c r="N18" s="29">
        <f>1/K18</f>
        <v>0.23205741626794255</v>
      </c>
      <c r="O18" s="3"/>
      <c r="P18" s="19">
        <f t="shared" si="10"/>
        <v>1.1907216494845354</v>
      </c>
      <c r="Q18" s="19">
        <f t="shared" si="11"/>
        <v>62.383994048251601</v>
      </c>
      <c r="R18" s="3"/>
      <c r="S18" s="3"/>
      <c r="T18" s="3"/>
      <c r="U18" s="3"/>
      <c r="V18" s="3"/>
      <c r="W18" s="3"/>
    </row>
    <row r="19" spans="1:23" x14ac:dyDescent="0.3">
      <c r="A19" s="19">
        <v>9</v>
      </c>
      <c r="B19" s="19">
        <v>1</v>
      </c>
      <c r="C19" s="19">
        <f>G23</f>
        <v>18.699999999999996</v>
      </c>
      <c r="D19" s="3"/>
      <c r="E19" s="19">
        <f>E18</f>
        <v>13.2</v>
      </c>
      <c r="F19" s="74">
        <f>B17</f>
        <v>9</v>
      </c>
      <c r="G19" s="74">
        <f t="shared" ref="G19" si="12">AVERAGE(E19:E20)</f>
        <v>14.299999999999999</v>
      </c>
      <c r="H19" s="74">
        <f t="shared" ref="H19" si="13">G19*F19</f>
        <v>128.69999999999999</v>
      </c>
      <c r="I19" s="4"/>
      <c r="M19" s="3"/>
      <c r="N19" s="3"/>
      <c r="O19" s="3"/>
      <c r="P19" s="19">
        <f t="shared" si="10"/>
        <v>3.3907216494845365</v>
      </c>
      <c r="Q19" s="19">
        <f t="shared" si="11"/>
        <v>402.39476564990974</v>
      </c>
      <c r="R19" s="3"/>
      <c r="S19" s="3"/>
      <c r="T19" s="3"/>
      <c r="U19" s="3"/>
      <c r="V19" s="3"/>
      <c r="W19" s="3"/>
    </row>
    <row r="20" spans="1:23" x14ac:dyDescent="0.3">
      <c r="A20" s="19">
        <v>10</v>
      </c>
      <c r="B20" s="19">
        <v>1</v>
      </c>
      <c r="C20" s="19">
        <f>G25</f>
        <v>20.9</v>
      </c>
      <c r="D20" s="3"/>
      <c r="E20" s="19">
        <f t="shared" si="3"/>
        <v>15.399999999999999</v>
      </c>
      <c r="F20" s="74"/>
      <c r="G20" s="74"/>
      <c r="H20" s="74"/>
      <c r="I20" s="4"/>
      <c r="J20" s="3"/>
      <c r="K20" s="66"/>
      <c r="L20" s="66"/>
      <c r="M20" s="66"/>
      <c r="N20" s="66"/>
      <c r="O20" s="3"/>
      <c r="P20" s="19">
        <f t="shared" si="10"/>
        <v>5.5907216494845358</v>
      </c>
      <c r="Q20" s="19">
        <f t="shared" si="11"/>
        <v>687.63570836433189</v>
      </c>
      <c r="R20" s="3"/>
      <c r="S20" s="3"/>
      <c r="T20" s="3"/>
      <c r="U20" s="3"/>
      <c r="V20" s="3"/>
      <c r="W20" s="3"/>
    </row>
    <row r="21" spans="1:23" x14ac:dyDescent="0.3">
      <c r="A21" s="29" t="s">
        <v>32</v>
      </c>
      <c r="B21" s="29">
        <f>COUNT(B11:B20)</f>
        <v>10</v>
      </c>
      <c r="C21" s="3"/>
      <c r="D21" s="3"/>
      <c r="E21" s="19">
        <f>E20</f>
        <v>15.399999999999999</v>
      </c>
      <c r="F21" s="74">
        <f>B18</f>
        <v>5</v>
      </c>
      <c r="G21" s="74">
        <f t="shared" ref="G21" si="14">AVERAGE(E21:E22)</f>
        <v>16.5</v>
      </c>
      <c r="H21" s="74">
        <f t="shared" ref="H21" si="15">G21*F21</f>
        <v>82.5</v>
      </c>
      <c r="I21" s="3"/>
      <c r="J21" s="3"/>
      <c r="K21" s="66"/>
      <c r="L21" s="66"/>
      <c r="M21" s="66"/>
      <c r="N21" s="66"/>
      <c r="O21" s="3"/>
      <c r="P21" s="19">
        <f t="shared" si="10"/>
        <v>7.790721649484535</v>
      </c>
      <c r="Q21" s="19">
        <f t="shared" si="11"/>
        <v>910.43015729620561</v>
      </c>
      <c r="R21" s="3"/>
      <c r="S21" s="3"/>
      <c r="T21" s="3"/>
      <c r="U21" s="3"/>
      <c r="V21" s="3"/>
      <c r="W21" s="3"/>
    </row>
    <row r="22" spans="1:23" x14ac:dyDescent="0.3">
      <c r="A22" s="66" t="s">
        <v>38</v>
      </c>
      <c r="B22" s="66"/>
      <c r="C22" s="3"/>
      <c r="D22" s="3"/>
      <c r="E22" s="19">
        <f t="shared" si="3"/>
        <v>17.599999999999998</v>
      </c>
      <c r="F22" s="74"/>
      <c r="G22" s="74"/>
      <c r="H22" s="74"/>
      <c r="I22" s="16"/>
      <c r="J22" s="3"/>
      <c r="K22" s="66"/>
      <c r="L22" s="66"/>
      <c r="M22" s="66"/>
      <c r="N22" s="66"/>
      <c r="O22" s="3"/>
      <c r="P22" s="19">
        <f t="shared" si="10"/>
        <v>9.9907216494845343</v>
      </c>
      <c r="Q22" s="19">
        <f t="shared" si="11"/>
        <v>898.33067169731078</v>
      </c>
      <c r="R22" s="3"/>
      <c r="S22" s="3"/>
      <c r="T22" s="3"/>
      <c r="U22" s="3"/>
      <c r="V22" s="3"/>
      <c r="W22" s="3"/>
    </row>
    <row r="23" spans="1:23" x14ac:dyDescent="0.3">
      <c r="A23" s="3"/>
      <c r="B23" s="3"/>
      <c r="C23" s="3"/>
      <c r="D23" s="3"/>
      <c r="E23" s="19">
        <f>E22</f>
        <v>17.599999999999998</v>
      </c>
      <c r="F23" s="74">
        <f>B19</f>
        <v>1</v>
      </c>
      <c r="G23" s="74">
        <f t="shared" ref="G23" si="16">AVERAGE(E23:E24)</f>
        <v>18.699999999999996</v>
      </c>
      <c r="H23" s="74">
        <f t="shared" ref="H23" si="17">G23*F23</f>
        <v>18.699999999999996</v>
      </c>
      <c r="I23" s="4"/>
      <c r="J23" s="3"/>
      <c r="K23" s="66"/>
      <c r="L23" s="66"/>
      <c r="M23" s="66"/>
      <c r="N23" s="66"/>
      <c r="O23" s="3"/>
      <c r="P23" s="19">
        <f t="shared" si="10"/>
        <v>12.190721649484535</v>
      </c>
      <c r="Q23" s="19">
        <f t="shared" si="11"/>
        <v>743.06847167605486</v>
      </c>
      <c r="R23" s="3"/>
      <c r="S23" s="3"/>
      <c r="T23" s="3"/>
      <c r="U23" s="3"/>
      <c r="V23" s="3"/>
      <c r="W23" s="3"/>
    </row>
    <row r="24" spans="1:23" x14ac:dyDescent="0.3">
      <c r="A24" s="2"/>
      <c r="B24" s="2"/>
      <c r="C24" s="3"/>
      <c r="D24" s="3"/>
      <c r="E24" s="19">
        <f t="shared" si="3"/>
        <v>19.799999999999997</v>
      </c>
      <c r="F24" s="74"/>
      <c r="G24" s="74"/>
      <c r="H24" s="74"/>
      <c r="I24" s="4"/>
      <c r="J24" s="3"/>
      <c r="K24" s="67">
        <f>Q27</f>
        <v>15.098058242108621</v>
      </c>
      <c r="L24" s="67"/>
      <c r="M24" s="67"/>
      <c r="N24" s="67"/>
      <c r="O24" s="3"/>
      <c r="P24" s="19">
        <f t="shared" si="10"/>
        <v>14.390721649484531</v>
      </c>
      <c r="Q24" s="19">
        <f t="shared" si="11"/>
        <v>207.09286959294278</v>
      </c>
      <c r="R24" s="3"/>
      <c r="S24" s="3"/>
      <c r="T24" s="3"/>
      <c r="U24" s="3"/>
      <c r="V24" s="3"/>
      <c r="W24" s="3"/>
    </row>
    <row r="25" spans="1:23" x14ac:dyDescent="0.3">
      <c r="A25" s="3"/>
      <c r="B25" s="3"/>
      <c r="C25" s="3"/>
      <c r="D25" s="3"/>
      <c r="E25" s="19">
        <f>E24</f>
        <v>19.799999999999997</v>
      </c>
      <c r="F25" s="74">
        <f>B20</f>
        <v>1</v>
      </c>
      <c r="G25" s="74">
        <f t="shared" ref="G25" si="18">AVERAGE(E25:E26)</f>
        <v>20.9</v>
      </c>
      <c r="H25" s="74">
        <f t="shared" ref="H25" si="19">G25*F25</f>
        <v>20.9</v>
      </c>
      <c r="I25" s="4"/>
      <c r="J25" s="3"/>
      <c r="K25" s="3"/>
      <c r="L25" s="3"/>
      <c r="M25" s="3"/>
      <c r="N25" s="3"/>
      <c r="O25" s="3"/>
      <c r="P25" s="19">
        <f t="shared" si="10"/>
        <v>16.590721649484536</v>
      </c>
      <c r="Q25" s="19">
        <f t="shared" si="11"/>
        <v>275.25204485067485</v>
      </c>
      <c r="R25" s="3"/>
      <c r="S25" s="3"/>
      <c r="T25" s="3"/>
      <c r="U25" s="3"/>
      <c r="V25" s="3"/>
      <c r="W25" s="3"/>
    </row>
    <row r="26" spans="1:23" x14ac:dyDescent="0.3">
      <c r="A26" s="3"/>
      <c r="B26" s="3"/>
      <c r="C26" s="3"/>
      <c r="D26" s="3"/>
      <c r="E26" s="19">
        <f t="shared" si="3"/>
        <v>21.999999999999996</v>
      </c>
      <c r="F26" s="74"/>
      <c r="G26" s="74"/>
      <c r="H26" s="74"/>
      <c r="I26" s="4"/>
      <c r="J26" s="3"/>
      <c r="K26" s="66"/>
      <c r="L26" s="66"/>
      <c r="M26" s="3"/>
      <c r="N26" s="3"/>
      <c r="O26" s="3"/>
      <c r="P26" s="3"/>
      <c r="Q26" s="44">
        <f>SUM(Q16:Q25)</f>
        <v>5858.0465979381452</v>
      </c>
      <c r="R26" s="3"/>
      <c r="S26" s="3"/>
      <c r="T26" s="3"/>
      <c r="U26" s="3"/>
      <c r="V26" s="3"/>
      <c r="W26" s="3"/>
    </row>
    <row r="27" spans="1:23" x14ac:dyDescent="0.3">
      <c r="A27" s="3"/>
      <c r="B27" s="3"/>
      <c r="C27" s="3"/>
      <c r="D27" s="3"/>
      <c r="E27" s="29" t="s">
        <v>31</v>
      </c>
      <c r="F27" s="29">
        <f>SUM(F7:F26)</f>
        <v>388</v>
      </c>
      <c r="G27" s="3"/>
      <c r="H27" s="3"/>
      <c r="I27" s="3"/>
      <c r="J27" s="3"/>
      <c r="K27" s="66"/>
      <c r="L27" s="66"/>
      <c r="M27" s="3"/>
      <c r="N27" s="3"/>
      <c r="O27" s="3"/>
      <c r="P27" s="29" t="s">
        <v>39</v>
      </c>
      <c r="Q27" s="29">
        <f>Q26/F27</f>
        <v>15.098058242108621</v>
      </c>
      <c r="R27" s="3"/>
      <c r="S27" s="3"/>
      <c r="T27" s="3"/>
      <c r="U27" s="3"/>
      <c r="V27" s="3"/>
      <c r="W27" s="3"/>
    </row>
    <row r="28" spans="1:23" x14ac:dyDescent="0.3">
      <c r="A28" s="50"/>
      <c r="B28" s="71"/>
      <c r="C28" s="51"/>
      <c r="D28" s="3"/>
      <c r="E28" s="3"/>
      <c r="F28" s="3"/>
      <c r="G28" s="12"/>
      <c r="H28" s="4"/>
      <c r="I28" s="4"/>
      <c r="J28" s="3"/>
      <c r="K28" s="67">
        <f>SQRT(K24)</f>
        <v>3.8856219890911445</v>
      </c>
      <c r="L28" s="67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">
      <c r="A29" s="54"/>
      <c r="B29" s="72"/>
      <c r="C29" s="55"/>
      <c r="D29" s="3"/>
      <c r="E29" s="3"/>
      <c r="F29" s="3"/>
      <c r="G29" s="12"/>
      <c r="H29" s="4"/>
      <c r="I29" s="4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6.2" x14ac:dyDescent="0.3">
      <c r="A30" s="3"/>
      <c r="B30" s="3"/>
      <c r="C30" s="33" t="s">
        <v>59</v>
      </c>
      <c r="D30" s="25" t="s">
        <v>53</v>
      </c>
      <c r="E30" s="25" t="s">
        <v>54</v>
      </c>
      <c r="F30" s="25" t="s">
        <v>55</v>
      </c>
      <c r="G30" s="25" t="s">
        <v>56</v>
      </c>
      <c r="H30" s="47"/>
      <c r="I30" s="47"/>
      <c r="J30" s="3"/>
      <c r="K30" s="68"/>
      <c r="L30" s="68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">
      <c r="A31" s="3"/>
      <c r="B31" s="3"/>
      <c r="C31" s="20">
        <f>EXP(-$N$18*E7)-EXP(-$N$18*E8)</f>
        <v>0.39982038833582878</v>
      </c>
      <c r="D31" s="19">
        <f>$F$27*C31</f>
        <v>155.13031067430157</v>
      </c>
      <c r="E31" s="19">
        <f>B11-D31</f>
        <v>-3.130310674301569</v>
      </c>
      <c r="F31" s="19">
        <f>E31*E31</f>
        <v>9.7988449176463437</v>
      </c>
      <c r="G31" s="19">
        <f>F31/D31</f>
        <v>6.3165250395321948E-2</v>
      </c>
      <c r="H31" s="3"/>
      <c r="I31" s="3"/>
      <c r="J31" s="3"/>
      <c r="K31" s="68"/>
      <c r="L31" s="68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">
      <c r="A32" s="3"/>
      <c r="B32" s="3"/>
      <c r="C32" s="20">
        <f>EXP(-$N$18*E9)-EXP(-$N$18*E10)</f>
        <v>0.23996404540681582</v>
      </c>
      <c r="D32" s="19">
        <f t="shared" ref="D32:D40" si="20">$F$27*C32</f>
        <v>93.106049617844533</v>
      </c>
      <c r="E32" s="19">
        <f t="shared" ref="E32:E40" si="21">B12-D32</f>
        <v>10.893950382155467</v>
      </c>
      <c r="F32" s="19">
        <f t="shared" ref="F32:F40" si="22">E32*E32</f>
        <v>118.67815492886524</v>
      </c>
      <c r="G32" s="19">
        <f t="shared" ref="G32:G40" si="23">F32/D32</f>
        <v>1.2746556793675801</v>
      </c>
      <c r="H32" s="3"/>
      <c r="I32" s="3"/>
      <c r="J32" s="3"/>
      <c r="K32" s="68"/>
      <c r="L32" s="68"/>
      <c r="M32" s="4"/>
      <c r="N32" s="4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">
      <c r="A33" s="3"/>
      <c r="B33" s="3"/>
      <c r="C33" s="20">
        <f>EXP(-$N$18*E11)-EXP(-$N$18*E12)</f>
        <v>0.14402152758562631</v>
      </c>
      <c r="D33" s="19">
        <f t="shared" si="20"/>
        <v>55.880352703223011</v>
      </c>
      <c r="E33" s="19">
        <f t="shared" si="21"/>
        <v>-11.880352703223011</v>
      </c>
      <c r="F33" s="19">
        <f t="shared" si="22"/>
        <v>141.14278035297829</v>
      </c>
      <c r="G33" s="19">
        <f t="shared" si="23"/>
        <v>2.5258033195062062</v>
      </c>
      <c r="H33" s="3"/>
      <c r="I33" s="3"/>
      <c r="K33" s="56">
        <f>F27/(F27-1)*K24</f>
        <v>15.137071312501668</v>
      </c>
      <c r="L33" s="57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">
      <c r="A34" s="3"/>
      <c r="B34" s="3"/>
      <c r="C34" s="20">
        <f>EXP(-$N$18*E13)-EXP(-$N$18*E14)</f>
        <v>8.6438784497621907E-2</v>
      </c>
      <c r="D34" s="19">
        <f t="shared" si="20"/>
        <v>33.538248385077303</v>
      </c>
      <c r="E34" s="19">
        <f t="shared" si="21"/>
        <v>1.4617516149226972</v>
      </c>
      <c r="F34" s="19">
        <f t="shared" si="22"/>
        <v>2.1367177837291131</v>
      </c>
      <c r="G34" s="19">
        <f t="shared" si="23"/>
        <v>6.37098801104901E-2</v>
      </c>
      <c r="H34" s="3"/>
      <c r="I34" s="3"/>
      <c r="J34" s="3"/>
      <c r="K34" s="3"/>
      <c r="L34" s="3"/>
      <c r="M34" s="3"/>
      <c r="N34" s="3"/>
      <c r="O34" s="8"/>
      <c r="P34" s="8"/>
      <c r="Q34" s="8"/>
      <c r="R34" s="8"/>
      <c r="S34" s="3"/>
      <c r="T34" s="3"/>
      <c r="U34" s="3"/>
      <c r="V34" s="3"/>
      <c r="W34" s="3"/>
    </row>
    <row r="35" spans="1:23" x14ac:dyDescent="0.3">
      <c r="A35" s="3"/>
      <c r="B35" s="3"/>
      <c r="C35" s="20">
        <f>EXP(-$N$18*E15)-EXP(-$N$18*E16)</f>
        <v>5.1878796112505704E-2</v>
      </c>
      <c r="D35" s="19">
        <f t="shared" si="20"/>
        <v>20.128972891652214</v>
      </c>
      <c r="E35" s="19">
        <f t="shared" si="21"/>
        <v>1.8710271083477856</v>
      </c>
      <c r="F35" s="19">
        <f t="shared" si="22"/>
        <v>3.5007424401722762</v>
      </c>
      <c r="G35" s="19">
        <f t="shared" si="23"/>
        <v>0.17391560210327903</v>
      </c>
      <c r="H35" s="2"/>
      <c r="I35" s="3"/>
      <c r="J35" s="3"/>
      <c r="K35" s="29" t="s">
        <v>60</v>
      </c>
      <c r="L35" s="29">
        <f>SQRT(K33)</f>
        <v>3.8906389337102034</v>
      </c>
      <c r="M35" s="3"/>
      <c r="N35" s="3"/>
      <c r="O35" s="2"/>
      <c r="P35" s="3"/>
      <c r="Q35" s="3"/>
      <c r="R35" s="3"/>
      <c r="S35" s="3"/>
      <c r="T35" s="4"/>
      <c r="U35" s="12"/>
      <c r="V35" s="3"/>
      <c r="W35" s="3"/>
    </row>
    <row r="36" spans="1:23" x14ac:dyDescent="0.3">
      <c r="A36" s="3"/>
      <c r="B36" s="3"/>
      <c r="C36" s="20">
        <f>EXP(-$N$18*E17)-EXP(-$N$18*E18)</f>
        <v>3.1136595704408368E-2</v>
      </c>
      <c r="D36" s="19">
        <f t="shared" si="20"/>
        <v>12.080999133310447</v>
      </c>
      <c r="E36" s="19">
        <f t="shared" si="21"/>
        <v>2.9190008666895526</v>
      </c>
      <c r="F36" s="19">
        <f t="shared" si="22"/>
        <v>8.5205660597343584</v>
      </c>
      <c r="G36" s="19">
        <f t="shared" si="23"/>
        <v>0.70528653844870726</v>
      </c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4"/>
      <c r="U36" s="12"/>
      <c r="V36" s="3"/>
      <c r="W36" s="3"/>
    </row>
    <row r="37" spans="1:23" x14ac:dyDescent="0.3">
      <c r="A37" s="3"/>
      <c r="B37" s="3"/>
      <c r="C37" s="20">
        <f>EXP(-$N$18*E19)-EXP(-$N$18*E20)</f>
        <v>1.8687549918416126E-2</v>
      </c>
      <c r="D37" s="19">
        <f t="shared" si="20"/>
        <v>7.2507693683454564</v>
      </c>
      <c r="E37" s="19">
        <f t="shared" si="21"/>
        <v>1.7492306316545436</v>
      </c>
      <c r="F37" s="19">
        <f t="shared" si="22"/>
        <v>3.0598078027185536</v>
      </c>
      <c r="G37" s="19">
        <f t="shared" si="23"/>
        <v>0.42199767325060666</v>
      </c>
      <c r="H37" s="2"/>
      <c r="I37" s="3"/>
      <c r="J37" s="3"/>
      <c r="K37" s="3"/>
      <c r="L37" s="3"/>
      <c r="M37" s="3"/>
      <c r="N37" s="3"/>
      <c r="O37" s="4"/>
      <c r="P37" s="4"/>
      <c r="Q37" s="4"/>
      <c r="R37" s="4"/>
      <c r="S37" s="3"/>
      <c r="T37" s="4"/>
      <c r="U37" s="3"/>
      <c r="V37" s="3"/>
      <c r="W37" s="3"/>
    </row>
    <row r="38" spans="1:23" x14ac:dyDescent="0.3">
      <c r="A38" s="3"/>
      <c r="B38" s="3"/>
      <c r="C38" s="20">
        <f>EXP(-$N$18*E21)-EXP(-$N$18*E22)</f>
        <v>1.121588645298981E-2</v>
      </c>
      <c r="D38" s="19">
        <f t="shared" si="20"/>
        <v>4.3517639437600462</v>
      </c>
      <c r="E38" s="19">
        <f t="shared" si="21"/>
        <v>0.64823605623995384</v>
      </c>
      <c r="F38" s="19">
        <f t="shared" si="22"/>
        <v>0.42020998460952858</v>
      </c>
      <c r="G38" s="19">
        <f t="shared" si="23"/>
        <v>9.6560840624653768E-2</v>
      </c>
      <c r="H38" s="4"/>
      <c r="I38" s="72" t="s">
        <v>122</v>
      </c>
      <c r="J38" s="72"/>
      <c r="K38" s="4"/>
      <c r="L38" s="3"/>
      <c r="M38" s="3"/>
      <c r="N38" s="3"/>
      <c r="O38" s="4"/>
      <c r="P38" s="4"/>
      <c r="Q38" s="4"/>
      <c r="R38" s="4"/>
      <c r="S38" s="4"/>
      <c r="T38" s="3"/>
      <c r="U38" s="3"/>
      <c r="V38" s="3"/>
      <c r="W38" s="3"/>
    </row>
    <row r="39" spans="1:23" x14ac:dyDescent="0.3">
      <c r="A39" s="3"/>
      <c r="B39" s="3"/>
      <c r="C39" s="20">
        <f>EXP(-$N$18*E23)-EXP(-$N$18*E24)</f>
        <v>6.7315463758248744E-3</v>
      </c>
      <c r="D39" s="19">
        <f t="shared" si="20"/>
        <v>2.6118399938200514</v>
      </c>
      <c r="E39" s="19">
        <f t="shared" si="21"/>
        <v>-1.6118399938200514</v>
      </c>
      <c r="F39" s="19">
        <f t="shared" si="22"/>
        <v>2.5980281656778232</v>
      </c>
      <c r="G39" s="19">
        <f t="shared" si="23"/>
        <v>0.99471183986197131</v>
      </c>
      <c r="H39" s="2"/>
      <c r="I39" s="29" t="s">
        <v>72</v>
      </c>
      <c r="J39" s="29">
        <f>B21-2</f>
        <v>8</v>
      </c>
      <c r="K39" s="2"/>
      <c r="L39" s="3"/>
      <c r="M39" s="3"/>
      <c r="N39" s="3"/>
      <c r="O39" s="2"/>
      <c r="P39" s="2"/>
      <c r="Q39" s="2"/>
      <c r="R39" s="2"/>
      <c r="S39" s="2"/>
      <c r="T39" s="3"/>
      <c r="U39" s="3"/>
      <c r="V39" s="3"/>
      <c r="W39" s="3"/>
    </row>
    <row r="40" spans="1:23" x14ac:dyDescent="0.3">
      <c r="A40" s="3"/>
      <c r="B40" s="3"/>
      <c r="C40" s="20">
        <f>EXP(-$N$18*E25)-EXP(-$N$18*E26)</f>
        <v>4.0401368897419248E-3</v>
      </c>
      <c r="D40" s="19">
        <f t="shared" si="20"/>
        <v>1.5675731132198669</v>
      </c>
      <c r="E40" s="19">
        <f t="shared" si="21"/>
        <v>-0.56757311321986692</v>
      </c>
      <c r="F40" s="19">
        <f t="shared" si="22"/>
        <v>0.32213923885009188</v>
      </c>
      <c r="G40" s="19">
        <f t="shared" si="23"/>
        <v>0.20550189087410611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6.8" x14ac:dyDescent="0.35">
      <c r="A41" s="3"/>
      <c r="B41" s="3"/>
      <c r="C41" s="3"/>
      <c r="D41" s="66"/>
      <c r="E41" s="3"/>
      <c r="F41" s="32" t="s">
        <v>57</v>
      </c>
      <c r="G41" s="42">
        <f>SUM(G30:G40)</f>
        <v>6.5253085145429219</v>
      </c>
      <c r="H41" s="43" t="s">
        <v>62</v>
      </c>
      <c r="I41" s="32" t="s">
        <v>58</v>
      </c>
      <c r="J41" s="41">
        <v>20.100000000000001</v>
      </c>
      <c r="K41" s="13"/>
      <c r="L41" s="3"/>
      <c r="M41" s="3"/>
      <c r="N41" s="3"/>
      <c r="O41" s="13"/>
      <c r="P41" s="13"/>
      <c r="Q41" s="13"/>
      <c r="R41" s="13"/>
      <c r="S41" s="13"/>
      <c r="T41" s="3"/>
      <c r="U41" s="3"/>
      <c r="V41" s="3"/>
      <c r="W41" s="3"/>
    </row>
    <row r="42" spans="1:23" x14ac:dyDescent="0.3">
      <c r="A42" s="3"/>
      <c r="B42" s="3"/>
      <c r="C42" s="3"/>
      <c r="D42" s="66"/>
      <c r="E42" s="3"/>
      <c r="F42" s="73" t="s">
        <v>73</v>
      </c>
      <c r="G42" s="73"/>
      <c r="H42" s="73"/>
      <c r="I42" s="73"/>
      <c r="J42" s="73"/>
      <c r="K42" s="13"/>
      <c r="L42" s="3"/>
      <c r="M42" s="3"/>
      <c r="N42" s="3"/>
      <c r="O42" s="13"/>
      <c r="P42" s="13"/>
      <c r="Q42" s="13"/>
      <c r="R42" s="13"/>
      <c r="S42" s="13"/>
      <c r="T42" s="3"/>
      <c r="U42" s="3"/>
      <c r="V42" s="3"/>
      <c r="W42" s="3"/>
    </row>
    <row r="43" spans="1:23" x14ac:dyDescent="0.3">
      <c r="A43" s="3"/>
      <c r="B43" s="3"/>
      <c r="C43" s="3"/>
      <c r="D43" s="3"/>
      <c r="E43" s="3"/>
      <c r="F43" s="73"/>
      <c r="G43" s="73"/>
      <c r="H43" s="73"/>
      <c r="I43" s="73"/>
      <c r="J43" s="73"/>
      <c r="K43" s="13"/>
      <c r="L43" s="3"/>
      <c r="M43" s="3"/>
      <c r="N43" s="3"/>
      <c r="O43" s="13"/>
      <c r="P43" s="13"/>
      <c r="Q43" s="13"/>
      <c r="R43" s="13"/>
      <c r="S43" s="13"/>
      <c r="T43" s="3"/>
      <c r="U43" s="3"/>
      <c r="V43" s="3"/>
      <c r="W43" s="3"/>
    </row>
    <row r="44" spans="1:23" x14ac:dyDescent="0.3">
      <c r="A44" s="3"/>
      <c r="B44" s="3"/>
      <c r="C44" s="3"/>
      <c r="D44" s="3"/>
      <c r="E44" s="3"/>
      <c r="F44" s="73"/>
      <c r="G44" s="73"/>
      <c r="H44" s="73"/>
      <c r="I44" s="73"/>
      <c r="J44" s="7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">
      <c r="A45" s="3"/>
      <c r="B45" s="3"/>
      <c r="C45" s="3"/>
      <c r="D45" s="3"/>
      <c r="E45" s="3"/>
      <c r="F45" s="73"/>
      <c r="G45" s="73"/>
      <c r="H45" s="73"/>
      <c r="I45" s="73"/>
      <c r="J45" s="7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3">
      <c r="A46" s="3"/>
      <c r="B46" s="3"/>
      <c r="C46" s="3"/>
      <c r="D46" s="3"/>
      <c r="E46" s="3"/>
      <c r="F46" s="73"/>
      <c r="G46" s="73"/>
      <c r="H46" s="73"/>
      <c r="I46" s="73"/>
      <c r="J46" s="73"/>
      <c r="K46" s="14"/>
      <c r="L46" s="14"/>
      <c r="M46" s="14"/>
      <c r="N46" s="14"/>
      <c r="O46" s="14"/>
      <c r="P46" s="14"/>
      <c r="Q46" s="3"/>
      <c r="R46" s="3"/>
      <c r="S46" s="3"/>
      <c r="T46" s="3"/>
      <c r="U46" s="3"/>
      <c r="V46" s="3"/>
      <c r="W46" s="3"/>
    </row>
    <row r="47" spans="1:23" ht="18" customHeight="1" x14ac:dyDescent="0.3">
      <c r="A47" s="3"/>
      <c r="B47" s="3"/>
      <c r="C47" s="3"/>
      <c r="D47" s="3"/>
      <c r="E47" s="3"/>
      <c r="F47" s="73"/>
      <c r="G47" s="73"/>
      <c r="H47" s="73"/>
      <c r="I47" s="73"/>
      <c r="J47" s="73"/>
      <c r="K47" s="15"/>
      <c r="L47" s="15"/>
      <c r="M47" s="15"/>
      <c r="N47" s="15"/>
      <c r="O47" s="15"/>
      <c r="P47" s="15"/>
      <c r="Q47" s="3"/>
      <c r="R47" s="3"/>
      <c r="S47" s="3"/>
      <c r="T47" s="3"/>
      <c r="U47" s="3"/>
      <c r="V47" s="3"/>
      <c r="W47" s="3"/>
    </row>
    <row r="48" spans="1:23" ht="14.4" customHeight="1" x14ac:dyDescent="0.3">
      <c r="A48" s="3"/>
      <c r="B48" s="3"/>
      <c r="C48" s="3"/>
      <c r="D48" s="3"/>
      <c r="E48" s="3"/>
      <c r="F48" s="73"/>
      <c r="G48" s="73"/>
      <c r="H48" s="73"/>
      <c r="I48" s="73"/>
      <c r="J48" s="73"/>
      <c r="K48" s="15"/>
      <c r="L48" s="15"/>
      <c r="M48" s="15"/>
      <c r="N48" s="15"/>
      <c r="O48" s="15"/>
      <c r="P48" s="15"/>
      <c r="Q48" s="3"/>
      <c r="R48" s="3"/>
      <c r="S48" s="3"/>
      <c r="T48" s="3"/>
      <c r="U48" s="3"/>
      <c r="V48" s="3"/>
      <c r="W48" s="3"/>
    </row>
    <row r="49" spans="1:23" ht="31.2" customHeight="1" x14ac:dyDescent="0.3">
      <c r="A49" s="3"/>
      <c r="B49" s="3"/>
      <c r="C49" s="3"/>
      <c r="D49" s="3"/>
      <c r="E49" s="3"/>
      <c r="F49" s="73"/>
      <c r="G49" s="73"/>
      <c r="H49" s="73"/>
      <c r="I49" s="73"/>
      <c r="J49" s="73"/>
      <c r="K49" s="15"/>
      <c r="L49" s="15"/>
      <c r="M49" s="15"/>
      <c r="N49" s="15"/>
      <c r="O49" s="15"/>
      <c r="P49" s="15"/>
      <c r="Q49" s="3"/>
      <c r="R49" s="3"/>
      <c r="S49" s="3"/>
      <c r="T49" s="3"/>
      <c r="U49" s="3"/>
      <c r="V49" s="3"/>
      <c r="W49" s="3"/>
    </row>
    <row r="50" spans="1:23" ht="14.4" customHeight="1" x14ac:dyDescent="0.3">
      <c r="A50" s="3"/>
      <c r="B50" s="3"/>
      <c r="C50" s="3"/>
      <c r="D50" s="3"/>
      <c r="E50" s="3"/>
      <c r="F50" s="50"/>
      <c r="G50" s="51"/>
      <c r="H50" s="15"/>
      <c r="I50" s="15"/>
      <c r="J50" s="15"/>
      <c r="K50" s="15"/>
      <c r="L50" s="15"/>
      <c r="M50" s="15"/>
      <c r="N50" s="15"/>
      <c r="O50" s="15"/>
      <c r="P50" s="15"/>
      <c r="Q50" s="3"/>
      <c r="R50" s="3"/>
      <c r="S50" s="3"/>
      <c r="T50" s="3"/>
      <c r="U50" s="3"/>
      <c r="V50" s="3"/>
      <c r="W50" s="3"/>
    </row>
    <row r="51" spans="1:23" ht="14.4" customHeight="1" x14ac:dyDescent="0.3">
      <c r="A51" s="3"/>
      <c r="B51" s="3"/>
      <c r="C51" s="3"/>
      <c r="D51" s="3"/>
      <c r="E51" s="3"/>
      <c r="F51" s="52"/>
      <c r="G51" s="53"/>
      <c r="H51" s="15"/>
      <c r="I51" s="15"/>
      <c r="J51" s="15"/>
      <c r="K51" s="15"/>
      <c r="L51" s="15"/>
      <c r="M51" s="15"/>
      <c r="N51" s="15"/>
      <c r="O51" s="15"/>
      <c r="P51" s="15"/>
      <c r="Q51" s="3"/>
      <c r="R51" s="3"/>
      <c r="S51" s="3"/>
      <c r="T51" s="3"/>
      <c r="U51" s="3"/>
      <c r="V51" s="3"/>
      <c r="W51" s="3"/>
    </row>
    <row r="52" spans="1:23" ht="14.4" customHeight="1" x14ac:dyDescent="0.3">
      <c r="A52" s="3"/>
      <c r="B52" s="3"/>
      <c r="C52" s="3"/>
      <c r="D52" s="3"/>
      <c r="E52" s="3"/>
      <c r="F52" s="52"/>
      <c r="G52" s="53"/>
      <c r="H52" s="15"/>
      <c r="I52" s="15"/>
      <c r="J52" s="15"/>
      <c r="K52" s="15"/>
      <c r="L52" s="15"/>
      <c r="M52" s="15"/>
      <c r="N52" s="15"/>
      <c r="O52" s="15"/>
      <c r="P52" s="15"/>
      <c r="Q52" s="3"/>
      <c r="R52" s="3"/>
      <c r="S52" s="3"/>
      <c r="T52" s="3"/>
      <c r="U52" s="3"/>
      <c r="V52" s="3"/>
      <c r="W52" s="3"/>
    </row>
    <row r="53" spans="1:23" ht="14.4" customHeight="1" x14ac:dyDescent="0.3">
      <c r="A53" s="3"/>
      <c r="B53" s="3"/>
      <c r="C53" s="3"/>
      <c r="D53" s="3"/>
      <c r="E53" s="3"/>
      <c r="F53" s="54"/>
      <c r="G53" s="55"/>
      <c r="H53" s="15"/>
      <c r="I53" s="15"/>
      <c r="J53" s="15"/>
      <c r="K53" s="15"/>
      <c r="L53" s="15"/>
      <c r="M53" s="15"/>
      <c r="N53" s="15"/>
      <c r="O53" s="15"/>
      <c r="P53" s="15"/>
      <c r="Q53" s="3"/>
      <c r="R53" s="3"/>
      <c r="S53" s="3"/>
      <c r="T53" s="3"/>
      <c r="U53" s="3"/>
      <c r="V53" s="3"/>
      <c r="W53" s="3"/>
    </row>
    <row r="54" spans="1:23" ht="14.4" customHeight="1" x14ac:dyDescent="0.3">
      <c r="A54" s="3"/>
      <c r="B54" s="3"/>
      <c r="C54" s="3"/>
      <c r="D54" s="3"/>
      <c r="E54" s="3"/>
      <c r="F54" s="3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3"/>
      <c r="R54" s="3"/>
      <c r="S54" s="3"/>
      <c r="T54" s="3"/>
      <c r="U54" s="3"/>
      <c r="V54" s="3"/>
      <c r="W54" s="3"/>
    </row>
    <row r="55" spans="1:23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</sheetData>
  <sortState ref="D8:D23">
    <sortCondition ref="D8"/>
  </sortState>
  <mergeCells count="51">
    <mergeCell ref="F50:G53"/>
    <mergeCell ref="I38:J38"/>
    <mergeCell ref="H9:H10"/>
    <mergeCell ref="H11:H12"/>
    <mergeCell ref="H13:H14"/>
    <mergeCell ref="G23:G24"/>
    <mergeCell ref="A1:D1"/>
    <mergeCell ref="A2:D2"/>
    <mergeCell ref="A3:D3"/>
    <mergeCell ref="F9:F10"/>
    <mergeCell ref="F11:F12"/>
    <mergeCell ref="F13:F14"/>
    <mergeCell ref="G9:G10"/>
    <mergeCell ref="G11:G12"/>
    <mergeCell ref="G13:G14"/>
    <mergeCell ref="E3:N3"/>
    <mergeCell ref="E4:N4"/>
    <mergeCell ref="G7:G8"/>
    <mergeCell ref="F7:F8"/>
    <mergeCell ref="H7:H8"/>
    <mergeCell ref="F15:F16"/>
    <mergeCell ref="F17:F18"/>
    <mergeCell ref="F19:F20"/>
    <mergeCell ref="F21:F22"/>
    <mergeCell ref="H30:I30"/>
    <mergeCell ref="K15:L17"/>
    <mergeCell ref="K18:L18"/>
    <mergeCell ref="N15:N17"/>
    <mergeCell ref="G25:G26"/>
    <mergeCell ref="H15:H16"/>
    <mergeCell ref="H17:H18"/>
    <mergeCell ref="H19:H20"/>
    <mergeCell ref="H21:H22"/>
    <mergeCell ref="H23:H24"/>
    <mergeCell ref="H25:H26"/>
    <mergeCell ref="G15:G16"/>
    <mergeCell ref="G17:G18"/>
    <mergeCell ref="G19:G20"/>
    <mergeCell ref="G21:G22"/>
    <mergeCell ref="D41:D42"/>
    <mergeCell ref="A28:C29"/>
    <mergeCell ref="F42:J49"/>
    <mergeCell ref="K20:N23"/>
    <mergeCell ref="K24:N24"/>
    <mergeCell ref="K26:L27"/>
    <mergeCell ref="K28:L28"/>
    <mergeCell ref="K30:L32"/>
    <mergeCell ref="K33:L33"/>
    <mergeCell ref="F23:F24"/>
    <mergeCell ref="F25:F26"/>
    <mergeCell ref="A22:B2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opLeftCell="A14" workbookViewId="0">
      <selection activeCell="I38" sqref="I38:J38"/>
    </sheetView>
  </sheetViews>
  <sheetFormatPr defaultRowHeight="14.4" x14ac:dyDescent="0.3"/>
  <cols>
    <col min="3" max="3" width="10.33203125" customWidth="1"/>
    <col min="4" max="4" width="14.44140625" customWidth="1"/>
    <col min="5" max="5" width="11.5546875" customWidth="1"/>
    <col min="6" max="6" width="11.33203125" customWidth="1"/>
    <col min="7" max="7" width="12" customWidth="1"/>
    <col min="14" max="14" width="11.44140625" customWidth="1"/>
    <col min="15" max="15" width="10.109375" customWidth="1"/>
    <col min="16" max="16" width="10.77734375" customWidth="1"/>
    <col min="17" max="17" width="11.21875" customWidth="1"/>
    <col min="20" max="20" width="10.33203125" customWidth="1"/>
  </cols>
  <sheetData>
    <row r="1" spans="1:23" x14ac:dyDescent="0.3">
      <c r="A1" s="49" t="s">
        <v>0</v>
      </c>
      <c r="B1" s="49"/>
      <c r="C1" s="49"/>
      <c r="D1" s="49"/>
      <c r="F1" s="45">
        <v>45043</v>
      </c>
    </row>
    <row r="2" spans="1:23" x14ac:dyDescent="0.3">
      <c r="A2" s="49" t="s">
        <v>2</v>
      </c>
      <c r="B2" s="49"/>
      <c r="C2" s="49"/>
      <c r="D2" s="49"/>
    </row>
    <row r="3" spans="1:23" x14ac:dyDescent="0.3">
      <c r="A3" s="49" t="s">
        <v>1</v>
      </c>
      <c r="B3" s="49"/>
      <c r="C3" s="49"/>
      <c r="D3" s="49"/>
      <c r="E3" s="48" t="s">
        <v>74</v>
      </c>
      <c r="F3" s="48"/>
      <c r="G3" s="48"/>
      <c r="H3" s="48"/>
      <c r="I3" s="48"/>
      <c r="J3" s="48"/>
      <c r="K3" s="48"/>
      <c r="L3" s="48"/>
      <c r="M3" s="48"/>
      <c r="N3" s="48"/>
    </row>
    <row r="4" spans="1:23" x14ac:dyDescent="0.3">
      <c r="A4" s="3"/>
      <c r="B4" s="3"/>
      <c r="C4" s="3"/>
      <c r="D4" s="3"/>
      <c r="E4" s="48" t="s">
        <v>75</v>
      </c>
      <c r="F4" s="48"/>
      <c r="G4" s="48"/>
      <c r="H4" s="48"/>
      <c r="I4" s="48"/>
      <c r="J4" s="48"/>
      <c r="K4" s="48"/>
      <c r="L4" s="48"/>
      <c r="M4" s="48"/>
      <c r="N4" s="48"/>
      <c r="O4" s="3"/>
      <c r="P4" s="3"/>
      <c r="Q4" s="3"/>
      <c r="R4" s="3"/>
      <c r="S4" s="3"/>
      <c r="T4" s="3"/>
      <c r="U4" s="3"/>
      <c r="V4" s="3"/>
      <c r="W4" s="3"/>
    </row>
    <row r="5" spans="1:23" x14ac:dyDescent="0.3">
      <c r="A5" s="3"/>
      <c r="B5" s="3"/>
      <c r="C5" s="3"/>
      <c r="D5" s="7"/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28.8" x14ac:dyDescent="0.35">
      <c r="A6" s="3"/>
      <c r="B6" s="40" t="s">
        <v>29</v>
      </c>
      <c r="C6" s="40">
        <v>0.1</v>
      </c>
      <c r="D6" s="3"/>
      <c r="E6" s="28" t="s">
        <v>36</v>
      </c>
      <c r="F6" s="25" t="s">
        <v>34</v>
      </c>
      <c r="G6" s="28" t="s">
        <v>37</v>
      </c>
      <c r="H6" s="25" t="s">
        <v>35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">
      <c r="A7" s="3"/>
      <c r="B7" s="39" t="s">
        <v>28</v>
      </c>
      <c r="C7" s="40">
        <v>0.01</v>
      </c>
      <c r="D7" s="9"/>
      <c r="E7" s="21">
        <f>C6</f>
        <v>0.1</v>
      </c>
      <c r="F7" s="74">
        <f>B11</f>
        <v>37</v>
      </c>
      <c r="G7" s="74">
        <f>AVERAGE(E7:E8)</f>
        <v>0.2</v>
      </c>
      <c r="H7" s="74">
        <f>G7*F7</f>
        <v>7.4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">
      <c r="A8" s="3"/>
      <c r="B8" s="40" t="s">
        <v>30</v>
      </c>
      <c r="C8" s="40">
        <v>0.2</v>
      </c>
      <c r="D8" s="3"/>
      <c r="E8" s="19">
        <f>E7+$C$8</f>
        <v>0.30000000000000004</v>
      </c>
      <c r="F8" s="74"/>
      <c r="G8" s="74"/>
      <c r="H8" s="7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3">
      <c r="A9" s="3"/>
      <c r="B9" s="3"/>
      <c r="C9" s="3"/>
      <c r="D9" s="3"/>
      <c r="E9" s="19">
        <f>E8</f>
        <v>0.30000000000000004</v>
      </c>
      <c r="F9" s="69">
        <f>B12</f>
        <v>31</v>
      </c>
      <c r="G9" s="74">
        <f>AVERAGE(E9:E10)</f>
        <v>0.4</v>
      </c>
      <c r="H9" s="74">
        <f t="shared" ref="H9" si="0">G9*F9</f>
        <v>12.4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28.8" x14ac:dyDescent="0.3">
      <c r="A10" s="25"/>
      <c r="B10" s="25" t="s">
        <v>34</v>
      </c>
      <c r="C10" s="28" t="s">
        <v>61</v>
      </c>
      <c r="D10" s="3"/>
      <c r="E10" s="19">
        <f>E9+$C$8</f>
        <v>0.5</v>
      </c>
      <c r="F10" s="69"/>
      <c r="G10" s="74"/>
      <c r="H10" s="7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">
      <c r="A11" s="19">
        <v>1</v>
      </c>
      <c r="B11" s="19">
        <v>37</v>
      </c>
      <c r="C11" s="19">
        <f>G7</f>
        <v>0.2</v>
      </c>
      <c r="D11" s="3"/>
      <c r="E11" s="19">
        <f>E10</f>
        <v>0.5</v>
      </c>
      <c r="F11" s="69">
        <f>B13</f>
        <v>49</v>
      </c>
      <c r="G11" s="74">
        <f t="shared" ref="G11" si="1">AVERAGE(E11:E12)</f>
        <v>0.6</v>
      </c>
      <c r="H11" s="74">
        <f t="shared" ref="H11" si="2">G11*F11</f>
        <v>29.4</v>
      </c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">
      <c r="A12" s="19">
        <v>2</v>
      </c>
      <c r="B12" s="19">
        <v>31</v>
      </c>
      <c r="C12" s="19">
        <f>G9</f>
        <v>0.4</v>
      </c>
      <c r="D12" s="3"/>
      <c r="E12" s="19">
        <f t="shared" ref="E12:E26" si="3">E11+$C$8</f>
        <v>0.7</v>
      </c>
      <c r="F12" s="69"/>
      <c r="G12" s="74"/>
      <c r="H12" s="74"/>
      <c r="I12" s="4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">
      <c r="A13" s="19">
        <v>3</v>
      </c>
      <c r="B13" s="19">
        <v>49</v>
      </c>
      <c r="C13" s="19">
        <f>G11</f>
        <v>0.6</v>
      </c>
      <c r="D13" s="3"/>
      <c r="E13" s="19">
        <f>E12</f>
        <v>0.7</v>
      </c>
      <c r="F13" s="74">
        <f>B14</f>
        <v>34</v>
      </c>
      <c r="G13" s="74">
        <f t="shared" ref="G13" si="4">AVERAGE(E13:E14)</f>
        <v>0.79999999999999993</v>
      </c>
      <c r="H13" s="74">
        <f t="shared" ref="H13" si="5">G13*F13</f>
        <v>27.2</v>
      </c>
      <c r="I13" s="4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">
      <c r="A14" s="19">
        <v>4</v>
      </c>
      <c r="B14" s="19">
        <v>34</v>
      </c>
      <c r="C14" s="19">
        <f>G13</f>
        <v>0.79999999999999993</v>
      </c>
      <c r="D14" s="3"/>
      <c r="E14" s="19">
        <f t="shared" si="3"/>
        <v>0.89999999999999991</v>
      </c>
      <c r="F14" s="74"/>
      <c r="G14" s="74"/>
      <c r="H14" s="74"/>
      <c r="I14" s="4"/>
      <c r="J14" s="3"/>
      <c r="K14" s="3"/>
      <c r="L14" s="3"/>
      <c r="M14" s="3"/>
      <c r="N14" s="8"/>
      <c r="O14" s="8"/>
      <c r="P14" s="8"/>
      <c r="Q14" s="3"/>
      <c r="R14" s="3"/>
      <c r="S14" s="3"/>
      <c r="T14" s="3"/>
      <c r="U14" s="3"/>
      <c r="V14" s="3"/>
      <c r="W14" s="3"/>
    </row>
    <row r="15" spans="1:23" ht="16.2" x14ac:dyDescent="0.3">
      <c r="A15" s="19">
        <v>5</v>
      </c>
      <c r="B15" s="19">
        <v>50</v>
      </c>
      <c r="C15" s="19">
        <f>G15</f>
        <v>0.99999999999999989</v>
      </c>
      <c r="D15" s="3"/>
      <c r="E15" s="19">
        <f>E14</f>
        <v>0.89999999999999991</v>
      </c>
      <c r="F15" s="74">
        <f>B15</f>
        <v>50</v>
      </c>
      <c r="G15" s="74">
        <f t="shared" ref="G15" si="6">AVERAGE(E15:E16)</f>
        <v>0.99999999999999989</v>
      </c>
      <c r="H15" s="74">
        <f t="shared" ref="H15" si="7">G15*F15</f>
        <v>49.999999999999993</v>
      </c>
      <c r="I15" s="3"/>
      <c r="J15" s="3"/>
      <c r="K15" s="50"/>
      <c r="L15" s="51"/>
      <c r="M15" s="3"/>
      <c r="N15" s="64"/>
      <c r="O15" s="3"/>
      <c r="P15" s="23" t="s">
        <v>40</v>
      </c>
      <c r="Q15" s="23" t="s">
        <v>41</v>
      </c>
      <c r="R15" s="3"/>
      <c r="S15" s="3"/>
      <c r="T15" s="3"/>
      <c r="U15" s="3"/>
      <c r="V15" s="3"/>
      <c r="W15" s="3"/>
    </row>
    <row r="16" spans="1:23" x14ac:dyDescent="0.3">
      <c r="A16" s="19">
        <v>6</v>
      </c>
      <c r="B16" s="19">
        <v>36</v>
      </c>
      <c r="C16" s="19">
        <f>G17</f>
        <v>1.1999999999999997</v>
      </c>
      <c r="D16" s="3"/>
      <c r="E16" s="19">
        <f t="shared" si="3"/>
        <v>1.0999999999999999</v>
      </c>
      <c r="F16" s="74"/>
      <c r="G16" s="74"/>
      <c r="H16" s="74"/>
      <c r="I16" s="4"/>
      <c r="J16" s="4"/>
      <c r="K16" s="52"/>
      <c r="L16" s="53"/>
      <c r="M16" s="3"/>
      <c r="N16" s="75"/>
      <c r="O16" s="3"/>
      <c r="P16" s="19">
        <f>ABS(C11-$K$18)</f>
        <v>0.87598944591029015</v>
      </c>
      <c r="Q16" s="19">
        <f>P16*P16*B11</f>
        <v>28.392227845810034</v>
      </c>
      <c r="R16" s="3"/>
      <c r="S16" s="3"/>
      <c r="T16" s="3"/>
      <c r="U16" s="3"/>
      <c r="V16" s="3"/>
      <c r="W16" s="3"/>
    </row>
    <row r="17" spans="1:23" x14ac:dyDescent="0.3">
      <c r="A17" s="19">
        <v>7</v>
      </c>
      <c r="B17" s="19">
        <v>34</v>
      </c>
      <c r="C17" s="19">
        <f>G19</f>
        <v>1.4</v>
      </c>
      <c r="D17" s="3"/>
      <c r="E17" s="19">
        <f>E16</f>
        <v>1.0999999999999999</v>
      </c>
      <c r="F17" s="74">
        <f>B16</f>
        <v>36</v>
      </c>
      <c r="G17" s="74">
        <f t="shared" ref="G17" si="8">AVERAGE(E17:E18)</f>
        <v>1.1999999999999997</v>
      </c>
      <c r="H17" s="74">
        <f t="shared" ref="H17" si="9">G17*F17</f>
        <v>43.199999999999989</v>
      </c>
      <c r="I17" s="4"/>
      <c r="J17" s="4"/>
      <c r="K17" s="54"/>
      <c r="L17" s="55"/>
      <c r="M17" s="3"/>
      <c r="N17" s="65"/>
      <c r="O17" s="3"/>
      <c r="P17" s="19">
        <f t="shared" ref="P17:P25" si="10">ABS(C12-$K$18)</f>
        <v>0.67598944591029009</v>
      </c>
      <c r="Q17" s="19">
        <f t="shared" ref="Q17:Q25" si="11">P17*P17*B12</f>
        <v>14.165813660445131</v>
      </c>
      <c r="R17" s="3"/>
      <c r="S17" s="3"/>
      <c r="T17" s="3"/>
      <c r="U17" s="3"/>
      <c r="V17" s="3"/>
      <c r="W17" s="3"/>
    </row>
    <row r="18" spans="1:23" x14ac:dyDescent="0.3">
      <c r="A18" s="19">
        <v>8</v>
      </c>
      <c r="B18" s="19">
        <v>49</v>
      </c>
      <c r="C18" s="19">
        <f>G21</f>
        <v>1.5999999999999996</v>
      </c>
      <c r="D18" s="3"/>
      <c r="E18" s="19">
        <f t="shared" si="3"/>
        <v>1.2999999999999998</v>
      </c>
      <c r="F18" s="74"/>
      <c r="G18" s="74"/>
      <c r="H18" s="74"/>
      <c r="I18" s="4"/>
      <c r="J18" s="4"/>
      <c r="K18" s="70">
        <f>SUM(H7:H26)/F27</f>
        <v>1.0759894459102901</v>
      </c>
      <c r="L18" s="70"/>
      <c r="M18" s="3"/>
      <c r="N18" s="29">
        <f>1/K18</f>
        <v>0.92937714565963714</v>
      </c>
      <c r="O18" s="3"/>
      <c r="P18" s="19">
        <f t="shared" si="10"/>
        <v>0.47598944591029013</v>
      </c>
      <c r="Q18" s="19">
        <f t="shared" si="11"/>
        <v>11.101731678281265</v>
      </c>
      <c r="R18" s="3"/>
      <c r="S18" s="3"/>
      <c r="T18" s="3"/>
      <c r="U18" s="3"/>
      <c r="V18" s="3"/>
      <c r="W18" s="3"/>
    </row>
    <row r="19" spans="1:23" x14ac:dyDescent="0.3">
      <c r="A19" s="19">
        <v>9</v>
      </c>
      <c r="B19" s="19">
        <v>29</v>
      </c>
      <c r="C19" s="19">
        <f>G23</f>
        <v>1.7999999999999998</v>
      </c>
      <c r="D19" s="3"/>
      <c r="E19" s="19">
        <f>E18</f>
        <v>1.2999999999999998</v>
      </c>
      <c r="F19" s="74">
        <f>B17</f>
        <v>34</v>
      </c>
      <c r="G19" s="74">
        <f t="shared" ref="G19" si="12">AVERAGE(E19:E20)</f>
        <v>1.4</v>
      </c>
      <c r="H19" s="74">
        <f t="shared" ref="H19" si="13">G19*F19</f>
        <v>47.599999999999994</v>
      </c>
      <c r="I19" s="4"/>
      <c r="J19" s="4"/>
      <c r="M19" s="3"/>
      <c r="N19" s="3"/>
      <c r="O19" s="3"/>
      <c r="P19" s="19">
        <f t="shared" si="10"/>
        <v>0.27598944591029018</v>
      </c>
      <c r="Q19" s="19">
        <f t="shared" si="11"/>
        <v>2.5897859246315456</v>
      </c>
      <c r="R19" s="3"/>
      <c r="S19" s="3"/>
      <c r="T19" s="3"/>
      <c r="U19" s="3"/>
      <c r="V19" s="3"/>
      <c r="W19" s="3"/>
    </row>
    <row r="20" spans="1:23" x14ac:dyDescent="0.3">
      <c r="A20" s="19">
        <v>10</v>
      </c>
      <c r="B20" s="19">
        <v>30</v>
      </c>
      <c r="C20" s="19">
        <f>G25</f>
        <v>1.9999999999999996</v>
      </c>
      <c r="D20" s="3"/>
      <c r="E20" s="19">
        <f t="shared" si="3"/>
        <v>1.4999999999999998</v>
      </c>
      <c r="F20" s="74"/>
      <c r="G20" s="74"/>
      <c r="H20" s="74"/>
      <c r="I20" s="4"/>
      <c r="J20" s="4"/>
      <c r="K20" s="66"/>
      <c r="L20" s="66"/>
      <c r="M20" s="66"/>
      <c r="N20" s="66"/>
      <c r="O20" s="3"/>
      <c r="P20" s="19">
        <f t="shared" si="10"/>
        <v>7.5989445910290221E-2</v>
      </c>
      <c r="Q20" s="19">
        <f t="shared" si="11"/>
        <v>0.28871979448764618</v>
      </c>
      <c r="R20" s="3"/>
      <c r="S20" s="3"/>
      <c r="T20" s="3"/>
      <c r="U20" s="3"/>
      <c r="V20" s="3"/>
      <c r="W20" s="3"/>
    </row>
    <row r="21" spans="1:23" x14ac:dyDescent="0.3">
      <c r="A21" s="29" t="s">
        <v>32</v>
      </c>
      <c r="B21" s="29">
        <f>COUNT(B11:B20)</f>
        <v>10</v>
      </c>
      <c r="C21" s="3"/>
      <c r="D21" s="3"/>
      <c r="E21" s="19">
        <f>E20</f>
        <v>1.4999999999999998</v>
      </c>
      <c r="F21" s="74">
        <f>B18</f>
        <v>49</v>
      </c>
      <c r="G21" s="74">
        <f t="shared" ref="G21" si="14">AVERAGE(E21:E22)</f>
        <v>1.5999999999999996</v>
      </c>
      <c r="H21" s="74">
        <f t="shared" ref="H21" si="15">G21*F21</f>
        <v>78.399999999999977</v>
      </c>
      <c r="I21" s="3"/>
      <c r="J21" s="3"/>
      <c r="K21" s="66"/>
      <c r="L21" s="66"/>
      <c r="M21" s="66"/>
      <c r="N21" s="66"/>
      <c r="O21" s="3"/>
      <c r="P21" s="19">
        <f t="shared" si="10"/>
        <v>0.12401055408970962</v>
      </c>
      <c r="Q21" s="19">
        <f t="shared" si="11"/>
        <v>0.55363023092292474</v>
      </c>
      <c r="R21" s="3"/>
      <c r="S21" s="3"/>
      <c r="T21" s="3"/>
      <c r="U21" s="3"/>
      <c r="V21" s="3"/>
      <c r="W21" s="3"/>
    </row>
    <row r="22" spans="1:23" x14ac:dyDescent="0.3">
      <c r="A22" s="66" t="s">
        <v>38</v>
      </c>
      <c r="B22" s="66"/>
      <c r="C22" s="3"/>
      <c r="D22" s="3"/>
      <c r="E22" s="19">
        <f t="shared" si="3"/>
        <v>1.6999999999999997</v>
      </c>
      <c r="F22" s="74"/>
      <c r="G22" s="74"/>
      <c r="H22" s="74"/>
      <c r="I22" s="16"/>
      <c r="J22" s="3"/>
      <c r="K22" s="66"/>
      <c r="L22" s="66"/>
      <c r="M22" s="66"/>
      <c r="N22" s="66"/>
      <c r="O22" s="3"/>
      <c r="P22" s="19">
        <f t="shared" si="10"/>
        <v>0.3240105540897098</v>
      </c>
      <c r="Q22" s="19">
        <f t="shared" si="11"/>
        <v>3.5694165314917061</v>
      </c>
      <c r="R22" s="3"/>
      <c r="S22" s="3"/>
      <c r="T22" s="3"/>
      <c r="U22" s="3"/>
      <c r="V22" s="3"/>
      <c r="W22" s="3"/>
    </row>
    <row r="23" spans="1:23" x14ac:dyDescent="0.3">
      <c r="A23" s="3"/>
      <c r="B23" s="3"/>
      <c r="C23" s="3"/>
      <c r="D23" s="3"/>
      <c r="E23" s="19">
        <f>E22</f>
        <v>1.6999999999999997</v>
      </c>
      <c r="F23" s="74">
        <f>B19</f>
        <v>29</v>
      </c>
      <c r="G23" s="74">
        <f t="shared" ref="G23" si="16">AVERAGE(E23:E24)</f>
        <v>1.7999999999999998</v>
      </c>
      <c r="H23" s="74">
        <f t="shared" ref="H23" si="17">G23*F23</f>
        <v>52.199999999999996</v>
      </c>
      <c r="I23" s="4"/>
      <c r="J23" s="3"/>
      <c r="K23" s="66"/>
      <c r="L23" s="66"/>
      <c r="M23" s="66"/>
      <c r="N23" s="66"/>
      <c r="O23" s="3"/>
      <c r="P23" s="19">
        <f t="shared" si="10"/>
        <v>0.52401055408970953</v>
      </c>
      <c r="Q23" s="19">
        <f t="shared" si="11"/>
        <v>13.454765979072816</v>
      </c>
      <c r="R23" s="3"/>
      <c r="S23" s="3"/>
      <c r="T23" s="3"/>
      <c r="U23" s="3"/>
      <c r="V23" s="3"/>
      <c r="W23" s="3"/>
    </row>
    <row r="24" spans="1:23" x14ac:dyDescent="0.3">
      <c r="A24" s="6"/>
      <c r="B24" s="6"/>
      <c r="C24" s="3"/>
      <c r="D24" s="3"/>
      <c r="E24" s="19">
        <f t="shared" si="3"/>
        <v>1.8999999999999997</v>
      </c>
      <c r="F24" s="74"/>
      <c r="G24" s="74"/>
      <c r="H24" s="74"/>
      <c r="I24" s="4"/>
      <c r="J24" s="3"/>
      <c r="K24" s="67">
        <f>Q27</f>
        <v>0.30324935081209392</v>
      </c>
      <c r="L24" s="67"/>
      <c r="M24" s="67"/>
      <c r="N24" s="67"/>
      <c r="O24" s="3"/>
      <c r="P24" s="19">
        <f t="shared" si="10"/>
        <v>0.72401055408970971</v>
      </c>
      <c r="Q24" s="19">
        <f t="shared" si="11"/>
        <v>15.201547190565366</v>
      </c>
      <c r="R24" s="3"/>
      <c r="S24" s="3"/>
      <c r="T24" s="3"/>
      <c r="U24" s="3"/>
      <c r="V24" s="3"/>
      <c r="W24" s="3"/>
    </row>
    <row r="25" spans="1:23" x14ac:dyDescent="0.3">
      <c r="A25" s="3"/>
      <c r="B25" s="3"/>
      <c r="C25" s="3"/>
      <c r="D25" s="3"/>
      <c r="E25" s="19">
        <f>E24</f>
        <v>1.8999999999999997</v>
      </c>
      <c r="F25" s="74">
        <f>B20</f>
        <v>30</v>
      </c>
      <c r="G25" s="74">
        <f t="shared" ref="G25" si="18">AVERAGE(E25:E26)</f>
        <v>1.9999999999999996</v>
      </c>
      <c r="H25" s="74">
        <f t="shared" ref="H25" si="19">G25*F25</f>
        <v>59.999999999999986</v>
      </c>
      <c r="I25" s="4"/>
      <c r="J25" s="3"/>
      <c r="K25" s="3"/>
      <c r="L25" s="3"/>
      <c r="M25" s="3"/>
      <c r="N25" s="3"/>
      <c r="O25" s="3"/>
      <c r="P25" s="19">
        <f t="shared" si="10"/>
        <v>0.92401055408970945</v>
      </c>
      <c r="Q25" s="19">
        <f t="shared" si="11"/>
        <v>25.613865122075154</v>
      </c>
      <c r="R25" s="3"/>
      <c r="S25" s="3"/>
      <c r="T25" s="3"/>
      <c r="U25" s="3"/>
      <c r="V25" s="3"/>
      <c r="W25" s="3"/>
    </row>
    <row r="26" spans="1:23" x14ac:dyDescent="0.3">
      <c r="A26" s="3"/>
      <c r="B26" s="3"/>
      <c r="C26" s="3"/>
      <c r="D26" s="3"/>
      <c r="E26" s="19">
        <f t="shared" si="3"/>
        <v>2.0999999999999996</v>
      </c>
      <c r="F26" s="74"/>
      <c r="G26" s="74"/>
      <c r="H26" s="74"/>
      <c r="I26" s="4"/>
      <c r="J26" s="3"/>
      <c r="K26" s="66"/>
      <c r="L26" s="66"/>
      <c r="M26" s="3"/>
      <c r="N26" s="3"/>
      <c r="O26" s="3"/>
      <c r="P26" s="3"/>
      <c r="Q26" s="44">
        <f>SUM(Q16:Q25)</f>
        <v>114.93150395778359</v>
      </c>
      <c r="R26" s="3"/>
      <c r="S26" s="3"/>
      <c r="T26" s="3"/>
      <c r="U26" s="3"/>
      <c r="V26" s="3"/>
      <c r="W26" s="3"/>
    </row>
    <row r="27" spans="1:23" x14ac:dyDescent="0.3">
      <c r="A27" s="3"/>
      <c r="B27" s="3"/>
      <c r="C27" s="3"/>
      <c r="D27" s="3"/>
      <c r="E27" s="29" t="s">
        <v>31</v>
      </c>
      <c r="F27" s="29">
        <f>SUM(F7:F26)</f>
        <v>379</v>
      </c>
      <c r="G27" s="3"/>
      <c r="H27" s="3"/>
      <c r="I27" s="3"/>
      <c r="J27" s="3"/>
      <c r="K27" s="66"/>
      <c r="L27" s="66"/>
      <c r="M27" s="3"/>
      <c r="N27" s="3"/>
      <c r="O27" s="3"/>
      <c r="P27" s="29" t="s">
        <v>39</v>
      </c>
      <c r="Q27" s="29">
        <f>Q26/F27</f>
        <v>0.30324935081209392</v>
      </c>
      <c r="R27" s="3"/>
      <c r="S27" s="3"/>
      <c r="T27" s="3"/>
      <c r="U27" s="3"/>
      <c r="V27" s="3"/>
      <c r="W27" s="3"/>
    </row>
    <row r="28" spans="1:23" x14ac:dyDescent="0.3">
      <c r="A28" s="3"/>
      <c r="B28" s="3"/>
      <c r="C28" s="3"/>
      <c r="D28" s="3"/>
      <c r="E28" s="3"/>
      <c r="F28" s="3"/>
      <c r="G28" s="12"/>
      <c r="H28" s="4"/>
      <c r="I28" s="4"/>
      <c r="J28" s="3"/>
      <c r="K28" s="67">
        <f>SQRT(K24)</f>
        <v>0.55068080664945451</v>
      </c>
      <c r="L28" s="67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">
      <c r="A29" s="3"/>
      <c r="B29" s="3"/>
      <c r="C29" s="3"/>
      <c r="D29" s="3"/>
      <c r="E29" s="3"/>
      <c r="F29" s="3"/>
      <c r="G29" s="12"/>
      <c r="H29" s="4"/>
      <c r="I29" s="4"/>
      <c r="J29" s="3"/>
      <c r="K29" s="3"/>
      <c r="L29" s="3"/>
      <c r="M29" s="3"/>
      <c r="N29" s="50"/>
      <c r="O29" s="71"/>
      <c r="P29" s="71"/>
      <c r="Q29" s="51"/>
      <c r="R29" s="3"/>
      <c r="S29" s="3"/>
      <c r="T29" s="3"/>
      <c r="U29" s="3"/>
      <c r="V29" s="3"/>
      <c r="W29" s="3"/>
    </row>
    <row r="30" spans="1:23" ht="16.2" x14ac:dyDescent="0.3">
      <c r="A30" s="3"/>
      <c r="B30" s="50"/>
      <c r="C30" s="51"/>
      <c r="D30" s="25" t="s">
        <v>53</v>
      </c>
      <c r="E30" s="25" t="s">
        <v>54</v>
      </c>
      <c r="F30" s="25" t="s">
        <v>55</v>
      </c>
      <c r="G30" s="25" t="s">
        <v>56</v>
      </c>
      <c r="H30" s="47"/>
      <c r="I30" s="47"/>
      <c r="J30" s="3"/>
      <c r="K30" s="68"/>
      <c r="L30" s="68"/>
      <c r="M30" s="3"/>
      <c r="N30" s="52"/>
      <c r="O30" s="47"/>
      <c r="P30" s="47"/>
      <c r="Q30" s="53"/>
      <c r="R30" s="3"/>
      <c r="S30" s="3"/>
      <c r="T30" s="3"/>
      <c r="U30" s="3"/>
      <c r="V30" s="3"/>
      <c r="W30" s="3"/>
    </row>
    <row r="31" spans="1:23" x14ac:dyDescent="0.3">
      <c r="A31" s="3"/>
      <c r="B31" s="52"/>
      <c r="C31" s="53"/>
      <c r="D31" s="19">
        <f>$F$27*(E8-N32)*$N$37</f>
        <v>35.328370883500533</v>
      </c>
      <c r="E31" s="19">
        <f>B11-D31</f>
        <v>1.6716291164994672</v>
      </c>
      <c r="F31" s="19">
        <f>E31*E31</f>
        <v>2.7943439031287896</v>
      </c>
      <c r="G31" s="19">
        <f>F31/D31</f>
        <v>7.909631362123852E-2</v>
      </c>
      <c r="H31" s="3"/>
      <c r="I31" s="3"/>
      <c r="J31" s="3"/>
      <c r="K31" s="68"/>
      <c r="L31" s="68"/>
      <c r="M31" s="3"/>
      <c r="N31" s="54"/>
      <c r="O31" s="72"/>
      <c r="P31" s="72"/>
      <c r="Q31" s="55"/>
      <c r="R31" s="3"/>
      <c r="S31" s="3"/>
      <c r="T31" s="3"/>
      <c r="U31" s="3"/>
      <c r="V31" s="3"/>
      <c r="W31" s="3"/>
    </row>
    <row r="32" spans="1:23" x14ac:dyDescent="0.3">
      <c r="A32" s="3"/>
      <c r="B32" s="54"/>
      <c r="C32" s="55"/>
      <c r="D32" s="19">
        <f>$F$27*(E10-E9)*$N$37</f>
        <v>39.735496385687384</v>
      </c>
      <c r="E32" s="19">
        <f t="shared" ref="E32:E40" si="20">B12-D32</f>
        <v>-8.7354963856873837</v>
      </c>
      <c r="F32" s="19">
        <f t="shared" ref="F32:F40" si="21">E32*E32</f>
        <v>76.308897104357342</v>
      </c>
      <c r="G32" s="19">
        <f t="shared" ref="G32:G40" si="22">F32/D32</f>
        <v>1.9204213875592504</v>
      </c>
      <c r="H32" s="3"/>
      <c r="I32" s="3"/>
      <c r="J32" s="3"/>
      <c r="K32" s="68"/>
      <c r="L32" s="68"/>
      <c r="M32" s="4"/>
      <c r="N32" s="76">
        <f>K18-SQRT(3)*K28</f>
        <v>0.12218231004042168</v>
      </c>
      <c r="O32" s="77"/>
      <c r="P32" s="70">
        <f>K18+SQRT(3)*K28</f>
        <v>2.0297965817801584</v>
      </c>
      <c r="Q32" s="70"/>
      <c r="R32" s="3"/>
      <c r="S32" s="3"/>
      <c r="T32" s="3"/>
      <c r="U32" s="3"/>
      <c r="V32" s="3"/>
      <c r="W32" s="3"/>
    </row>
    <row r="33" spans="1:23" x14ac:dyDescent="0.3">
      <c r="A33" s="3"/>
      <c r="B33" s="3"/>
      <c r="C33" s="4"/>
      <c r="D33" s="19">
        <f>D32</f>
        <v>39.735496385687384</v>
      </c>
      <c r="E33" s="19">
        <f t="shared" si="20"/>
        <v>9.2645036143126163</v>
      </c>
      <c r="F33" s="19">
        <f t="shared" si="21"/>
        <v>85.831027219611528</v>
      </c>
      <c r="G33" s="19">
        <f t="shared" si="22"/>
        <v>2.1600592675753667</v>
      </c>
      <c r="H33" s="3"/>
      <c r="I33" s="3"/>
      <c r="K33" s="56">
        <f>F27/(F27-1)*K24</f>
        <v>0.30405159777191426</v>
      </c>
      <c r="L33" s="57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">
      <c r="A34" s="50"/>
      <c r="B34" s="71"/>
      <c r="C34" s="51"/>
      <c r="D34" s="19">
        <f t="shared" ref="D34:D39" si="23">D33</f>
        <v>39.735496385687384</v>
      </c>
      <c r="E34" s="19">
        <f t="shared" si="20"/>
        <v>-5.7354963856873837</v>
      </c>
      <c r="F34" s="19">
        <f t="shared" si="21"/>
        <v>32.89591879023304</v>
      </c>
      <c r="G34" s="19">
        <f t="shared" si="22"/>
        <v>0.82787235047809948</v>
      </c>
      <c r="H34" s="3"/>
      <c r="I34" s="3"/>
      <c r="J34" s="3"/>
      <c r="K34" s="3"/>
      <c r="L34" s="3"/>
      <c r="M34" s="3"/>
      <c r="N34" s="50"/>
      <c r="O34" s="51"/>
      <c r="P34" s="8"/>
      <c r="Q34" s="8"/>
      <c r="R34" s="8"/>
      <c r="S34" s="3"/>
      <c r="T34" s="3"/>
      <c r="U34" s="3"/>
      <c r="V34" s="3"/>
      <c r="W34" s="3"/>
    </row>
    <row r="35" spans="1:23" x14ac:dyDescent="0.3">
      <c r="A35" s="52"/>
      <c r="B35" s="47"/>
      <c r="C35" s="53"/>
      <c r="D35" s="19">
        <f t="shared" si="23"/>
        <v>39.735496385687384</v>
      </c>
      <c r="E35" s="19">
        <f t="shared" si="20"/>
        <v>10.264503614312616</v>
      </c>
      <c r="F35" s="19">
        <f t="shared" si="21"/>
        <v>105.36003444823676</v>
      </c>
      <c r="G35" s="19">
        <f t="shared" si="22"/>
        <v>2.6515343718264748</v>
      </c>
      <c r="H35" s="6"/>
      <c r="I35" s="3"/>
      <c r="J35" s="3"/>
      <c r="K35" s="29" t="s">
        <v>60</v>
      </c>
      <c r="L35" s="29">
        <f>SQRT(K33)</f>
        <v>0.55140873929591849</v>
      </c>
      <c r="M35" s="3"/>
      <c r="N35" s="52"/>
      <c r="O35" s="53"/>
      <c r="P35" s="3"/>
      <c r="Q35" s="3"/>
      <c r="R35" s="3"/>
      <c r="S35" s="3"/>
      <c r="T35" s="4"/>
      <c r="U35" s="12"/>
      <c r="V35" s="3"/>
      <c r="W35" s="3"/>
    </row>
    <row r="36" spans="1:23" x14ac:dyDescent="0.3">
      <c r="A36" s="54"/>
      <c r="B36" s="72"/>
      <c r="C36" s="55"/>
      <c r="D36" s="19">
        <f t="shared" si="23"/>
        <v>39.735496385687384</v>
      </c>
      <c r="E36" s="19">
        <f t="shared" si="20"/>
        <v>-3.7354963856873837</v>
      </c>
      <c r="F36" s="19">
        <f t="shared" si="21"/>
        <v>13.953933247483507</v>
      </c>
      <c r="G36" s="19">
        <f t="shared" si="22"/>
        <v>0.35117047770188858</v>
      </c>
      <c r="H36" s="6"/>
      <c r="I36" s="3"/>
      <c r="J36" s="3"/>
      <c r="K36" s="3"/>
      <c r="L36" s="3"/>
      <c r="M36" s="3"/>
      <c r="N36" s="54"/>
      <c r="O36" s="55"/>
      <c r="P36" s="3"/>
      <c r="Q36" s="3"/>
      <c r="R36" s="3"/>
      <c r="S36" s="3"/>
      <c r="T36" s="4"/>
      <c r="U36" s="12"/>
      <c r="V36" s="3"/>
      <c r="W36" s="3"/>
    </row>
    <row r="37" spans="1:23" x14ac:dyDescent="0.3">
      <c r="A37" s="3"/>
      <c r="B37" s="3"/>
      <c r="C37" s="4"/>
      <c r="D37" s="19">
        <f t="shared" si="23"/>
        <v>39.735496385687384</v>
      </c>
      <c r="E37" s="19">
        <f t="shared" si="20"/>
        <v>-5.7354963856873837</v>
      </c>
      <c r="F37" s="19">
        <f t="shared" si="21"/>
        <v>32.89591879023304</v>
      </c>
      <c r="G37" s="19">
        <f t="shared" si="22"/>
        <v>0.82787235047809948</v>
      </c>
      <c r="H37" s="6"/>
      <c r="I37" s="3"/>
      <c r="J37" s="3"/>
      <c r="K37" s="3"/>
      <c r="L37" s="3"/>
      <c r="M37" s="3"/>
      <c r="N37" s="67">
        <f>1/(P32-N32)</f>
        <v>0.52421499189561205</v>
      </c>
      <c r="O37" s="67"/>
      <c r="P37" s="4"/>
      <c r="Q37" s="4"/>
      <c r="R37" s="4"/>
      <c r="S37" s="3"/>
      <c r="T37" s="4"/>
      <c r="U37" s="3"/>
      <c r="V37" s="3"/>
      <c r="W37" s="3"/>
    </row>
    <row r="38" spans="1:23" x14ac:dyDescent="0.3">
      <c r="A38" s="3"/>
      <c r="B38" s="50"/>
      <c r="C38" s="51"/>
      <c r="D38" s="19">
        <f t="shared" si="23"/>
        <v>39.735496385687384</v>
      </c>
      <c r="E38" s="19">
        <f t="shared" si="20"/>
        <v>9.2645036143126163</v>
      </c>
      <c r="F38" s="19">
        <f t="shared" si="21"/>
        <v>85.831027219611528</v>
      </c>
      <c r="G38" s="19">
        <f t="shared" si="22"/>
        <v>2.1600592675753667</v>
      </c>
      <c r="H38" s="4"/>
      <c r="I38" s="72" t="s">
        <v>122</v>
      </c>
      <c r="J38" s="72"/>
      <c r="K38" s="4"/>
      <c r="L38" s="3"/>
      <c r="M38" s="3"/>
      <c r="N38" s="3"/>
      <c r="O38" s="4"/>
      <c r="P38" s="4"/>
      <c r="Q38" s="4"/>
      <c r="R38" s="4"/>
      <c r="S38" s="4"/>
      <c r="T38" s="3"/>
      <c r="U38" s="3"/>
      <c r="V38" s="3"/>
      <c r="W38" s="3"/>
    </row>
    <row r="39" spans="1:23" x14ac:dyDescent="0.3">
      <c r="A39" s="3"/>
      <c r="B39" s="52"/>
      <c r="C39" s="53"/>
      <c r="D39" s="19">
        <f t="shared" si="23"/>
        <v>39.735496385687384</v>
      </c>
      <c r="E39" s="19">
        <f t="shared" si="20"/>
        <v>-10.735496385687384</v>
      </c>
      <c r="F39" s="19">
        <f t="shared" si="21"/>
        <v>115.25088264710688</v>
      </c>
      <c r="G39" s="19">
        <f t="shared" si="22"/>
        <v>2.9004515642245741</v>
      </c>
      <c r="H39" s="6"/>
      <c r="I39" s="29" t="s">
        <v>72</v>
      </c>
      <c r="J39" s="29">
        <f>B21-3</f>
        <v>7</v>
      </c>
      <c r="K39" s="6"/>
      <c r="L39" s="3"/>
      <c r="M39" s="3"/>
      <c r="N39" s="3"/>
      <c r="O39" s="6"/>
      <c r="P39" s="6"/>
      <c r="Q39" s="6"/>
      <c r="R39" s="6"/>
      <c r="S39" s="6"/>
      <c r="T39" s="3"/>
      <c r="U39" s="3"/>
      <c r="V39" s="3"/>
      <c r="W39" s="3"/>
    </row>
    <row r="40" spans="1:23" x14ac:dyDescent="0.3">
      <c r="A40" s="3"/>
      <c r="B40" s="54"/>
      <c r="C40" s="55"/>
      <c r="D40" s="19">
        <f>$F$27*(P32-E25)*$N$37</f>
        <v>25.78765803100038</v>
      </c>
      <c r="E40" s="19">
        <f t="shared" si="20"/>
        <v>4.2123419689996204</v>
      </c>
      <c r="F40" s="19">
        <f t="shared" si="21"/>
        <v>17.743824863795599</v>
      </c>
      <c r="G40" s="19">
        <f t="shared" si="22"/>
        <v>0.68807430447794193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6.8" x14ac:dyDescent="0.35">
      <c r="A41" s="3"/>
      <c r="B41" s="3"/>
      <c r="C41" s="3"/>
      <c r="D41" s="4"/>
      <c r="E41" s="3"/>
      <c r="F41" s="32" t="s">
        <v>57</v>
      </c>
      <c r="G41" s="42">
        <f>SUM(G30:G40)</f>
        <v>14.566611655518299</v>
      </c>
      <c r="H41" s="43" t="s">
        <v>62</v>
      </c>
      <c r="I41" s="32" t="s">
        <v>58</v>
      </c>
      <c r="J41" s="41">
        <v>18.5</v>
      </c>
      <c r="K41" s="13"/>
      <c r="L41" s="3"/>
      <c r="M41" s="3"/>
      <c r="N41" s="3"/>
      <c r="O41" s="13"/>
      <c r="P41" s="13"/>
      <c r="Q41" s="13"/>
      <c r="R41" s="13"/>
      <c r="S41" s="13"/>
      <c r="T41" s="3"/>
      <c r="U41" s="3"/>
      <c r="V41" s="3"/>
      <c r="W41" s="3"/>
    </row>
    <row r="42" spans="1:23" x14ac:dyDescent="0.3">
      <c r="A42" s="3"/>
      <c r="B42" s="3"/>
      <c r="C42" s="3"/>
      <c r="D42" s="4"/>
      <c r="E42" s="3"/>
      <c r="F42" s="73" t="s">
        <v>76</v>
      </c>
      <c r="G42" s="73"/>
      <c r="H42" s="73"/>
      <c r="I42" s="73"/>
      <c r="J42" s="73"/>
      <c r="K42" s="13"/>
      <c r="L42" s="3"/>
      <c r="M42" s="3"/>
      <c r="N42" s="3"/>
      <c r="O42" s="13"/>
      <c r="P42" s="13"/>
      <c r="Q42" s="13"/>
      <c r="R42" s="13"/>
      <c r="S42" s="13"/>
      <c r="T42" s="3"/>
      <c r="U42" s="3"/>
      <c r="V42" s="3"/>
      <c r="W42" s="3"/>
    </row>
    <row r="43" spans="1:23" x14ac:dyDescent="0.3">
      <c r="A43" s="3"/>
      <c r="B43" s="3"/>
      <c r="C43" s="3"/>
      <c r="D43" s="3"/>
      <c r="E43" s="3"/>
      <c r="F43" s="73"/>
      <c r="G43" s="73"/>
      <c r="H43" s="73"/>
      <c r="I43" s="73"/>
      <c r="J43" s="73"/>
      <c r="K43" s="13"/>
      <c r="L43" s="3"/>
      <c r="M43" s="3"/>
      <c r="N43" s="3"/>
      <c r="O43" s="13"/>
      <c r="P43" s="13"/>
      <c r="Q43" s="13"/>
      <c r="R43" s="13"/>
      <c r="S43" s="13"/>
      <c r="T43" s="3"/>
      <c r="U43" s="3"/>
      <c r="V43" s="3"/>
      <c r="W43" s="3"/>
    </row>
    <row r="44" spans="1:23" x14ac:dyDescent="0.3">
      <c r="A44" s="3"/>
      <c r="B44" s="3"/>
      <c r="C44" s="3"/>
      <c r="D44" s="3"/>
      <c r="E44" s="3"/>
      <c r="F44" s="73"/>
      <c r="G44" s="73"/>
      <c r="H44" s="73"/>
      <c r="I44" s="73"/>
      <c r="J44" s="7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">
      <c r="A45" s="3"/>
      <c r="B45" s="3"/>
      <c r="C45" s="3"/>
      <c r="D45" s="3"/>
      <c r="E45" s="3"/>
      <c r="F45" s="73"/>
      <c r="G45" s="73"/>
      <c r="H45" s="73"/>
      <c r="I45" s="73"/>
      <c r="J45" s="7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3">
      <c r="A46" s="3"/>
      <c r="B46" s="3"/>
      <c r="C46" s="3"/>
      <c r="D46" s="3"/>
      <c r="E46" s="3"/>
      <c r="F46" s="73"/>
      <c r="G46" s="73"/>
      <c r="H46" s="73"/>
      <c r="I46" s="73"/>
      <c r="J46" s="73"/>
      <c r="K46" s="14"/>
      <c r="L46" s="14"/>
      <c r="M46" s="14"/>
      <c r="N46" s="14"/>
      <c r="O46" s="14"/>
      <c r="P46" s="14"/>
      <c r="Q46" s="3"/>
      <c r="R46" s="3"/>
      <c r="S46" s="3"/>
      <c r="T46" s="3"/>
      <c r="U46" s="3"/>
      <c r="V46" s="3"/>
      <c r="W46" s="3"/>
    </row>
    <row r="47" spans="1:23" ht="14.4" customHeight="1" x14ac:dyDescent="0.3">
      <c r="A47" s="3"/>
      <c r="B47" s="3"/>
      <c r="C47" s="3"/>
      <c r="D47" s="3"/>
      <c r="E47" s="3"/>
      <c r="F47" s="73"/>
      <c r="G47" s="73"/>
      <c r="H47" s="73"/>
      <c r="I47" s="73"/>
      <c r="J47" s="73"/>
      <c r="K47" s="15"/>
      <c r="L47" s="15"/>
      <c r="M47" s="15"/>
      <c r="N47" s="15"/>
      <c r="O47" s="15"/>
      <c r="P47" s="15"/>
      <c r="Q47" s="3"/>
      <c r="R47" s="3"/>
      <c r="S47" s="3"/>
      <c r="T47" s="3"/>
      <c r="U47" s="3"/>
      <c r="V47" s="3"/>
      <c r="W47" s="3"/>
    </row>
    <row r="48" spans="1:23" ht="14.4" customHeight="1" x14ac:dyDescent="0.3">
      <c r="A48" s="3"/>
      <c r="B48" s="3"/>
      <c r="C48" s="3"/>
      <c r="D48" s="3"/>
      <c r="E48" s="3"/>
      <c r="F48" s="73"/>
      <c r="G48" s="73"/>
      <c r="H48" s="73"/>
      <c r="I48" s="73"/>
      <c r="J48" s="73"/>
      <c r="K48" s="15"/>
      <c r="L48" s="15"/>
      <c r="M48" s="15"/>
      <c r="N48" s="15"/>
      <c r="O48" s="15"/>
      <c r="P48" s="15"/>
      <c r="Q48" s="3"/>
      <c r="R48" s="3"/>
      <c r="S48" s="3"/>
      <c r="T48" s="3"/>
      <c r="U48" s="3"/>
      <c r="V48" s="3"/>
      <c r="W48" s="3"/>
    </row>
    <row r="49" spans="1:23" ht="36.6" customHeight="1" x14ac:dyDescent="0.3">
      <c r="A49" s="3"/>
      <c r="B49" s="3"/>
      <c r="C49" s="3"/>
      <c r="D49" s="3"/>
      <c r="E49" s="3"/>
      <c r="F49" s="73"/>
      <c r="G49" s="73"/>
      <c r="H49" s="73"/>
      <c r="I49" s="73"/>
      <c r="J49" s="73"/>
      <c r="K49" s="15"/>
      <c r="L49" s="15"/>
      <c r="M49" s="15"/>
      <c r="N49" s="15"/>
      <c r="O49" s="15"/>
      <c r="P49" s="15"/>
      <c r="Q49" s="3"/>
      <c r="R49" s="3"/>
      <c r="S49" s="3"/>
      <c r="T49" s="3"/>
      <c r="U49" s="3"/>
      <c r="V49" s="3"/>
      <c r="W49" s="3"/>
    </row>
    <row r="50" spans="1:23" ht="14.4" customHeight="1" x14ac:dyDescent="0.3">
      <c r="A50" s="3"/>
      <c r="B50" s="3"/>
      <c r="C50" s="3"/>
      <c r="D50" s="3"/>
      <c r="E50" s="3"/>
      <c r="F50" s="3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3"/>
      <c r="R50" s="3"/>
      <c r="S50" s="3"/>
      <c r="T50" s="3"/>
      <c r="U50" s="3"/>
      <c r="V50" s="3"/>
      <c r="W50" s="3"/>
    </row>
    <row r="51" spans="1:23" ht="14.4" customHeight="1" x14ac:dyDescent="0.3">
      <c r="A51" s="3"/>
      <c r="B51" s="3"/>
      <c r="C51" s="3"/>
      <c r="D51" s="3"/>
      <c r="E51" s="3"/>
      <c r="F51" s="3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3"/>
      <c r="R51" s="3"/>
      <c r="S51" s="3"/>
      <c r="T51" s="3"/>
      <c r="U51" s="3"/>
      <c r="V51" s="3"/>
      <c r="W51" s="3"/>
    </row>
    <row r="52" spans="1:23" ht="14.4" customHeight="1" x14ac:dyDescent="0.3">
      <c r="A52" s="3"/>
      <c r="B52" s="3"/>
      <c r="C52" s="3"/>
      <c r="D52" s="3"/>
      <c r="E52" s="3"/>
      <c r="F52" s="3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3"/>
      <c r="R52" s="3"/>
      <c r="S52" s="3"/>
      <c r="T52" s="3"/>
      <c r="U52" s="3"/>
      <c r="V52" s="3"/>
      <c r="W52" s="3"/>
    </row>
    <row r="53" spans="1:23" ht="14.4" customHeight="1" x14ac:dyDescent="0.3">
      <c r="A53" s="3"/>
      <c r="B53" s="3"/>
      <c r="C53" s="3"/>
      <c r="D53" s="3"/>
      <c r="E53" s="3"/>
      <c r="F53" s="3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3"/>
      <c r="R53" s="3"/>
      <c r="S53" s="3"/>
      <c r="T53" s="3"/>
      <c r="U53" s="3"/>
      <c r="V53" s="3"/>
      <c r="W53" s="3"/>
    </row>
    <row r="54" spans="1:23" ht="14.4" customHeight="1" x14ac:dyDescent="0.3">
      <c r="A54" s="3"/>
      <c r="B54" s="3"/>
      <c r="C54" s="3"/>
      <c r="D54" s="3"/>
      <c r="E54" s="3"/>
      <c r="F54" s="3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3"/>
      <c r="R54" s="3"/>
      <c r="S54" s="3"/>
      <c r="T54" s="3"/>
      <c r="U54" s="3"/>
      <c r="V54" s="3"/>
      <c r="W54" s="3"/>
    </row>
    <row r="55" spans="1:23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</sheetData>
  <mergeCells count="56">
    <mergeCell ref="A1:D1"/>
    <mergeCell ref="A2:D2"/>
    <mergeCell ref="A3:D3"/>
    <mergeCell ref="H30:I30"/>
    <mergeCell ref="A22:B22"/>
    <mergeCell ref="E3:N3"/>
    <mergeCell ref="E4:N4"/>
    <mergeCell ref="F7:F8"/>
    <mergeCell ref="G7:G8"/>
    <mergeCell ref="H7:H8"/>
    <mergeCell ref="F9:F10"/>
    <mergeCell ref="G9:G10"/>
    <mergeCell ref="H9:H10"/>
    <mergeCell ref="F11:F12"/>
    <mergeCell ref="G11:G12"/>
    <mergeCell ref="H11:H12"/>
    <mergeCell ref="F13:F14"/>
    <mergeCell ref="G13:G14"/>
    <mergeCell ref="H13:H14"/>
    <mergeCell ref="F15:F16"/>
    <mergeCell ref="G15:G16"/>
    <mergeCell ref="H15:H16"/>
    <mergeCell ref="G17:G18"/>
    <mergeCell ref="H17:H18"/>
    <mergeCell ref="F19:F20"/>
    <mergeCell ref="G19:G20"/>
    <mergeCell ref="H19:H20"/>
    <mergeCell ref="F25:F26"/>
    <mergeCell ref="G25:G26"/>
    <mergeCell ref="H25:H26"/>
    <mergeCell ref="K15:L17"/>
    <mergeCell ref="N15:N17"/>
    <mergeCell ref="K18:L18"/>
    <mergeCell ref="K20:N23"/>
    <mergeCell ref="K24:N24"/>
    <mergeCell ref="K26:L27"/>
    <mergeCell ref="F21:F22"/>
    <mergeCell ref="G21:G22"/>
    <mergeCell ref="H21:H22"/>
    <mergeCell ref="F23:F24"/>
    <mergeCell ref="G23:G24"/>
    <mergeCell ref="H23:H24"/>
    <mergeCell ref="F17:F18"/>
    <mergeCell ref="F42:J49"/>
    <mergeCell ref="N29:Q31"/>
    <mergeCell ref="N32:O32"/>
    <mergeCell ref="P32:Q32"/>
    <mergeCell ref="N34:O36"/>
    <mergeCell ref="N37:O37"/>
    <mergeCell ref="I38:J38"/>
    <mergeCell ref="B30:C32"/>
    <mergeCell ref="B38:C40"/>
    <mergeCell ref="A34:C36"/>
    <mergeCell ref="K28:L28"/>
    <mergeCell ref="K30:L32"/>
    <mergeCell ref="K33:L3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"/>
  <sheetViews>
    <sheetView topLeftCell="A66" workbookViewId="0">
      <selection activeCell="L76" sqref="L76"/>
    </sheetView>
  </sheetViews>
  <sheetFormatPr defaultRowHeight="14.4" x14ac:dyDescent="0.3"/>
  <cols>
    <col min="3" max="3" width="14.109375" customWidth="1"/>
    <col min="4" max="4" width="14.44140625" customWidth="1"/>
    <col min="5" max="5" width="12" customWidth="1"/>
    <col min="6" max="6" width="11.88671875" customWidth="1"/>
    <col min="7" max="7" width="9.5546875" customWidth="1"/>
    <col min="8" max="8" width="10.21875" customWidth="1"/>
    <col min="9" max="9" width="10.44140625" customWidth="1"/>
    <col min="10" max="10" width="8.88671875" customWidth="1"/>
    <col min="11" max="11" width="10" customWidth="1"/>
    <col min="12" max="12" width="11.44140625" customWidth="1"/>
    <col min="13" max="13" width="10.6640625" customWidth="1"/>
    <col min="14" max="14" width="12.5546875" customWidth="1"/>
    <col min="15" max="15" width="10.88671875" customWidth="1"/>
    <col min="16" max="16" width="10.77734375" customWidth="1"/>
    <col min="20" max="20" width="10.33203125" customWidth="1"/>
  </cols>
  <sheetData>
    <row r="1" spans="1:23" x14ac:dyDescent="0.3">
      <c r="A1" s="49" t="s">
        <v>0</v>
      </c>
      <c r="B1" s="49"/>
      <c r="C1" s="49"/>
      <c r="D1" s="49"/>
      <c r="F1" s="45">
        <v>45043</v>
      </c>
    </row>
    <row r="2" spans="1:23" x14ac:dyDescent="0.3">
      <c r="A2" s="49" t="s">
        <v>2</v>
      </c>
      <c r="B2" s="49"/>
      <c r="C2" s="49"/>
      <c r="D2" s="49"/>
    </row>
    <row r="3" spans="1:23" x14ac:dyDescent="0.3">
      <c r="A3" s="49" t="s">
        <v>1</v>
      </c>
      <c r="B3" s="49"/>
      <c r="C3" s="49"/>
      <c r="D3" s="49"/>
    </row>
    <row r="4" spans="1:23" x14ac:dyDescent="0.3">
      <c r="A4" s="3"/>
      <c r="B4" s="3"/>
      <c r="C4" s="3"/>
      <c r="D4" s="83" t="s">
        <v>78</v>
      </c>
      <c r="E4" s="48" t="s">
        <v>69</v>
      </c>
      <c r="F4" s="48"/>
      <c r="G4" s="48"/>
      <c r="H4" s="48"/>
      <c r="I4" s="48"/>
      <c r="J4" s="48"/>
      <c r="K4" s="48"/>
      <c r="L4" s="48"/>
      <c r="M4" s="48"/>
      <c r="N4" s="48"/>
      <c r="O4" s="3"/>
      <c r="P4" s="3"/>
      <c r="Q4" s="3"/>
      <c r="R4" s="3"/>
      <c r="S4" s="3"/>
      <c r="T4" s="3"/>
      <c r="U4" s="3"/>
      <c r="V4" s="3"/>
      <c r="W4" s="3"/>
    </row>
    <row r="5" spans="1:23" x14ac:dyDescent="0.3">
      <c r="A5" s="3"/>
      <c r="B5" s="39" t="s">
        <v>28</v>
      </c>
      <c r="C5" s="40">
        <v>0.05</v>
      </c>
      <c r="D5" s="83"/>
      <c r="E5" s="80" t="s">
        <v>70</v>
      </c>
      <c r="F5" s="81"/>
      <c r="G5" s="81"/>
      <c r="H5" s="81"/>
      <c r="I5" s="81"/>
      <c r="J5" s="81"/>
      <c r="K5" s="81"/>
      <c r="L5" s="81"/>
      <c r="M5" s="81"/>
      <c r="N5" s="82"/>
      <c r="O5" s="3"/>
      <c r="P5" s="3"/>
      <c r="Q5" s="3"/>
      <c r="R5" s="3"/>
      <c r="S5" s="3"/>
      <c r="T5" s="3"/>
      <c r="U5" s="3"/>
      <c r="V5" s="3"/>
      <c r="W5" s="3"/>
    </row>
    <row r="6" spans="1:23" x14ac:dyDescent="0.3">
      <c r="A6" s="3"/>
      <c r="B6" s="3"/>
      <c r="C6" s="3"/>
      <c r="D6" s="84" t="s">
        <v>79</v>
      </c>
      <c r="E6" s="48" t="s">
        <v>74</v>
      </c>
      <c r="F6" s="48"/>
      <c r="G6" s="48"/>
      <c r="H6" s="48"/>
      <c r="I6" s="48"/>
      <c r="J6" s="48"/>
      <c r="K6" s="48"/>
      <c r="L6" s="48"/>
      <c r="M6" s="48"/>
      <c r="N6" s="48"/>
      <c r="O6" s="3"/>
      <c r="P6" s="3"/>
      <c r="Q6" s="3"/>
      <c r="R6" s="3"/>
      <c r="S6" s="3"/>
      <c r="T6" s="3"/>
      <c r="U6" s="3"/>
      <c r="V6" s="3"/>
      <c r="W6" s="3"/>
    </row>
    <row r="7" spans="1:23" ht="30" customHeight="1" x14ac:dyDescent="0.3">
      <c r="A7" s="24"/>
      <c r="B7" s="25" t="s">
        <v>23</v>
      </c>
      <c r="C7" s="28" t="s">
        <v>81</v>
      </c>
      <c r="D7" s="84"/>
      <c r="E7" s="80" t="s">
        <v>75</v>
      </c>
      <c r="F7" s="81"/>
      <c r="G7" s="81"/>
      <c r="H7" s="81"/>
      <c r="I7" s="81"/>
      <c r="J7" s="81"/>
      <c r="K7" s="81"/>
      <c r="L7" s="81"/>
      <c r="M7" s="81"/>
      <c r="N7" s="82"/>
      <c r="O7" s="3"/>
      <c r="P7" s="3"/>
      <c r="Q7" s="3"/>
      <c r="R7" s="3"/>
      <c r="S7" s="3"/>
      <c r="T7" s="3"/>
      <c r="U7" s="3"/>
      <c r="V7" s="3"/>
      <c r="W7" s="3"/>
    </row>
    <row r="8" spans="1:23" x14ac:dyDescent="0.3">
      <c r="A8" s="19">
        <v>1</v>
      </c>
      <c r="B8" s="19">
        <v>16.7</v>
      </c>
      <c r="C8" s="21">
        <v>-27.2</v>
      </c>
      <c r="D8" s="84" t="s">
        <v>80</v>
      </c>
      <c r="E8" s="48" t="s">
        <v>67</v>
      </c>
      <c r="F8" s="48"/>
      <c r="G8" s="48"/>
      <c r="H8" s="48"/>
      <c r="I8" s="48"/>
      <c r="J8" s="48"/>
      <c r="K8" s="48"/>
      <c r="L8" s="48"/>
      <c r="M8" s="48"/>
      <c r="N8" s="48"/>
      <c r="O8" s="3"/>
      <c r="P8" s="3"/>
      <c r="Q8" s="3"/>
      <c r="R8" s="3"/>
      <c r="S8" s="3"/>
      <c r="T8" s="3"/>
      <c r="U8" s="3"/>
      <c r="V8" s="3"/>
      <c r="W8" s="3"/>
    </row>
    <row r="9" spans="1:23" x14ac:dyDescent="0.3">
      <c r="A9" s="19">
        <v>2</v>
      </c>
      <c r="B9" s="19">
        <v>-8</v>
      </c>
      <c r="C9" s="19">
        <v>-21.3</v>
      </c>
      <c r="D9" s="84"/>
      <c r="E9" s="80" t="s">
        <v>68</v>
      </c>
      <c r="F9" s="81"/>
      <c r="G9" s="81"/>
      <c r="H9" s="81"/>
      <c r="I9" s="81"/>
      <c r="J9" s="81"/>
      <c r="K9" s="81"/>
      <c r="L9" s="81"/>
      <c r="M9" s="81"/>
      <c r="N9" s="82"/>
      <c r="O9" s="3"/>
      <c r="P9" s="3"/>
      <c r="Q9" s="3"/>
      <c r="R9" s="3"/>
      <c r="S9" s="3"/>
      <c r="T9" s="3"/>
      <c r="U9" s="3"/>
      <c r="V9" s="3"/>
      <c r="W9" s="3"/>
    </row>
    <row r="10" spans="1:23" ht="19.2" customHeight="1" x14ac:dyDescent="0.3">
      <c r="A10" s="19">
        <v>3</v>
      </c>
      <c r="B10" s="19">
        <v>15.2</v>
      </c>
      <c r="C10" s="21">
        <v>-19.399999999999999</v>
      </c>
      <c r="D10" s="3"/>
      <c r="E10" s="71"/>
      <c r="F10" s="71"/>
      <c r="G10" s="3"/>
      <c r="H10" s="3"/>
      <c r="I10" s="3"/>
      <c r="J10" s="3"/>
      <c r="K10" s="71"/>
      <c r="L10" s="71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20.399999999999999" customHeight="1" x14ac:dyDescent="0.3">
      <c r="A11" s="19">
        <v>4</v>
      </c>
      <c r="B11" s="19">
        <v>19</v>
      </c>
      <c r="C11" s="19">
        <v>-18.5</v>
      </c>
      <c r="D11" s="3"/>
      <c r="E11" s="72"/>
      <c r="F11" s="72"/>
      <c r="G11" s="3"/>
      <c r="H11" s="4"/>
      <c r="I11" s="4"/>
      <c r="J11" s="3"/>
      <c r="K11" s="47"/>
      <c r="L11" s="47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.6" x14ac:dyDescent="0.3">
      <c r="A12" s="19">
        <v>5</v>
      </c>
      <c r="B12" s="19">
        <v>14</v>
      </c>
      <c r="C12" s="21">
        <v>-14.3</v>
      </c>
      <c r="D12" s="3"/>
      <c r="E12" s="29" t="s">
        <v>32</v>
      </c>
      <c r="F12" s="29">
        <f>ROUND(1+3.332*LOG10(B108),0)</f>
        <v>8</v>
      </c>
      <c r="G12" s="46" t="s">
        <v>29</v>
      </c>
      <c r="H12" s="46">
        <f>C8</f>
        <v>-27.2</v>
      </c>
      <c r="I12" s="29" t="s">
        <v>30</v>
      </c>
      <c r="J12" s="29">
        <f>(C107-C8)/F12</f>
        <v>9.7375000000000007</v>
      </c>
      <c r="K12" s="29" t="s">
        <v>33</v>
      </c>
      <c r="L12" s="29">
        <f>H12-J12/2</f>
        <v>-32.068750000000001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">
      <c r="A13" s="19">
        <v>6</v>
      </c>
      <c r="B13" s="19">
        <v>21.4</v>
      </c>
      <c r="C13" s="19">
        <v>-9.1</v>
      </c>
      <c r="D13" s="78" t="s">
        <v>82</v>
      </c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">
      <c r="A14" s="19">
        <v>7</v>
      </c>
      <c r="B14" s="19">
        <v>43.3</v>
      </c>
      <c r="C14" s="19">
        <v>-8.3000000000000007</v>
      </c>
      <c r="D14" s="3"/>
      <c r="F14" s="3"/>
      <c r="G14" s="3"/>
      <c r="H14" s="4"/>
      <c r="I14" s="4"/>
      <c r="J14" s="3"/>
      <c r="K14" s="3"/>
      <c r="L14" s="3"/>
      <c r="M14" s="3"/>
      <c r="N14" s="8"/>
      <c r="O14" s="8"/>
      <c r="P14" s="8"/>
      <c r="Q14" s="3"/>
      <c r="R14" s="3"/>
      <c r="S14" s="3"/>
      <c r="T14" s="3"/>
      <c r="U14" s="3"/>
      <c r="V14" s="3"/>
      <c r="W14" s="3"/>
    </row>
    <row r="15" spans="1:23" ht="31.2" customHeight="1" x14ac:dyDescent="0.3">
      <c r="A15" s="19">
        <v>8</v>
      </c>
      <c r="B15" s="19">
        <v>4.7</v>
      </c>
      <c r="C15" s="19">
        <v>-8.3000000000000007</v>
      </c>
      <c r="D15" s="3"/>
      <c r="E15" s="28" t="s">
        <v>36</v>
      </c>
      <c r="F15" s="28" t="s">
        <v>37</v>
      </c>
      <c r="G15" s="25" t="s">
        <v>34</v>
      </c>
      <c r="H15" s="91" t="s">
        <v>83</v>
      </c>
      <c r="I15" s="25" t="s">
        <v>35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">
      <c r="A16" s="19">
        <v>9</v>
      </c>
      <c r="B16" s="19">
        <v>14.5</v>
      </c>
      <c r="C16" s="19">
        <v>-8</v>
      </c>
      <c r="D16" s="3"/>
      <c r="E16" s="19">
        <f>H12</f>
        <v>-27.2</v>
      </c>
      <c r="F16" s="19">
        <f>AVERAGE(E16:E17)</f>
        <v>-22.331249999999997</v>
      </c>
      <c r="G16" s="21">
        <f>COUNT(C8:C11)</f>
        <v>4</v>
      </c>
      <c r="H16" s="21">
        <f>G16/$G$24</f>
        <v>0.04</v>
      </c>
      <c r="I16" s="20">
        <f>F16*G16</f>
        <v>-89.324999999999989</v>
      </c>
      <c r="J16" s="4"/>
      <c r="K16" s="3"/>
      <c r="L16" s="3"/>
      <c r="M16" s="3"/>
      <c r="N16" s="26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">
      <c r="A17" s="19">
        <v>10</v>
      </c>
      <c r="B17" s="19">
        <v>50.7</v>
      </c>
      <c r="C17" s="21">
        <v>-7.5</v>
      </c>
      <c r="D17" s="3"/>
      <c r="E17" s="19">
        <f t="shared" ref="E17:E24" si="0">E16+$J$12</f>
        <v>-17.462499999999999</v>
      </c>
      <c r="F17" s="19">
        <f t="shared" ref="F17:F23" si="1">AVERAGE(E17:E18)</f>
        <v>-12.593749999999998</v>
      </c>
      <c r="G17" s="21">
        <f>COUNT(C12:C16)</f>
        <v>5</v>
      </c>
      <c r="H17" s="21">
        <f t="shared" ref="H17:H23" si="2">G17/$G$24</f>
        <v>0.05</v>
      </c>
      <c r="I17" s="20">
        <f t="shared" ref="I17:I23" si="3">F17*G17</f>
        <v>-62.968749999999993</v>
      </c>
      <c r="J17" s="4"/>
      <c r="K17" s="50"/>
      <c r="L17" s="51"/>
      <c r="M17" s="3"/>
      <c r="N17" s="64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">
      <c r="A18" s="19">
        <v>11</v>
      </c>
      <c r="B18" s="19">
        <v>0.7</v>
      </c>
      <c r="C18" s="21">
        <v>-4.5</v>
      </c>
      <c r="D18" s="3"/>
      <c r="E18" s="19">
        <f t="shared" si="0"/>
        <v>-7.7249999999999979</v>
      </c>
      <c r="F18" s="19">
        <f t="shared" si="1"/>
        <v>-2.8562499999999975</v>
      </c>
      <c r="G18" s="21">
        <f>COUNT(C17:C32)</f>
        <v>16</v>
      </c>
      <c r="H18" s="21">
        <f t="shared" si="2"/>
        <v>0.16</v>
      </c>
      <c r="I18" s="20">
        <f t="shared" si="3"/>
        <v>-45.69999999999996</v>
      </c>
      <c r="J18" s="4"/>
      <c r="K18" s="52"/>
      <c r="L18" s="53"/>
      <c r="M18" s="3"/>
      <c r="N18" s="75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">
      <c r="A19" s="19">
        <v>12</v>
      </c>
      <c r="B19" s="19">
        <v>-1.4</v>
      </c>
      <c r="C19" s="21">
        <v>-3.9</v>
      </c>
      <c r="D19" s="3"/>
      <c r="E19" s="19">
        <f t="shared" si="0"/>
        <v>2.0125000000000028</v>
      </c>
      <c r="F19" s="19">
        <f t="shared" si="1"/>
        <v>6.8812500000000032</v>
      </c>
      <c r="G19" s="21">
        <f>COUNT(C33:C54)</f>
        <v>22</v>
      </c>
      <c r="H19" s="21">
        <f t="shared" si="2"/>
        <v>0.22</v>
      </c>
      <c r="I19" s="20">
        <f t="shared" si="3"/>
        <v>151.38750000000007</v>
      </c>
      <c r="J19" s="4"/>
      <c r="K19" s="54"/>
      <c r="L19" s="55"/>
      <c r="M19" s="3"/>
      <c r="N19" s="65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">
      <c r="A20" s="19">
        <v>13</v>
      </c>
      <c r="B20" s="19">
        <v>32.1</v>
      </c>
      <c r="C20" s="21">
        <v>-3.7</v>
      </c>
      <c r="D20" s="3"/>
      <c r="E20" s="19">
        <f t="shared" si="0"/>
        <v>11.750000000000004</v>
      </c>
      <c r="F20" s="19">
        <f t="shared" si="1"/>
        <v>16.618750000000006</v>
      </c>
      <c r="G20" s="21">
        <f>COUNT(C55:C77)</f>
        <v>23</v>
      </c>
      <c r="H20" s="21">
        <f t="shared" si="2"/>
        <v>0.23</v>
      </c>
      <c r="I20" s="20">
        <f t="shared" si="3"/>
        <v>382.23125000000016</v>
      </c>
      <c r="J20" s="4"/>
      <c r="K20" s="70">
        <f>SUM(I16:I23)/G24</f>
        <v>12.821125000000004</v>
      </c>
      <c r="L20" s="70"/>
      <c r="M20" s="3"/>
      <c r="N20" s="30">
        <f>1/K20</f>
        <v>7.799627567783636E-2</v>
      </c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">
      <c r="A21" s="19">
        <v>14</v>
      </c>
      <c r="B21" s="19">
        <v>-0.5</v>
      </c>
      <c r="C21" s="21">
        <v>-2.8</v>
      </c>
      <c r="D21" s="3"/>
      <c r="E21" s="19">
        <f t="shared" si="0"/>
        <v>21.487500000000004</v>
      </c>
      <c r="F21" s="19">
        <f t="shared" si="1"/>
        <v>26.356250000000003</v>
      </c>
      <c r="G21" s="21">
        <f>COUNT(C78:C95)</f>
        <v>18</v>
      </c>
      <c r="H21" s="21">
        <f t="shared" si="2"/>
        <v>0.18</v>
      </c>
      <c r="I21" s="20">
        <f t="shared" si="3"/>
        <v>474.41250000000002</v>
      </c>
      <c r="J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">
      <c r="A22" s="19">
        <v>15</v>
      </c>
      <c r="B22" s="19">
        <v>-9.1</v>
      </c>
      <c r="C22" s="21">
        <v>-2.4</v>
      </c>
      <c r="D22" s="3"/>
      <c r="E22" s="19">
        <f t="shared" si="0"/>
        <v>31.225000000000005</v>
      </c>
      <c r="F22" s="19">
        <f t="shared" si="1"/>
        <v>36.093750000000007</v>
      </c>
      <c r="G22" s="21">
        <f>COUNT(C96:C103)</f>
        <v>8</v>
      </c>
      <c r="H22" s="21">
        <f t="shared" si="2"/>
        <v>0.08</v>
      </c>
      <c r="I22" s="20">
        <f t="shared" si="3"/>
        <v>288.75000000000006</v>
      </c>
      <c r="J22" s="3"/>
      <c r="K22" s="66"/>
      <c r="L22" s="66"/>
      <c r="M22" s="66"/>
      <c r="N22" s="66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3">
      <c r="A23" s="19">
        <v>16</v>
      </c>
      <c r="B23" s="19">
        <v>-18.5</v>
      </c>
      <c r="C23" s="19">
        <v>-1.4</v>
      </c>
      <c r="D23" s="3"/>
      <c r="E23" s="19">
        <f t="shared" si="0"/>
        <v>40.962500000000006</v>
      </c>
      <c r="F23" s="19">
        <f>AVERAGE(E23:E24)</f>
        <v>45.831250000000004</v>
      </c>
      <c r="G23" s="21">
        <f>COUNT(C104:C107)</f>
        <v>4</v>
      </c>
      <c r="H23" s="21">
        <f t="shared" si="2"/>
        <v>0.04</v>
      </c>
      <c r="I23" s="20">
        <f t="shared" si="3"/>
        <v>183.32500000000002</v>
      </c>
      <c r="J23" s="3"/>
      <c r="K23" s="66"/>
      <c r="L23" s="66"/>
      <c r="M23" s="66"/>
      <c r="N23" s="66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">
      <c r="A24" s="19">
        <v>17</v>
      </c>
      <c r="B24" s="20">
        <v>22.1</v>
      </c>
      <c r="C24" s="21">
        <v>-1.3</v>
      </c>
      <c r="D24" s="3"/>
      <c r="E24" s="19">
        <f t="shared" si="0"/>
        <v>50.7</v>
      </c>
      <c r="F24" s="3"/>
      <c r="G24" s="92">
        <f>SUM(G16:G23)</f>
        <v>100</v>
      </c>
      <c r="H24" s="92">
        <f>SUM(H16:H23)</f>
        <v>0.99999999999999989</v>
      </c>
      <c r="I24" s="4"/>
      <c r="J24" s="3"/>
      <c r="K24" s="66"/>
      <c r="L24" s="66"/>
      <c r="M24" s="66"/>
      <c r="N24" s="66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">
      <c r="A25" s="19">
        <v>18</v>
      </c>
      <c r="B25" s="19">
        <v>0.5</v>
      </c>
      <c r="C25" s="21">
        <v>-0.9</v>
      </c>
      <c r="D25" s="3"/>
      <c r="E25" s="3"/>
      <c r="F25" s="3"/>
      <c r="G25" s="3"/>
      <c r="H25" s="4"/>
      <c r="I25" s="4"/>
      <c r="J25" s="3"/>
      <c r="K25" s="66"/>
      <c r="L25" s="66"/>
      <c r="M25" s="66"/>
      <c r="N25" s="66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3">
      <c r="A26" s="19">
        <v>19</v>
      </c>
      <c r="B26" s="19">
        <v>17.2</v>
      </c>
      <c r="C26" s="19">
        <v>-0.5</v>
      </c>
      <c r="D26" s="3"/>
      <c r="E26" s="3"/>
      <c r="F26" s="3"/>
      <c r="G26" s="3"/>
      <c r="H26" s="4"/>
      <c r="I26" s="4"/>
      <c r="J26" s="3"/>
      <c r="K26" s="67">
        <f>O38</f>
        <v>252.01917092187506</v>
      </c>
      <c r="L26" s="67"/>
      <c r="M26" s="67"/>
      <c r="N26" s="67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">
      <c r="A27" s="19">
        <v>20</v>
      </c>
      <c r="B27" s="19">
        <v>4.3</v>
      </c>
      <c r="C27" s="19">
        <v>-0.5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6.2" x14ac:dyDescent="0.3">
      <c r="A28" s="19">
        <v>21</v>
      </c>
      <c r="B28" s="19">
        <v>10.3</v>
      </c>
      <c r="C28" s="19">
        <v>0.5</v>
      </c>
      <c r="D28" s="93" t="s">
        <v>78</v>
      </c>
      <c r="E28" s="25" t="s">
        <v>59</v>
      </c>
      <c r="F28" s="25" t="s">
        <v>53</v>
      </c>
      <c r="G28" s="25" t="s">
        <v>54</v>
      </c>
      <c r="H28" s="25" t="s">
        <v>55</v>
      </c>
      <c r="I28" s="25" t="s">
        <v>56</v>
      </c>
      <c r="J28" s="3"/>
      <c r="K28" s="66"/>
      <c r="L28" s="66"/>
      <c r="M28" s="3"/>
      <c r="N28" s="23" t="s">
        <v>40</v>
      </c>
      <c r="O28" s="23" t="s">
        <v>41</v>
      </c>
      <c r="P28" s="3"/>
      <c r="Q28" s="3"/>
      <c r="R28" s="3"/>
      <c r="S28" s="3"/>
      <c r="T28" s="3"/>
      <c r="U28" s="3"/>
      <c r="V28" s="3"/>
      <c r="W28" s="3"/>
    </row>
    <row r="29" spans="1:23" x14ac:dyDescent="0.3">
      <c r="A29" s="19">
        <v>22</v>
      </c>
      <c r="B29" s="19">
        <v>12.4</v>
      </c>
      <c r="C29" s="19">
        <v>0.7</v>
      </c>
      <c r="D29" s="93"/>
      <c r="E29" s="20">
        <f>EXP(-$N$20*E16)-EXP(-$N$20*E17)</f>
        <v>4.4396003257051042</v>
      </c>
      <c r="F29" s="19">
        <f>$G$24*E29</f>
        <v>443.96003257051041</v>
      </c>
      <c r="G29" s="19">
        <f>G16-F29</f>
        <v>-439.96003257051041</v>
      </c>
      <c r="H29" s="19">
        <f>G29*G29</f>
        <v>193564.83025944457</v>
      </c>
      <c r="I29" s="19">
        <f>H29/F29</f>
        <v>435.9960718506847</v>
      </c>
      <c r="J29" s="3"/>
      <c r="K29" s="66"/>
      <c r="L29" s="66"/>
      <c r="M29" s="3"/>
      <c r="N29" s="19">
        <f>ABS(F16-$K$20)</f>
        <v>35.152374999999999</v>
      </c>
      <c r="O29" s="19">
        <f>N29*N29*G16</f>
        <v>4942.7578725624999</v>
      </c>
      <c r="P29" s="3"/>
      <c r="Q29" s="3"/>
      <c r="R29" s="3"/>
      <c r="S29" s="3"/>
      <c r="T29" s="3"/>
      <c r="U29" s="3"/>
      <c r="V29" s="3"/>
      <c r="W29" s="3"/>
    </row>
    <row r="30" spans="1:23" x14ac:dyDescent="0.3">
      <c r="A30" s="19">
        <v>23</v>
      </c>
      <c r="B30" s="19">
        <v>25.9</v>
      </c>
      <c r="C30" s="19">
        <v>0.7</v>
      </c>
      <c r="D30" s="3"/>
      <c r="E30" s="20">
        <f t="shared" ref="E30:E38" si="4">EXP(-$N$20*E17)-EXP(-$N$20*E18)</f>
        <v>2.077313809287904</v>
      </c>
      <c r="F30" s="19">
        <f t="shared" ref="F30:F36" si="5">$G$24*E30</f>
        <v>207.7313809287904</v>
      </c>
      <c r="G30" s="19">
        <f t="shared" ref="G30:G36" si="6">G17-F30</f>
        <v>-202.7313809287904</v>
      </c>
      <c r="H30" s="19">
        <f t="shared" ref="H30:H38" si="7">G30*G30</f>
        <v>41100.012813294321</v>
      </c>
      <c r="I30" s="19">
        <f t="shared" ref="I30:I38" si="8">H30/F30</f>
        <v>197.85172865809457</v>
      </c>
      <c r="J30" s="3"/>
      <c r="K30" s="67">
        <f>SQRT(K26)</f>
        <v>15.875111682185894</v>
      </c>
      <c r="L30" s="67"/>
      <c r="M30" s="3"/>
      <c r="N30" s="19">
        <f t="shared" ref="N30:N36" si="9">ABS(F17-$K$20)</f>
        <v>25.414875000000002</v>
      </c>
      <c r="O30" s="19">
        <f t="shared" ref="O30:O36" si="10">N30*N30*G17</f>
        <v>3229.5793563281259</v>
      </c>
      <c r="P30" s="3"/>
      <c r="Q30" s="3"/>
      <c r="R30" s="3"/>
      <c r="S30" s="3"/>
      <c r="T30" s="3"/>
      <c r="U30" s="3"/>
      <c r="V30" s="3"/>
      <c r="W30" s="3"/>
    </row>
    <row r="31" spans="1:23" x14ac:dyDescent="0.3">
      <c r="A31" s="19">
        <v>24</v>
      </c>
      <c r="B31" s="19">
        <v>27.9</v>
      </c>
      <c r="C31" s="21">
        <v>0.9</v>
      </c>
      <c r="D31" s="3"/>
      <c r="E31" s="20">
        <f t="shared" si="4"/>
        <v>0.97198674332759216</v>
      </c>
      <c r="F31" s="19">
        <f t="shared" si="5"/>
        <v>97.198674332759211</v>
      </c>
      <c r="G31" s="19">
        <f t="shared" si="6"/>
        <v>-81.198674332759211</v>
      </c>
      <c r="H31" s="19">
        <f t="shared" si="7"/>
        <v>6593.2247133974897</v>
      </c>
      <c r="I31" s="19">
        <f t="shared" si="8"/>
        <v>67.832455109682002</v>
      </c>
      <c r="J31" s="3"/>
      <c r="K31" s="3"/>
      <c r="L31" s="3"/>
      <c r="M31" s="3"/>
      <c r="N31" s="19">
        <f t="shared" si="9"/>
        <v>15.677375000000001</v>
      </c>
      <c r="O31" s="19">
        <f t="shared" si="10"/>
        <v>3932.4813902500009</v>
      </c>
      <c r="P31" s="3"/>
      <c r="Q31" s="3"/>
      <c r="R31" s="3"/>
      <c r="S31" s="3"/>
      <c r="T31" s="3"/>
      <c r="U31" s="3"/>
      <c r="V31" s="3"/>
      <c r="W31" s="3"/>
    </row>
    <row r="32" spans="1:23" x14ac:dyDescent="0.3">
      <c r="A32" s="19">
        <v>25</v>
      </c>
      <c r="B32" s="19">
        <v>19.5</v>
      </c>
      <c r="C32" s="19">
        <v>1.3</v>
      </c>
      <c r="D32" s="3"/>
      <c r="E32" s="20">
        <f t="shared" si="4"/>
        <v>0.45479803050480777</v>
      </c>
      <c r="F32" s="19">
        <f t="shared" si="5"/>
        <v>45.479803050480776</v>
      </c>
      <c r="G32" s="19">
        <f t="shared" si="6"/>
        <v>-23.479803050480776</v>
      </c>
      <c r="H32" s="19">
        <f t="shared" si="7"/>
        <v>551.30115128936632</v>
      </c>
      <c r="I32" s="19">
        <f t="shared" si="8"/>
        <v>12.121889593001182</v>
      </c>
      <c r="J32" s="3"/>
      <c r="K32" s="68"/>
      <c r="L32" s="68"/>
      <c r="M32" s="4"/>
      <c r="N32" s="19">
        <f t="shared" si="9"/>
        <v>5.9398750000000007</v>
      </c>
      <c r="O32" s="19">
        <f t="shared" si="10"/>
        <v>776.20653034375027</v>
      </c>
      <c r="P32" s="3"/>
      <c r="Q32" s="3"/>
      <c r="R32" s="3"/>
      <c r="S32" s="3"/>
      <c r="T32" s="3"/>
      <c r="U32" s="3"/>
      <c r="V32" s="3"/>
      <c r="W32" s="3"/>
    </row>
    <row r="33" spans="1:23" x14ac:dyDescent="0.3">
      <c r="A33" s="19">
        <v>26</v>
      </c>
      <c r="B33" s="19">
        <v>-8.3000000000000007</v>
      </c>
      <c r="C33" s="21">
        <v>2.2000000000000002</v>
      </c>
      <c r="D33" s="3"/>
      <c r="E33" s="20">
        <f t="shared" si="4"/>
        <v>0.21280254074549618</v>
      </c>
      <c r="F33" s="19">
        <f t="shared" si="5"/>
        <v>21.280254074549617</v>
      </c>
      <c r="G33" s="19">
        <f t="shared" si="6"/>
        <v>1.7197459254503826</v>
      </c>
      <c r="H33" s="19">
        <f t="shared" si="7"/>
        <v>2.9575260481031931</v>
      </c>
      <c r="I33" s="19">
        <f t="shared" si="8"/>
        <v>0.13897982786024546</v>
      </c>
      <c r="J33" s="3"/>
      <c r="K33" s="68"/>
      <c r="L33" s="68"/>
      <c r="M33" s="3"/>
      <c r="N33" s="19">
        <f t="shared" si="9"/>
        <v>3.7976250000000018</v>
      </c>
      <c r="O33" s="19">
        <f t="shared" si="10"/>
        <v>331.70497973437529</v>
      </c>
      <c r="P33" s="3"/>
      <c r="Q33" s="3"/>
      <c r="R33" s="3"/>
      <c r="S33" s="3"/>
      <c r="T33" s="3"/>
      <c r="U33" s="3"/>
      <c r="V33" s="3"/>
      <c r="W33" s="3"/>
    </row>
    <row r="34" spans="1:23" x14ac:dyDescent="0.3">
      <c r="A34" s="19">
        <v>27</v>
      </c>
      <c r="B34" s="19">
        <v>-0.5</v>
      </c>
      <c r="C34" s="19">
        <v>2.2999999999999998</v>
      </c>
      <c r="D34" s="3"/>
      <c r="E34" s="20">
        <f t="shared" si="4"/>
        <v>9.9571498358236282E-2</v>
      </c>
      <c r="F34" s="19">
        <f t="shared" si="5"/>
        <v>9.9571498358236283</v>
      </c>
      <c r="G34" s="19">
        <f t="shared" si="6"/>
        <v>8.0428501641763717</v>
      </c>
      <c r="H34" s="19">
        <f t="shared" si="7"/>
        <v>64.687438763391896</v>
      </c>
      <c r="I34" s="19">
        <f t="shared" si="8"/>
        <v>6.4965818361656833</v>
      </c>
      <c r="J34" s="3"/>
      <c r="K34" s="68"/>
      <c r="L34" s="68"/>
      <c r="M34" s="3"/>
      <c r="N34" s="19">
        <f t="shared" si="9"/>
        <v>13.535124999999999</v>
      </c>
      <c r="O34" s="19">
        <f t="shared" si="10"/>
        <v>3297.5929577812494</v>
      </c>
      <c r="P34" s="8"/>
      <c r="Q34" s="8"/>
      <c r="R34" s="8"/>
      <c r="S34" s="3"/>
      <c r="T34" s="3"/>
      <c r="U34" s="3"/>
      <c r="V34" s="3"/>
      <c r="W34" s="3"/>
    </row>
    <row r="35" spans="1:23" x14ac:dyDescent="0.3">
      <c r="A35" s="19">
        <v>28</v>
      </c>
      <c r="B35" s="19">
        <v>-21.3</v>
      </c>
      <c r="C35" s="21">
        <v>4</v>
      </c>
      <c r="D35" s="3"/>
      <c r="E35" s="20">
        <f t="shared" si="4"/>
        <v>4.6590060675833746E-2</v>
      </c>
      <c r="F35" s="19">
        <f t="shared" si="5"/>
        <v>4.6590060675833742</v>
      </c>
      <c r="G35" s="19">
        <f t="shared" si="6"/>
        <v>3.3409939324166258</v>
      </c>
      <c r="H35" s="19">
        <f t="shared" si="7"/>
        <v>11.162240456444708</v>
      </c>
      <c r="I35" s="19">
        <f t="shared" si="8"/>
        <v>2.3958415796257078</v>
      </c>
      <c r="J35" s="3"/>
      <c r="K35" s="56">
        <f>G24/(G24-1)*K26</f>
        <v>254.56481911300511</v>
      </c>
      <c r="L35" s="57"/>
      <c r="M35" s="3"/>
      <c r="N35" s="19">
        <f t="shared" si="9"/>
        <v>23.272625000000005</v>
      </c>
      <c r="O35" s="19">
        <f t="shared" si="10"/>
        <v>4332.9205951250015</v>
      </c>
      <c r="P35" s="3"/>
      <c r="Q35" s="3"/>
      <c r="R35" s="3"/>
      <c r="S35" s="3"/>
      <c r="T35" s="4"/>
      <c r="U35" s="12"/>
      <c r="V35" s="3"/>
      <c r="W35" s="3"/>
    </row>
    <row r="36" spans="1:23" x14ac:dyDescent="0.3">
      <c r="A36" s="19">
        <v>29</v>
      </c>
      <c r="B36" s="19">
        <v>26.9</v>
      </c>
      <c r="C36" s="19">
        <v>4.3</v>
      </c>
      <c r="D36" s="3"/>
      <c r="E36" s="20">
        <f t="shared" si="4"/>
        <v>2.1799749823673529E-2</v>
      </c>
      <c r="F36" s="19">
        <f t="shared" si="5"/>
        <v>2.1799749823673529</v>
      </c>
      <c r="G36" s="19">
        <f t="shared" si="6"/>
        <v>1.8200250176326471</v>
      </c>
      <c r="H36" s="19">
        <f t="shared" si="7"/>
        <v>3.3124910648087176</v>
      </c>
      <c r="I36" s="19">
        <f t="shared" si="8"/>
        <v>1.5195087519818711</v>
      </c>
      <c r="J36" s="3"/>
      <c r="K36" s="3"/>
      <c r="L36" s="3"/>
      <c r="M36" s="3"/>
      <c r="N36" s="19">
        <f>ABS(F23-$K$20)</f>
        <v>33.010125000000002</v>
      </c>
      <c r="O36" s="19">
        <f t="shared" si="10"/>
        <v>4358.6734100625008</v>
      </c>
      <c r="P36" s="3"/>
      <c r="Q36" s="3"/>
      <c r="R36" s="3"/>
      <c r="S36" s="3"/>
      <c r="T36" s="4"/>
      <c r="U36" s="12"/>
      <c r="V36" s="3"/>
      <c r="W36" s="3"/>
    </row>
    <row r="37" spans="1:23" ht="16.8" x14ac:dyDescent="0.35">
      <c r="A37" s="19">
        <v>30</v>
      </c>
      <c r="B37" s="19">
        <v>7.6</v>
      </c>
      <c r="C37" s="19">
        <v>4.5999999999999996</v>
      </c>
      <c r="D37" s="3"/>
      <c r="E37" s="3"/>
      <c r="F37" s="3"/>
      <c r="G37" s="6"/>
      <c r="H37" s="31" t="s">
        <v>57</v>
      </c>
      <c r="I37" s="30">
        <f>SUM(I29:I36)</f>
        <v>724.35305720709584</v>
      </c>
      <c r="J37" s="3"/>
      <c r="K37" s="30" t="s">
        <v>60</v>
      </c>
      <c r="L37" s="30">
        <f>SQRT(K35)</f>
        <v>15.955087562060106</v>
      </c>
      <c r="M37" s="3"/>
      <c r="N37" s="3"/>
      <c r="O37" s="44">
        <f>SUM(O29:O36)</f>
        <v>25201.917092187505</v>
      </c>
      <c r="P37" s="4"/>
      <c r="Q37" s="4"/>
      <c r="R37" s="4"/>
      <c r="S37" s="3"/>
      <c r="T37" s="4"/>
      <c r="U37" s="3"/>
      <c r="V37" s="3"/>
      <c r="W37" s="3"/>
    </row>
    <row r="38" spans="1:23" x14ac:dyDescent="0.3">
      <c r="A38" s="19">
        <v>31</v>
      </c>
      <c r="B38" s="19">
        <v>11.8</v>
      </c>
      <c r="C38" s="19">
        <v>4.7</v>
      </c>
      <c r="D38" s="3"/>
      <c r="E38" s="3"/>
      <c r="F38" s="3"/>
      <c r="G38" s="3"/>
      <c r="H38" s="3"/>
      <c r="I38" s="3"/>
      <c r="J38" s="4"/>
      <c r="K38" s="3"/>
      <c r="L38" s="3"/>
      <c r="M38" s="3"/>
      <c r="N38" s="30" t="s">
        <v>39</v>
      </c>
      <c r="O38" s="30">
        <f>O37/G24</f>
        <v>252.01917092187506</v>
      </c>
      <c r="P38" s="4"/>
      <c r="Q38" s="4"/>
      <c r="R38" s="4"/>
      <c r="S38" s="4"/>
      <c r="T38" s="3"/>
      <c r="U38" s="3"/>
      <c r="V38" s="3"/>
      <c r="W38" s="3"/>
    </row>
    <row r="39" spans="1:23" x14ac:dyDescent="0.3">
      <c r="A39" s="19">
        <v>32</v>
      </c>
      <c r="B39" s="19">
        <v>38.1</v>
      </c>
      <c r="C39" s="19">
        <v>4.9000000000000004</v>
      </c>
      <c r="D39" s="3"/>
      <c r="H39" s="72" t="s">
        <v>122</v>
      </c>
      <c r="I39" s="72"/>
      <c r="J39" s="6"/>
      <c r="K39" s="6"/>
      <c r="L39" s="3"/>
      <c r="M39" s="3"/>
      <c r="P39" s="6"/>
      <c r="Q39" s="6"/>
      <c r="R39" s="6"/>
      <c r="S39" s="6"/>
      <c r="T39" s="3"/>
      <c r="U39" s="3"/>
      <c r="V39" s="3"/>
      <c r="W39" s="3"/>
    </row>
    <row r="40" spans="1:23" x14ac:dyDescent="0.3">
      <c r="A40" s="19">
        <v>33</v>
      </c>
      <c r="B40" s="19">
        <v>19.2</v>
      </c>
      <c r="C40" s="21">
        <v>7.2</v>
      </c>
      <c r="D40" s="3"/>
      <c r="H40" s="30" t="s">
        <v>72</v>
      </c>
      <c r="I40" s="30">
        <f>8-2</f>
        <v>6</v>
      </c>
      <c r="J40" s="3"/>
      <c r="K40" s="50"/>
      <c r="L40" s="71"/>
      <c r="M40" s="71"/>
      <c r="N40" s="51"/>
      <c r="P40" s="3"/>
      <c r="Q40" s="3"/>
      <c r="R40" s="3"/>
      <c r="S40" s="3"/>
      <c r="T40" s="3"/>
      <c r="U40" s="3"/>
      <c r="V40" s="3"/>
      <c r="W40" s="3"/>
    </row>
    <row r="41" spans="1:23" x14ac:dyDescent="0.3">
      <c r="A41" s="19">
        <v>34</v>
      </c>
      <c r="B41" s="19">
        <v>35.299999999999997</v>
      </c>
      <c r="C41" s="19">
        <v>7.6</v>
      </c>
      <c r="D41" s="3"/>
      <c r="E41" s="3"/>
      <c r="F41" s="3"/>
      <c r="G41" s="13"/>
      <c r="H41" s="3"/>
      <c r="I41" s="3"/>
      <c r="J41" s="3"/>
      <c r="K41" s="52"/>
      <c r="L41" s="47"/>
      <c r="M41" s="47"/>
      <c r="N41" s="53"/>
      <c r="O41" s="13"/>
      <c r="P41" s="13"/>
      <c r="Q41" s="13"/>
      <c r="R41" s="13"/>
      <c r="S41" s="13"/>
      <c r="T41" s="3"/>
      <c r="U41" s="3"/>
      <c r="V41" s="3"/>
      <c r="W41" s="3"/>
    </row>
    <row r="42" spans="1:23" ht="16.8" x14ac:dyDescent="0.35">
      <c r="A42" s="19">
        <v>35</v>
      </c>
      <c r="B42" s="19">
        <v>26.2</v>
      </c>
      <c r="C42" s="21">
        <v>7.6</v>
      </c>
      <c r="D42" s="3"/>
      <c r="E42" s="32" t="s">
        <v>57</v>
      </c>
      <c r="F42" s="42">
        <f>I37</f>
        <v>724.35305720709584</v>
      </c>
      <c r="G42" s="43" t="s">
        <v>84</v>
      </c>
      <c r="H42" s="32" t="s">
        <v>58</v>
      </c>
      <c r="I42" s="41">
        <v>12.6</v>
      </c>
      <c r="J42" s="3"/>
      <c r="K42" s="54"/>
      <c r="L42" s="72"/>
      <c r="M42" s="72"/>
      <c r="N42" s="55"/>
      <c r="O42" s="13"/>
      <c r="P42" s="13"/>
      <c r="Q42" s="13"/>
      <c r="R42" s="13"/>
      <c r="S42" s="13"/>
      <c r="T42" s="3"/>
      <c r="U42" s="3"/>
      <c r="V42" s="3"/>
      <c r="W42" s="3"/>
    </row>
    <row r="43" spans="1:23" x14ac:dyDescent="0.3">
      <c r="A43" s="19">
        <v>36</v>
      </c>
      <c r="B43" s="19">
        <v>10.6</v>
      </c>
      <c r="C43" s="21">
        <v>7.6</v>
      </c>
      <c r="D43" s="3"/>
      <c r="E43" s="73" t="s">
        <v>85</v>
      </c>
      <c r="F43" s="73"/>
      <c r="G43" s="73"/>
      <c r="H43" s="73"/>
      <c r="I43" s="73"/>
      <c r="J43" s="4"/>
      <c r="K43" s="76">
        <f>K20-SQRT(3)*K30</f>
        <v>-14.675375009376191</v>
      </c>
      <c r="L43" s="77"/>
      <c r="M43" s="70">
        <f>K20+SQRT(3)*K30</f>
        <v>40.317625009376201</v>
      </c>
      <c r="N43" s="70"/>
      <c r="O43" s="13"/>
      <c r="P43" s="13"/>
      <c r="Q43" s="13"/>
      <c r="R43" s="13"/>
      <c r="S43" s="13"/>
      <c r="T43" s="3"/>
      <c r="U43" s="3"/>
      <c r="V43" s="3"/>
      <c r="W43" s="3"/>
    </row>
    <row r="44" spans="1:23" x14ac:dyDescent="0.3">
      <c r="A44" s="19">
        <v>37</v>
      </c>
      <c r="B44" s="19">
        <v>14.9</v>
      </c>
      <c r="C44" s="21">
        <v>7.8</v>
      </c>
      <c r="D44" s="3"/>
      <c r="E44" s="73"/>
      <c r="F44" s="73"/>
      <c r="G44" s="73"/>
      <c r="H44" s="73"/>
      <c r="I44" s="7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">
      <c r="A45" s="19">
        <v>38</v>
      </c>
      <c r="B45" s="19">
        <v>20.100000000000001</v>
      </c>
      <c r="C45" s="21">
        <v>8.6</v>
      </c>
      <c r="D45" s="3"/>
      <c r="E45" s="73"/>
      <c r="F45" s="73"/>
      <c r="G45" s="73"/>
      <c r="H45" s="73"/>
      <c r="I45" s="73"/>
      <c r="J45" s="3"/>
      <c r="K45" s="50"/>
      <c r="L45" s="51"/>
      <c r="M45" s="26"/>
      <c r="N45" s="26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3">
      <c r="A46" s="19">
        <v>39</v>
      </c>
      <c r="B46" s="19">
        <v>20.6</v>
      </c>
      <c r="C46" s="21">
        <v>8.8000000000000007</v>
      </c>
      <c r="D46" s="3"/>
      <c r="E46" s="73"/>
      <c r="F46" s="73"/>
      <c r="G46" s="73"/>
      <c r="H46" s="73"/>
      <c r="I46" s="73"/>
      <c r="J46" s="3"/>
      <c r="K46" s="52"/>
      <c r="L46" s="53"/>
      <c r="M46" s="3"/>
      <c r="N46" s="3"/>
      <c r="O46" s="14"/>
      <c r="P46" s="14"/>
      <c r="Q46" s="3"/>
      <c r="R46" s="3"/>
      <c r="S46" s="3"/>
      <c r="T46" s="3"/>
      <c r="U46" s="3"/>
      <c r="V46" s="3"/>
      <c r="W46" s="3"/>
    </row>
    <row r="47" spans="1:23" ht="14.4" customHeight="1" x14ac:dyDescent="0.3">
      <c r="A47" s="19">
        <v>40</v>
      </c>
      <c r="B47" s="19">
        <v>4.5999999999999996</v>
      </c>
      <c r="C47" s="21">
        <v>9.5</v>
      </c>
      <c r="D47" s="3"/>
      <c r="E47" s="73"/>
      <c r="F47" s="73"/>
      <c r="G47" s="73"/>
      <c r="H47" s="73"/>
      <c r="I47" s="73"/>
      <c r="J47" s="3"/>
      <c r="K47" s="54"/>
      <c r="L47" s="55"/>
      <c r="M47" s="3"/>
      <c r="N47" s="3"/>
      <c r="O47" s="15"/>
      <c r="P47" s="15"/>
      <c r="Q47" s="3"/>
      <c r="R47" s="3"/>
      <c r="S47" s="3"/>
      <c r="T47" s="3"/>
      <c r="U47" s="3"/>
      <c r="V47" s="3"/>
      <c r="W47" s="3"/>
    </row>
    <row r="48" spans="1:23" ht="14.4" customHeight="1" x14ac:dyDescent="0.3">
      <c r="A48" s="19">
        <v>41</v>
      </c>
      <c r="B48" s="19">
        <v>26.3</v>
      </c>
      <c r="C48" s="21">
        <v>10</v>
      </c>
      <c r="D48" s="3"/>
      <c r="E48" s="73"/>
      <c r="F48" s="73"/>
      <c r="G48" s="73"/>
      <c r="H48" s="73"/>
      <c r="I48" s="73"/>
      <c r="J48" s="3"/>
      <c r="K48" s="67">
        <f>1/(M43-K43)</f>
        <v>1.8184132519757135E-2</v>
      </c>
      <c r="L48" s="67"/>
      <c r="M48" s="4"/>
      <c r="N48" s="4"/>
      <c r="O48" s="15"/>
      <c r="P48" s="15"/>
      <c r="Q48" s="3"/>
      <c r="R48" s="3"/>
      <c r="S48" s="3"/>
      <c r="T48" s="3"/>
      <c r="U48" s="3"/>
      <c r="V48" s="3"/>
      <c r="W48" s="3"/>
    </row>
    <row r="49" spans="1:23" ht="14.4" customHeight="1" x14ac:dyDescent="0.3">
      <c r="A49" s="19">
        <v>42</v>
      </c>
      <c r="B49" s="19">
        <v>-8.3000000000000007</v>
      </c>
      <c r="C49" s="19">
        <v>10.3</v>
      </c>
      <c r="D49" s="3"/>
      <c r="E49" s="73"/>
      <c r="F49" s="73"/>
      <c r="G49" s="73"/>
      <c r="H49" s="73"/>
      <c r="I49" s="73"/>
      <c r="J49" s="15"/>
      <c r="K49" s="15"/>
      <c r="L49" s="15"/>
      <c r="M49" s="15"/>
      <c r="N49" s="15"/>
      <c r="O49" s="15"/>
      <c r="P49" s="15"/>
      <c r="Q49" s="3"/>
      <c r="R49" s="3"/>
      <c r="S49" s="3"/>
      <c r="T49" s="3"/>
      <c r="U49" s="3"/>
      <c r="V49" s="3"/>
      <c r="W49" s="3"/>
    </row>
    <row r="50" spans="1:23" ht="14.4" customHeight="1" x14ac:dyDescent="0.3">
      <c r="A50" s="19">
        <v>43</v>
      </c>
      <c r="B50" s="19">
        <v>0.7</v>
      </c>
      <c r="C50" s="21">
        <v>10.4</v>
      </c>
      <c r="D50" s="3"/>
      <c r="E50" s="73"/>
      <c r="F50" s="73"/>
      <c r="G50" s="73"/>
      <c r="H50" s="73"/>
      <c r="I50" s="73"/>
      <c r="J50" s="15"/>
      <c r="K50" s="15"/>
      <c r="L50" s="15"/>
      <c r="M50" s="15"/>
      <c r="N50" s="15"/>
      <c r="O50" s="15"/>
      <c r="P50" s="15"/>
      <c r="Q50" s="3"/>
      <c r="R50" s="3"/>
      <c r="S50" s="3"/>
      <c r="T50" s="3"/>
      <c r="U50" s="3"/>
      <c r="V50" s="3"/>
      <c r="W50" s="3"/>
    </row>
    <row r="51" spans="1:23" ht="14.4" customHeight="1" x14ac:dyDescent="0.3">
      <c r="A51" s="19">
        <v>44</v>
      </c>
      <c r="B51" s="19">
        <v>12.9</v>
      </c>
      <c r="C51" s="21">
        <v>10.5</v>
      </c>
      <c r="D51" s="3"/>
      <c r="E51" s="3"/>
      <c r="F51" s="3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3"/>
      <c r="R51" s="3"/>
      <c r="S51" s="3"/>
      <c r="T51" s="3"/>
      <c r="U51" s="3"/>
      <c r="V51" s="3"/>
      <c r="W51" s="3"/>
    </row>
    <row r="52" spans="1:23" ht="14.4" customHeight="1" x14ac:dyDescent="0.3">
      <c r="A52" s="19">
        <v>45</v>
      </c>
      <c r="B52" s="19">
        <v>32</v>
      </c>
      <c r="C52" s="19">
        <v>10.6</v>
      </c>
      <c r="D52" s="3"/>
      <c r="E52" s="3"/>
      <c r="F52" s="3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3"/>
      <c r="R52" s="3"/>
      <c r="S52" s="3"/>
      <c r="T52" s="3"/>
      <c r="U52" s="3"/>
      <c r="V52" s="3"/>
      <c r="W52" s="3"/>
    </row>
    <row r="53" spans="1:23" ht="14.4" customHeight="1" x14ac:dyDescent="0.3">
      <c r="A53" s="19">
        <v>46</v>
      </c>
      <c r="B53" s="19">
        <v>37.1</v>
      </c>
      <c r="C53" s="21">
        <v>10.7</v>
      </c>
      <c r="D53" s="3"/>
      <c r="E53" s="3"/>
      <c r="F53" s="3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3"/>
      <c r="R53" s="3"/>
      <c r="S53" s="3"/>
      <c r="T53" s="3"/>
      <c r="U53" s="3"/>
      <c r="V53" s="3"/>
      <c r="W53" s="3"/>
    </row>
    <row r="54" spans="1:23" ht="14.4" customHeight="1" x14ac:dyDescent="0.3">
      <c r="A54" s="19">
        <v>47</v>
      </c>
      <c r="B54" s="19">
        <v>26.5</v>
      </c>
      <c r="C54" s="21">
        <v>11.6</v>
      </c>
      <c r="D54" s="3"/>
      <c r="E54" s="3"/>
      <c r="F54" s="3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3"/>
      <c r="R54" s="3"/>
      <c r="S54" s="3"/>
      <c r="T54" s="3"/>
      <c r="U54" s="3"/>
      <c r="V54" s="3"/>
      <c r="W54" s="3"/>
    </row>
    <row r="55" spans="1:23" x14ac:dyDescent="0.3">
      <c r="A55" s="19">
        <v>48</v>
      </c>
      <c r="B55" s="19">
        <v>1.3</v>
      </c>
      <c r="C55" s="19">
        <v>11.8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">
      <c r="A56" s="19">
        <v>49</v>
      </c>
      <c r="B56" s="19">
        <v>26.5</v>
      </c>
      <c r="C56" s="19">
        <v>12.4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">
      <c r="A57" s="19">
        <v>50</v>
      </c>
      <c r="B57" s="19">
        <v>14.8</v>
      </c>
      <c r="C57" s="21">
        <v>12.7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">
      <c r="A58" s="19">
        <v>51</v>
      </c>
      <c r="B58" s="19">
        <v>4.9000000000000004</v>
      </c>
      <c r="C58" s="21">
        <v>12.8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">
      <c r="A59" s="19">
        <v>52</v>
      </c>
      <c r="B59" s="19">
        <v>20.399999999999999</v>
      </c>
      <c r="C59" s="19">
        <v>12.9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3">
      <c r="A60" s="19">
        <v>53</v>
      </c>
      <c r="B60" s="19">
        <v>2.2999999999999998</v>
      </c>
      <c r="C60" s="21">
        <v>13.8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">
      <c r="A61" s="19">
        <v>54</v>
      </c>
      <c r="B61" s="21">
        <v>-19.399999999999999</v>
      </c>
      <c r="C61" s="19">
        <v>14</v>
      </c>
    </row>
    <row r="62" spans="1:23" x14ac:dyDescent="0.3">
      <c r="A62" s="19">
        <v>55</v>
      </c>
      <c r="B62" s="21">
        <v>8.8000000000000007</v>
      </c>
      <c r="C62" s="19">
        <v>14.5</v>
      </c>
    </row>
    <row r="63" spans="1:23" x14ac:dyDescent="0.3">
      <c r="A63" s="19">
        <v>56</v>
      </c>
      <c r="B63" s="21">
        <v>7.6</v>
      </c>
      <c r="C63" s="19">
        <v>14.8</v>
      </c>
    </row>
    <row r="64" spans="1:23" x14ac:dyDescent="0.3">
      <c r="A64" s="19">
        <v>57</v>
      </c>
      <c r="B64" s="21">
        <v>28.6</v>
      </c>
      <c r="C64" s="19">
        <v>14.9</v>
      </c>
    </row>
    <row r="65" spans="1:21" ht="28.8" x14ac:dyDescent="0.3">
      <c r="A65" s="19">
        <v>58</v>
      </c>
      <c r="B65" s="21">
        <v>45.9</v>
      </c>
      <c r="C65" s="19">
        <v>15.2</v>
      </c>
      <c r="D65" s="93" t="s">
        <v>79</v>
      </c>
      <c r="E65" s="25" t="s">
        <v>53</v>
      </c>
      <c r="F65" s="25" t="s">
        <v>54</v>
      </c>
      <c r="G65" s="25" t="s">
        <v>55</v>
      </c>
      <c r="H65" s="25" t="s">
        <v>56</v>
      </c>
      <c r="K65" s="84" t="s">
        <v>80</v>
      </c>
      <c r="L65" s="25" t="s">
        <v>59</v>
      </c>
      <c r="M65" s="25" t="s">
        <v>53</v>
      </c>
      <c r="N65" s="25" t="s">
        <v>54</v>
      </c>
      <c r="O65" s="25" t="s">
        <v>55</v>
      </c>
      <c r="P65" s="25" t="s">
        <v>56</v>
      </c>
      <c r="R65" s="28" t="s">
        <v>66</v>
      </c>
      <c r="S65" s="25" t="s">
        <v>63</v>
      </c>
      <c r="T65" s="28" t="s">
        <v>65</v>
      </c>
      <c r="U65" s="25" t="s">
        <v>64</v>
      </c>
    </row>
    <row r="66" spans="1:21" x14ac:dyDescent="0.3">
      <c r="A66" s="19">
        <v>59</v>
      </c>
      <c r="B66" s="21">
        <v>-7.5</v>
      </c>
      <c r="C66" s="19">
        <v>16.7</v>
      </c>
      <c r="D66" s="93"/>
      <c r="E66" s="19">
        <f>ABS(G24*(E17-K43)*K48)</f>
        <v>5.0681450178630181</v>
      </c>
      <c r="F66" s="19">
        <f>G16-E66</f>
        <v>-1.0681450178630181</v>
      </c>
      <c r="G66" s="19">
        <f>F66*F66</f>
        <v>1.1409337791855871</v>
      </c>
      <c r="H66" s="19">
        <f>G66/E66</f>
        <v>0.2251186134501458</v>
      </c>
      <c r="K66" s="84"/>
      <c r="L66" s="21">
        <f>U66-S66</f>
        <v>2.250000000000002E-2</v>
      </c>
      <c r="M66" s="19">
        <f>$G$24*L66</f>
        <v>2.2500000000000018</v>
      </c>
      <c r="N66" s="19">
        <f>G16-M66</f>
        <v>1.7499999999999982</v>
      </c>
      <c r="O66" s="19">
        <f>N66*N66</f>
        <v>3.0624999999999938</v>
      </c>
      <c r="P66" s="19">
        <f>O66/M66</f>
        <v>1.3611111111111072</v>
      </c>
      <c r="R66" s="19">
        <f>(E16-$K$20)/$L$37</f>
        <v>-2.5083613514705472</v>
      </c>
      <c r="S66" s="21">
        <v>-0.49380000000000002</v>
      </c>
      <c r="T66" s="19">
        <f>(E17-$K$20)/$L$37</f>
        <v>-1.8980544533025308</v>
      </c>
      <c r="U66" s="19">
        <f>S67</f>
        <v>-0.4713</v>
      </c>
    </row>
    <row r="67" spans="1:21" x14ac:dyDescent="0.3">
      <c r="A67" s="19">
        <v>60</v>
      </c>
      <c r="B67" s="21">
        <v>22</v>
      </c>
      <c r="C67" s="21">
        <v>16.7</v>
      </c>
      <c r="E67" s="19">
        <f>G24*(E18-E17)*K48</f>
        <v>17.706799041113513</v>
      </c>
      <c r="F67" s="19">
        <f t="shared" ref="F67:F73" si="11">G17-E67</f>
        <v>-12.706799041113513</v>
      </c>
      <c r="G67" s="19">
        <f t="shared" ref="G67:G75" si="12">F67*F67</f>
        <v>161.46274187124328</v>
      </c>
      <c r="H67" s="19">
        <f t="shared" ref="H67:H75" si="13">G67/E67</f>
        <v>9.1186860762547806</v>
      </c>
      <c r="L67" s="21">
        <f t="shared" ref="L67:L73" si="14">U67-S67</f>
        <v>6.9799999999999973E-2</v>
      </c>
      <c r="M67" s="19">
        <f t="shared" ref="M67:M73" si="15">$G$24*L67</f>
        <v>6.9799999999999969</v>
      </c>
      <c r="N67" s="19">
        <f>G17-M67</f>
        <v>-1.9799999999999969</v>
      </c>
      <c r="O67" s="19">
        <f>N67*N67</f>
        <v>3.9203999999999875</v>
      </c>
      <c r="P67" s="19">
        <f>O67/M67</f>
        <v>0.561661891117477</v>
      </c>
      <c r="R67" s="19">
        <f t="shared" ref="R67:R73" si="16">(E17-$K$20)/$L$37</f>
        <v>-1.8980544533025308</v>
      </c>
      <c r="S67" s="21">
        <v>-0.4713</v>
      </c>
      <c r="T67" s="19">
        <f t="shared" ref="T67:T73" si="17">(E18-$K$20)/$L$37</f>
        <v>-1.2877475551345146</v>
      </c>
      <c r="U67" s="19">
        <f t="shared" ref="U67:U72" si="18">S68</f>
        <v>-0.40150000000000002</v>
      </c>
    </row>
    <row r="68" spans="1:21" x14ac:dyDescent="0.3">
      <c r="A68" s="19">
        <v>61</v>
      </c>
      <c r="B68" s="21">
        <v>16.7</v>
      </c>
      <c r="C68" s="19">
        <v>17.2</v>
      </c>
      <c r="E68" s="19">
        <f>E67</f>
        <v>17.706799041113513</v>
      </c>
      <c r="F68" s="19">
        <f t="shared" si="11"/>
        <v>-1.7067990411135128</v>
      </c>
      <c r="G68" s="19">
        <f t="shared" si="12"/>
        <v>2.9131629667460066</v>
      </c>
      <c r="H68" s="19">
        <f t="shared" si="13"/>
        <v>0.16452228096009436</v>
      </c>
      <c r="L68" s="21">
        <f t="shared" si="14"/>
        <v>0.14980000000000004</v>
      </c>
      <c r="M68" s="19">
        <f t="shared" si="15"/>
        <v>14.980000000000004</v>
      </c>
      <c r="N68" s="19">
        <f>G18-M68</f>
        <v>1.019999999999996</v>
      </c>
      <c r="O68" s="19">
        <f>N68*N68</f>
        <v>1.0403999999999918</v>
      </c>
      <c r="P68" s="19">
        <f>O68/M68</f>
        <v>6.9452603471294491E-2</v>
      </c>
      <c r="R68" s="19">
        <f t="shared" si="16"/>
        <v>-1.2877475551345146</v>
      </c>
      <c r="S68" s="21">
        <v>-0.40150000000000002</v>
      </c>
      <c r="T68" s="19">
        <f t="shared" si="17"/>
        <v>-0.67744065696649813</v>
      </c>
      <c r="U68" s="19">
        <f t="shared" si="18"/>
        <v>-0.25169999999999998</v>
      </c>
    </row>
    <row r="69" spans="1:21" x14ac:dyDescent="0.3">
      <c r="A69" s="19">
        <v>62</v>
      </c>
      <c r="B69" s="21">
        <v>44.1</v>
      </c>
      <c r="C69" s="21">
        <v>17.600000000000001</v>
      </c>
      <c r="E69" s="19">
        <f t="shared" ref="E69:E74" si="19">E68</f>
        <v>17.706799041113513</v>
      </c>
      <c r="F69" s="19">
        <f t="shared" si="11"/>
        <v>4.2932009588864872</v>
      </c>
      <c r="G69" s="19">
        <f t="shared" si="12"/>
        <v>18.431574473383854</v>
      </c>
      <c r="H69" s="19">
        <f t="shared" si="13"/>
        <v>1.0409320414484562</v>
      </c>
      <c r="L69" s="21">
        <f t="shared" si="14"/>
        <v>0.22379999999999997</v>
      </c>
      <c r="M69" s="19">
        <f t="shared" si="15"/>
        <v>22.379999999999995</v>
      </c>
      <c r="N69" s="19">
        <f>G19-M69</f>
        <v>-0.37999999999999545</v>
      </c>
      <c r="O69" s="19">
        <f>N69*N69</f>
        <v>0.14439999999999653</v>
      </c>
      <c r="P69" s="19">
        <f>O69/M69</f>
        <v>6.4521894548702661E-3</v>
      </c>
      <c r="R69" s="19">
        <f t="shared" si="16"/>
        <v>-0.67744065696649813</v>
      </c>
      <c r="S69" s="21">
        <v>-0.25169999999999998</v>
      </c>
      <c r="T69" s="19">
        <f t="shared" si="17"/>
        <v>-6.713375879848181E-2</v>
      </c>
      <c r="U69" s="19">
        <f t="shared" si="18"/>
        <v>-2.7900000000000001E-2</v>
      </c>
    </row>
    <row r="70" spans="1:21" x14ac:dyDescent="0.3">
      <c r="A70" s="19">
        <v>63</v>
      </c>
      <c r="B70" s="21">
        <v>32</v>
      </c>
      <c r="C70" s="19">
        <v>19</v>
      </c>
      <c r="E70" s="19">
        <f t="shared" si="19"/>
        <v>17.706799041113513</v>
      </c>
      <c r="F70" s="19">
        <f t="shared" si="11"/>
        <v>5.2932009588864872</v>
      </c>
      <c r="G70" s="19">
        <f t="shared" si="12"/>
        <v>28.017976391156829</v>
      </c>
      <c r="H70" s="19">
        <f t="shared" si="13"/>
        <v>1.5823287047027381</v>
      </c>
      <c r="L70" s="21">
        <f t="shared" si="14"/>
        <v>0.23330000000000001</v>
      </c>
      <c r="M70" s="19">
        <f t="shared" si="15"/>
        <v>23.330000000000002</v>
      </c>
      <c r="N70" s="19">
        <f>G20-M70</f>
        <v>-0.33000000000000185</v>
      </c>
      <c r="O70" s="19">
        <f>N70*N70</f>
        <v>0.10890000000000122</v>
      </c>
      <c r="P70" s="19">
        <f>O70/M70</f>
        <v>4.6678096870982084E-3</v>
      </c>
      <c r="R70" s="19">
        <f t="shared" si="16"/>
        <v>-6.713375879848181E-2</v>
      </c>
      <c r="S70" s="21">
        <v>-2.7900000000000001E-2</v>
      </c>
      <c r="T70" s="19">
        <f t="shared" si="17"/>
        <v>0.54317313936953449</v>
      </c>
      <c r="U70" s="19">
        <f t="shared" si="18"/>
        <v>0.2054</v>
      </c>
    </row>
    <row r="71" spans="1:21" x14ac:dyDescent="0.3">
      <c r="A71" s="19">
        <v>64</v>
      </c>
      <c r="B71" s="21">
        <v>4</v>
      </c>
      <c r="C71" s="19">
        <v>19.2</v>
      </c>
      <c r="E71" s="19">
        <f t="shared" si="19"/>
        <v>17.706799041113513</v>
      </c>
      <c r="F71" s="19">
        <f t="shared" si="11"/>
        <v>0.29320095888648723</v>
      </c>
      <c r="G71" s="19">
        <f t="shared" si="12"/>
        <v>8.596680229195558E-2</v>
      </c>
      <c r="H71" s="19">
        <f t="shared" si="13"/>
        <v>4.8550165443425877E-3</v>
      </c>
      <c r="L71" s="21">
        <f t="shared" si="14"/>
        <v>0.16950000000000001</v>
      </c>
      <c r="M71" s="19">
        <f t="shared" si="15"/>
        <v>16.950000000000003</v>
      </c>
      <c r="N71" s="19">
        <f>G21-M71</f>
        <v>1.0499999999999972</v>
      </c>
      <c r="O71" s="19">
        <f>N71*N71</f>
        <v>1.102499999999994</v>
      </c>
      <c r="P71" s="19">
        <f>O71/M71</f>
        <v>6.5044247787610254E-2</v>
      </c>
      <c r="R71" s="19">
        <f t="shared" si="16"/>
        <v>0.54317313936953449</v>
      </c>
      <c r="S71" s="21">
        <v>0.2054</v>
      </c>
      <c r="T71" s="19">
        <f t="shared" si="17"/>
        <v>1.1534800375375507</v>
      </c>
      <c r="U71" s="19">
        <f t="shared" si="18"/>
        <v>0.37490000000000001</v>
      </c>
    </row>
    <row r="72" spans="1:21" x14ac:dyDescent="0.3">
      <c r="A72" s="19">
        <v>65</v>
      </c>
      <c r="B72" s="21">
        <v>-0.9</v>
      </c>
      <c r="C72" s="19">
        <v>19.5</v>
      </c>
      <c r="E72" s="19">
        <f t="shared" si="19"/>
        <v>17.706799041113513</v>
      </c>
      <c r="F72" s="19">
        <f t="shared" si="11"/>
        <v>-9.7067990411135128</v>
      </c>
      <c r="G72" s="19">
        <f t="shared" si="12"/>
        <v>94.221947624562205</v>
      </c>
      <c r="H72" s="19">
        <f t="shared" si="13"/>
        <v>5.3212298510751577</v>
      </c>
      <c r="L72" s="21">
        <f t="shared" si="14"/>
        <v>8.5899999999999976E-2</v>
      </c>
      <c r="M72" s="19">
        <f t="shared" si="15"/>
        <v>8.5899999999999981</v>
      </c>
      <c r="N72" s="19">
        <f>G22-M72</f>
        <v>-0.58999999999999808</v>
      </c>
      <c r="O72" s="19">
        <f>N72*N72</f>
        <v>0.34809999999999774</v>
      </c>
      <c r="P72" s="19">
        <f>O72/M72</f>
        <v>4.0523864959254696E-2</v>
      </c>
      <c r="R72" s="19">
        <f t="shared" si="16"/>
        <v>1.1534800375375507</v>
      </c>
      <c r="S72" s="21">
        <v>0.37490000000000001</v>
      </c>
      <c r="T72" s="19">
        <f t="shared" si="17"/>
        <v>1.7637869357055673</v>
      </c>
      <c r="U72" s="19">
        <f t="shared" si="18"/>
        <v>0.46079999999999999</v>
      </c>
    </row>
    <row r="73" spans="1:21" x14ac:dyDescent="0.3">
      <c r="A73" s="19">
        <v>66</v>
      </c>
      <c r="B73" s="21">
        <v>22.7</v>
      </c>
      <c r="C73" s="21">
        <v>19.8</v>
      </c>
      <c r="E73" s="19">
        <f>ABS(G24*(M43-E23)*K48)</f>
        <v>1.172649228818041</v>
      </c>
      <c r="F73" s="19">
        <f t="shared" si="11"/>
        <v>2.8273507711819592</v>
      </c>
      <c r="G73" s="19">
        <f t="shared" si="12"/>
        <v>7.9939123833032193</v>
      </c>
      <c r="H73" s="19">
        <f t="shared" si="13"/>
        <v>6.8169680982612304</v>
      </c>
      <c r="L73" s="21">
        <f t="shared" si="14"/>
        <v>3.0500000000000027E-2</v>
      </c>
      <c r="M73" s="19">
        <f t="shared" si="15"/>
        <v>3.0500000000000025</v>
      </c>
      <c r="N73" s="19">
        <f>G23-M73</f>
        <v>0.94999999999999751</v>
      </c>
      <c r="O73" s="19">
        <f>N73*N73</f>
        <v>0.90249999999999531</v>
      </c>
      <c r="P73" s="19">
        <f>O73/M73</f>
        <v>0.2959016393442605</v>
      </c>
      <c r="R73" s="19">
        <f t="shared" si="16"/>
        <v>1.7637869357055673</v>
      </c>
      <c r="S73" s="36">
        <v>0.46079999999999999</v>
      </c>
      <c r="T73" s="19">
        <f t="shared" si="17"/>
        <v>2.3740938338735833</v>
      </c>
      <c r="U73" s="19">
        <v>0.49130000000000001</v>
      </c>
    </row>
    <row r="74" spans="1:21" ht="16.8" x14ac:dyDescent="0.35">
      <c r="A74" s="19">
        <v>67</v>
      </c>
      <c r="B74" s="21">
        <v>10.4</v>
      </c>
      <c r="C74" s="19">
        <v>20.100000000000001</v>
      </c>
      <c r="E74" s="4"/>
      <c r="F74" s="3"/>
      <c r="G74" s="31" t="s">
        <v>57</v>
      </c>
      <c r="H74" s="30">
        <f>SUM(H66:H73)</f>
        <v>24.274640682696944</v>
      </c>
      <c r="O74" s="31" t="s">
        <v>57</v>
      </c>
      <c r="P74" s="30">
        <f>SUM(O63:O73)</f>
        <v>10.629699999999955</v>
      </c>
    </row>
    <row r="75" spans="1:21" x14ac:dyDescent="0.3">
      <c r="A75" s="19">
        <v>68</v>
      </c>
      <c r="B75" s="21">
        <v>-27.2</v>
      </c>
      <c r="C75" s="19">
        <v>20.399999999999999</v>
      </c>
      <c r="H75" s="72" t="s">
        <v>122</v>
      </c>
      <c r="I75" s="72"/>
      <c r="O75" s="72" t="s">
        <v>122</v>
      </c>
      <c r="P75" s="72"/>
    </row>
    <row r="76" spans="1:21" x14ac:dyDescent="0.3">
      <c r="A76" s="19">
        <v>69</v>
      </c>
      <c r="B76" s="21">
        <v>-2.8</v>
      </c>
      <c r="C76" s="19">
        <v>20.6</v>
      </c>
      <c r="H76" s="30" t="s">
        <v>72</v>
      </c>
      <c r="I76" s="30">
        <f>8-3</f>
        <v>5</v>
      </c>
      <c r="O76" s="30" t="s">
        <v>72</v>
      </c>
      <c r="P76" s="30">
        <f>8-3</f>
        <v>5</v>
      </c>
    </row>
    <row r="77" spans="1:21" x14ac:dyDescent="0.3">
      <c r="A77" s="19">
        <v>70</v>
      </c>
      <c r="B77" s="21">
        <v>29</v>
      </c>
      <c r="C77" s="19">
        <v>21.4</v>
      </c>
      <c r="E77" s="3"/>
      <c r="F77" s="3"/>
      <c r="G77" s="13"/>
      <c r="H77" s="3"/>
      <c r="I77" s="3"/>
      <c r="L77" s="3"/>
      <c r="M77" s="3"/>
      <c r="N77" s="13"/>
      <c r="O77" s="3"/>
      <c r="P77" s="3"/>
    </row>
    <row r="78" spans="1:21" ht="16.8" x14ac:dyDescent="0.35">
      <c r="A78" s="19">
        <v>71</v>
      </c>
      <c r="B78" s="21">
        <v>17.600000000000001</v>
      </c>
      <c r="C78" s="21">
        <v>22</v>
      </c>
      <c r="E78" s="32" t="s">
        <v>57</v>
      </c>
      <c r="F78" s="42">
        <f>H74</f>
        <v>24.274640682696944</v>
      </c>
      <c r="G78" s="43" t="s">
        <v>84</v>
      </c>
      <c r="H78" s="32" t="s">
        <v>58</v>
      </c>
      <c r="I78" s="41">
        <v>11.1</v>
      </c>
      <c r="L78" s="32" t="s">
        <v>57</v>
      </c>
      <c r="M78" s="42">
        <f>P74</f>
        <v>10.629699999999955</v>
      </c>
      <c r="N78" s="43" t="s">
        <v>62</v>
      </c>
      <c r="O78" s="32" t="s">
        <v>58</v>
      </c>
      <c r="P78" s="41">
        <v>11.1</v>
      </c>
    </row>
    <row r="79" spans="1:21" ht="19.2" customHeight="1" x14ac:dyDescent="0.3">
      <c r="A79" s="19">
        <v>72</v>
      </c>
      <c r="B79" s="21">
        <v>13.8</v>
      </c>
      <c r="C79" s="21">
        <v>22</v>
      </c>
      <c r="E79" s="94" t="s">
        <v>86</v>
      </c>
      <c r="F79" s="95"/>
      <c r="G79" s="95"/>
      <c r="H79" s="95"/>
      <c r="I79" s="96"/>
      <c r="L79" s="94" t="s">
        <v>87</v>
      </c>
      <c r="M79" s="95"/>
      <c r="N79" s="95"/>
      <c r="O79" s="95"/>
      <c r="P79" s="96"/>
    </row>
    <row r="80" spans="1:21" ht="15" customHeight="1" x14ac:dyDescent="0.3">
      <c r="A80" s="19">
        <v>73</v>
      </c>
      <c r="B80" s="21">
        <v>10</v>
      </c>
      <c r="C80" s="20">
        <v>22.1</v>
      </c>
      <c r="E80" s="97"/>
      <c r="F80" s="98"/>
      <c r="G80" s="98"/>
      <c r="H80" s="98"/>
      <c r="I80" s="99"/>
      <c r="L80" s="97"/>
      <c r="M80" s="98"/>
      <c r="N80" s="98"/>
      <c r="O80" s="98"/>
      <c r="P80" s="99"/>
    </row>
    <row r="81" spans="1:16" ht="17.399999999999999" customHeight="1" x14ac:dyDescent="0.3">
      <c r="A81" s="19">
        <v>74</v>
      </c>
      <c r="B81" s="21">
        <v>-3.9</v>
      </c>
      <c r="C81" s="21">
        <v>22.6</v>
      </c>
      <c r="E81" s="97"/>
      <c r="F81" s="98"/>
      <c r="G81" s="98"/>
      <c r="H81" s="98"/>
      <c r="I81" s="99"/>
      <c r="L81" s="97"/>
      <c r="M81" s="98"/>
      <c r="N81" s="98"/>
      <c r="O81" s="98"/>
      <c r="P81" s="99"/>
    </row>
    <row r="82" spans="1:16" ht="18.600000000000001" customHeight="1" x14ac:dyDescent="0.3">
      <c r="A82" s="19">
        <v>75</v>
      </c>
      <c r="B82" s="21">
        <v>7.8</v>
      </c>
      <c r="C82" s="21">
        <v>22.7</v>
      </c>
      <c r="E82" s="97"/>
      <c r="F82" s="98"/>
      <c r="G82" s="98"/>
      <c r="H82" s="98"/>
      <c r="I82" s="99"/>
      <c r="L82" s="97"/>
      <c r="M82" s="98"/>
      <c r="N82" s="98"/>
      <c r="O82" s="98"/>
      <c r="P82" s="99"/>
    </row>
    <row r="83" spans="1:16" ht="22.8" customHeight="1" x14ac:dyDescent="0.3">
      <c r="A83" s="19">
        <v>76</v>
      </c>
      <c r="B83" s="21">
        <v>10.7</v>
      </c>
      <c r="C83" s="21">
        <v>24.2</v>
      </c>
      <c r="E83" s="97"/>
      <c r="F83" s="98"/>
      <c r="G83" s="98"/>
      <c r="H83" s="98"/>
      <c r="I83" s="99"/>
      <c r="L83" s="97"/>
      <c r="M83" s="98"/>
      <c r="N83" s="98"/>
      <c r="O83" s="98"/>
      <c r="P83" s="99"/>
    </row>
    <row r="84" spans="1:16" ht="22.2" customHeight="1" x14ac:dyDescent="0.3">
      <c r="A84" s="19">
        <v>77</v>
      </c>
      <c r="B84" s="21">
        <v>19.8</v>
      </c>
      <c r="C84" s="19">
        <v>25.9</v>
      </c>
      <c r="E84" s="100"/>
      <c r="F84" s="101"/>
      <c r="G84" s="101"/>
      <c r="H84" s="101"/>
      <c r="I84" s="102"/>
      <c r="L84" s="100"/>
      <c r="M84" s="101"/>
      <c r="N84" s="101"/>
      <c r="O84" s="101"/>
      <c r="P84" s="102"/>
    </row>
    <row r="85" spans="1:16" x14ac:dyDescent="0.3">
      <c r="A85" s="19">
        <v>78</v>
      </c>
      <c r="B85" s="21">
        <v>-3.7</v>
      </c>
      <c r="C85" s="21">
        <v>26</v>
      </c>
    </row>
    <row r="86" spans="1:16" x14ac:dyDescent="0.3">
      <c r="A86" s="19">
        <v>79</v>
      </c>
      <c r="B86" s="21">
        <v>2.2000000000000002</v>
      </c>
      <c r="C86" s="19">
        <v>26.2</v>
      </c>
    </row>
    <row r="87" spans="1:16" x14ac:dyDescent="0.3">
      <c r="A87" s="19">
        <v>80</v>
      </c>
      <c r="B87" s="21">
        <v>12.8</v>
      </c>
      <c r="C87" s="19">
        <v>26.3</v>
      </c>
    </row>
    <row r="88" spans="1:16" x14ac:dyDescent="0.3">
      <c r="A88" s="19">
        <v>81</v>
      </c>
      <c r="B88" s="21">
        <v>11.6</v>
      </c>
      <c r="C88" s="19">
        <v>26.5</v>
      </c>
    </row>
    <row r="89" spans="1:16" x14ac:dyDescent="0.3">
      <c r="A89" s="19">
        <v>82</v>
      </c>
      <c r="B89" s="21">
        <v>24.2</v>
      </c>
      <c r="C89" s="19">
        <v>26.5</v>
      </c>
    </row>
    <row r="90" spans="1:16" x14ac:dyDescent="0.3">
      <c r="A90" s="19">
        <v>83</v>
      </c>
      <c r="B90" s="21">
        <v>-4.5</v>
      </c>
      <c r="C90" s="19">
        <v>26.9</v>
      </c>
    </row>
    <row r="91" spans="1:16" x14ac:dyDescent="0.3">
      <c r="A91" s="19">
        <v>84</v>
      </c>
      <c r="B91" s="21">
        <v>7.2</v>
      </c>
      <c r="C91" s="21">
        <v>27.3</v>
      </c>
    </row>
    <row r="92" spans="1:16" x14ac:dyDescent="0.3">
      <c r="A92" s="19">
        <v>85</v>
      </c>
      <c r="B92" s="21">
        <v>-2.4</v>
      </c>
      <c r="C92" s="19">
        <v>27.9</v>
      </c>
    </row>
    <row r="93" spans="1:16" x14ac:dyDescent="0.3">
      <c r="A93" s="19">
        <v>86</v>
      </c>
      <c r="B93" s="21">
        <v>22.6</v>
      </c>
      <c r="C93" s="21">
        <v>28.6</v>
      </c>
    </row>
    <row r="94" spans="1:16" x14ac:dyDescent="0.3">
      <c r="A94" s="19">
        <v>87</v>
      </c>
      <c r="B94" s="21">
        <v>8.6</v>
      </c>
      <c r="C94" s="21">
        <v>29</v>
      </c>
    </row>
    <row r="95" spans="1:16" x14ac:dyDescent="0.3">
      <c r="A95" s="19">
        <v>88</v>
      </c>
      <c r="B95" s="21">
        <v>7.6</v>
      </c>
      <c r="C95" s="21">
        <v>29.2</v>
      </c>
    </row>
    <row r="96" spans="1:16" x14ac:dyDescent="0.3">
      <c r="A96" s="19">
        <v>89</v>
      </c>
      <c r="B96" s="21">
        <v>39.1</v>
      </c>
      <c r="C96" s="19">
        <v>32</v>
      </c>
    </row>
    <row r="97" spans="1:14" x14ac:dyDescent="0.3">
      <c r="A97" s="19">
        <v>90</v>
      </c>
      <c r="B97" s="21">
        <v>-14.3</v>
      </c>
      <c r="C97" s="21">
        <v>32</v>
      </c>
    </row>
    <row r="98" spans="1:14" x14ac:dyDescent="0.3">
      <c r="A98" s="19">
        <v>91</v>
      </c>
      <c r="B98" s="21">
        <v>26</v>
      </c>
      <c r="C98" s="19">
        <v>32.1</v>
      </c>
    </row>
    <row r="99" spans="1:14" x14ac:dyDescent="0.3">
      <c r="A99" s="19">
        <v>92</v>
      </c>
      <c r="B99" s="21">
        <v>38</v>
      </c>
      <c r="C99" s="19">
        <v>35.299999999999997</v>
      </c>
    </row>
    <row r="100" spans="1:14" ht="14.4" customHeight="1" x14ac:dyDescent="0.3">
      <c r="A100" s="19">
        <v>93</v>
      </c>
      <c r="B100" s="21">
        <v>10.5</v>
      </c>
      <c r="C100" s="19">
        <v>37.1</v>
      </c>
      <c r="E100" s="103" t="s">
        <v>88</v>
      </c>
      <c r="F100" s="94" t="s">
        <v>89</v>
      </c>
      <c r="G100" s="95"/>
      <c r="H100" s="95"/>
      <c r="I100" s="95"/>
      <c r="J100" s="95"/>
      <c r="K100" s="95"/>
      <c r="L100" s="95"/>
      <c r="M100" s="95"/>
      <c r="N100" s="96"/>
    </row>
    <row r="101" spans="1:14" x14ac:dyDescent="0.3">
      <c r="A101" s="19">
        <v>94</v>
      </c>
      <c r="B101" s="21">
        <v>22</v>
      </c>
      <c r="C101" s="21">
        <v>38</v>
      </c>
      <c r="F101" s="100"/>
      <c r="G101" s="101"/>
      <c r="H101" s="101"/>
      <c r="I101" s="101"/>
      <c r="J101" s="101"/>
      <c r="K101" s="101"/>
      <c r="L101" s="101"/>
      <c r="M101" s="101"/>
      <c r="N101" s="102"/>
    </row>
    <row r="102" spans="1:14" x14ac:dyDescent="0.3">
      <c r="A102" s="19">
        <v>95</v>
      </c>
      <c r="B102" s="21">
        <v>0.9</v>
      </c>
      <c r="C102" s="19">
        <v>38.1</v>
      </c>
      <c r="F102" s="94" t="s">
        <v>92</v>
      </c>
      <c r="G102" s="95"/>
      <c r="H102" s="95"/>
      <c r="I102" s="95"/>
      <c r="J102" s="95"/>
      <c r="K102" s="95"/>
      <c r="L102" s="95"/>
      <c r="M102" s="95"/>
      <c r="N102" s="96"/>
    </row>
    <row r="103" spans="1:14" x14ac:dyDescent="0.3">
      <c r="A103" s="19">
        <v>96</v>
      </c>
      <c r="B103" s="21">
        <v>29.2</v>
      </c>
      <c r="C103" s="21">
        <v>39.1</v>
      </c>
      <c r="F103" s="100"/>
      <c r="G103" s="101"/>
      <c r="H103" s="101"/>
      <c r="I103" s="101"/>
      <c r="J103" s="101"/>
      <c r="K103" s="101"/>
      <c r="L103" s="101"/>
      <c r="M103" s="101"/>
      <c r="N103" s="102"/>
    </row>
    <row r="104" spans="1:14" x14ac:dyDescent="0.3">
      <c r="A104" s="19">
        <v>97</v>
      </c>
      <c r="B104" s="21">
        <v>27.3</v>
      </c>
      <c r="C104" s="19">
        <v>43.3</v>
      </c>
      <c r="F104" s="94" t="s">
        <v>91</v>
      </c>
      <c r="G104" s="95"/>
      <c r="H104" s="95"/>
      <c r="I104" s="95"/>
      <c r="J104" s="95"/>
      <c r="K104" s="95"/>
      <c r="L104" s="95"/>
      <c r="M104" s="95"/>
      <c r="N104" s="96"/>
    </row>
    <row r="105" spans="1:14" x14ac:dyDescent="0.3">
      <c r="A105" s="19">
        <v>98</v>
      </c>
      <c r="B105" s="21">
        <v>12.7</v>
      </c>
      <c r="C105" s="21">
        <v>44.1</v>
      </c>
      <c r="F105" s="100"/>
      <c r="G105" s="101"/>
      <c r="H105" s="101"/>
      <c r="I105" s="101"/>
      <c r="J105" s="101"/>
      <c r="K105" s="101"/>
      <c r="L105" s="101"/>
      <c r="M105" s="101"/>
      <c r="N105" s="102"/>
    </row>
    <row r="106" spans="1:14" x14ac:dyDescent="0.3">
      <c r="A106" s="19">
        <v>99</v>
      </c>
      <c r="B106" s="21">
        <v>9.5</v>
      </c>
      <c r="C106" s="21">
        <v>45.9</v>
      </c>
      <c r="F106" s="104" t="s">
        <v>90</v>
      </c>
      <c r="G106" s="104"/>
      <c r="H106" s="104"/>
      <c r="I106" s="104"/>
      <c r="J106" s="104"/>
      <c r="K106" s="104"/>
      <c r="L106" s="104"/>
      <c r="M106" s="104"/>
      <c r="N106" s="104"/>
    </row>
    <row r="107" spans="1:14" ht="34.200000000000003" customHeight="1" x14ac:dyDescent="0.3">
      <c r="A107" s="19">
        <v>100</v>
      </c>
      <c r="B107" s="21">
        <v>-1.3</v>
      </c>
      <c r="C107" s="19">
        <v>50.7</v>
      </c>
      <c r="F107" s="104"/>
      <c r="G107" s="104"/>
      <c r="H107" s="104"/>
      <c r="I107" s="104"/>
      <c r="J107" s="104"/>
      <c r="K107" s="104"/>
      <c r="L107" s="104"/>
      <c r="M107" s="104"/>
      <c r="N107" s="104"/>
    </row>
    <row r="108" spans="1:14" x14ac:dyDescent="0.3">
      <c r="A108" s="29" t="s">
        <v>31</v>
      </c>
      <c r="B108" s="29">
        <f>COUNT(B8:B107)</f>
        <v>100</v>
      </c>
    </row>
  </sheetData>
  <sortState ref="C8:C107">
    <sortCondition ref="C8"/>
  </sortState>
  <mergeCells count="42">
    <mergeCell ref="K65:K66"/>
    <mergeCell ref="L79:P84"/>
    <mergeCell ref="F100:N101"/>
    <mergeCell ref="F102:N103"/>
    <mergeCell ref="F104:N105"/>
    <mergeCell ref="F106:N107"/>
    <mergeCell ref="H75:I75"/>
    <mergeCell ref="O75:P75"/>
    <mergeCell ref="K48:L48"/>
    <mergeCell ref="D28:D29"/>
    <mergeCell ref="E43:I50"/>
    <mergeCell ref="D65:D66"/>
    <mergeCell ref="E79:I84"/>
    <mergeCell ref="H39:I39"/>
    <mergeCell ref="K40:N42"/>
    <mergeCell ref="K43:L43"/>
    <mergeCell ref="M43:N43"/>
    <mergeCell ref="K45:L47"/>
    <mergeCell ref="K32:L34"/>
    <mergeCell ref="K35:L35"/>
    <mergeCell ref="A1:D1"/>
    <mergeCell ref="A2:D2"/>
    <mergeCell ref="A3:D3"/>
    <mergeCell ref="E4:N4"/>
    <mergeCell ref="E5:N5"/>
    <mergeCell ref="D4:D5"/>
    <mergeCell ref="D6:D7"/>
    <mergeCell ref="D8:D9"/>
    <mergeCell ref="K17:L19"/>
    <mergeCell ref="N17:N19"/>
    <mergeCell ref="K20:L20"/>
    <mergeCell ref="K22:N25"/>
    <mergeCell ref="K26:N26"/>
    <mergeCell ref="K28:L29"/>
    <mergeCell ref="K30:L30"/>
    <mergeCell ref="D13:N13"/>
    <mergeCell ref="E6:N6"/>
    <mergeCell ref="E7:N7"/>
    <mergeCell ref="E8:N8"/>
    <mergeCell ref="E9:N9"/>
    <mergeCell ref="K10:L11"/>
    <mergeCell ref="E10:F1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7"/>
  <sheetViews>
    <sheetView zoomScaleNormal="100" workbookViewId="0">
      <selection activeCell="B5" sqref="B5:P5"/>
    </sheetView>
  </sheetViews>
  <sheetFormatPr defaultRowHeight="14.4" x14ac:dyDescent="0.3"/>
  <sheetData>
    <row r="2" spans="2:20" x14ac:dyDescent="0.3">
      <c r="B2" s="86" t="s">
        <v>3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2:20" ht="16.2" customHeight="1" x14ac:dyDescent="0.3">
      <c r="B3" s="85" t="s">
        <v>22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2:20" ht="16.2" customHeight="1" x14ac:dyDescent="0.3">
      <c r="B4" s="85" t="s">
        <v>100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</row>
    <row r="5" spans="2:20" x14ac:dyDescent="0.3">
      <c r="B5" s="86" t="s">
        <v>4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</row>
    <row r="6" spans="2:20" ht="140.4" customHeight="1" x14ac:dyDescent="0.3">
      <c r="B6" s="85" t="s">
        <v>24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</row>
    <row r="7" spans="2:20" x14ac:dyDescent="0.3">
      <c r="B7" s="86" t="s">
        <v>5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</row>
    <row r="8" spans="2:20" ht="36" customHeight="1" x14ac:dyDescent="0.3">
      <c r="B8" s="85" t="s">
        <v>99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</row>
    <row r="9" spans="2:20" ht="16.8" customHeight="1" x14ac:dyDescent="0.3">
      <c r="B9" s="86" t="s">
        <v>6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</row>
    <row r="10" spans="2:20" ht="43.8" customHeight="1" x14ac:dyDescent="0.3">
      <c r="B10" s="105" t="s">
        <v>98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</row>
    <row r="11" spans="2:20" x14ac:dyDescent="0.3">
      <c r="B11" s="86" t="s">
        <v>7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</row>
    <row r="12" spans="2:20" ht="34.799999999999997" customHeight="1" x14ac:dyDescent="0.3">
      <c r="B12" s="85" t="s">
        <v>97</v>
      </c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</row>
    <row r="13" spans="2:20" x14ac:dyDescent="0.3">
      <c r="B13" s="86" t="s">
        <v>8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</row>
    <row r="14" spans="2:20" ht="50.4" customHeight="1" x14ac:dyDescent="0.3">
      <c r="B14" s="85" t="s">
        <v>25</v>
      </c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</row>
    <row r="15" spans="2:20" x14ac:dyDescent="0.3">
      <c r="B15" s="86" t="s">
        <v>9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</row>
    <row r="16" spans="2:20" ht="36.6" customHeight="1" x14ac:dyDescent="0.3">
      <c r="B16" s="85" t="s">
        <v>95</v>
      </c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</row>
    <row r="17" spans="2:20" ht="36.6" customHeight="1" x14ac:dyDescent="0.3">
      <c r="B17" s="85" t="s">
        <v>96</v>
      </c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</row>
    <row r="18" spans="2:20" x14ac:dyDescent="0.3">
      <c r="B18" s="86" t="s">
        <v>10</v>
      </c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</row>
    <row r="19" spans="2:20" ht="19.2" customHeight="1" x14ac:dyDescent="0.3">
      <c r="B19" s="85" t="s">
        <v>113</v>
      </c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</row>
    <row r="20" spans="2:20" ht="19.2" customHeight="1" x14ac:dyDescent="0.3">
      <c r="B20" s="85" t="s">
        <v>114</v>
      </c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</row>
    <row r="21" spans="2:20" ht="19.2" customHeight="1" x14ac:dyDescent="0.3">
      <c r="B21" s="85" t="s">
        <v>115</v>
      </c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</row>
    <row r="22" spans="2:20" ht="19.2" customHeight="1" x14ac:dyDescent="0.3">
      <c r="B22" s="86" t="s">
        <v>11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</row>
    <row r="23" spans="2:20" ht="22.8" customHeight="1" x14ac:dyDescent="0.3">
      <c r="B23" s="85" t="s">
        <v>101</v>
      </c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</row>
    <row r="24" spans="2:20" x14ac:dyDescent="0.3">
      <c r="B24" s="86" t="s">
        <v>12</v>
      </c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</row>
    <row r="25" spans="2:20" ht="17.399999999999999" customHeight="1" x14ac:dyDescent="0.3">
      <c r="B25" s="85" t="s">
        <v>102</v>
      </c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</row>
    <row r="26" spans="2:20" x14ac:dyDescent="0.3">
      <c r="B26" s="86" t="s">
        <v>13</v>
      </c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</row>
    <row r="27" spans="2:20" ht="137.4" customHeight="1" x14ac:dyDescent="0.3">
      <c r="B27" s="88" t="s">
        <v>26</v>
      </c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</row>
    <row r="28" spans="2:20" ht="30.6" customHeight="1" x14ac:dyDescent="0.3">
      <c r="B28" s="90" t="s">
        <v>14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</row>
    <row r="29" spans="2:20" ht="21" customHeight="1" x14ac:dyDescent="0.3">
      <c r="B29" s="89" t="s">
        <v>112</v>
      </c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</row>
    <row r="30" spans="2:20" ht="29.4" customHeight="1" x14ac:dyDescent="0.3">
      <c r="B30" s="90" t="s">
        <v>15</v>
      </c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</row>
    <row r="31" spans="2:20" ht="22.2" customHeight="1" x14ac:dyDescent="0.3">
      <c r="B31" s="89" t="s">
        <v>111</v>
      </c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</row>
    <row r="32" spans="2:20" x14ac:dyDescent="0.3">
      <c r="B32" s="86" t="s">
        <v>16</v>
      </c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</row>
    <row r="33" spans="2:21" ht="38.4" customHeight="1" x14ac:dyDescent="0.3">
      <c r="B33" s="89" t="s">
        <v>27</v>
      </c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1"/>
    </row>
    <row r="34" spans="2:21" x14ac:dyDescent="0.3">
      <c r="B34" s="86" t="s">
        <v>17</v>
      </c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</row>
    <row r="35" spans="2:21" ht="39" customHeight="1" x14ac:dyDescent="0.3">
      <c r="B35" s="89" t="s">
        <v>110</v>
      </c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</row>
    <row r="36" spans="2:21" x14ac:dyDescent="0.3">
      <c r="B36" s="86" t="s">
        <v>18</v>
      </c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</row>
    <row r="37" spans="2:21" ht="19.2" customHeight="1" x14ac:dyDescent="0.3">
      <c r="B37" s="89" t="s">
        <v>109</v>
      </c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</row>
    <row r="38" spans="2:21" x14ac:dyDescent="0.3">
      <c r="B38" s="86" t="s">
        <v>19</v>
      </c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</row>
    <row r="39" spans="2:21" ht="20.399999999999999" customHeight="1" x14ac:dyDescent="0.3">
      <c r="B39" s="89" t="s">
        <v>108</v>
      </c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</row>
    <row r="40" spans="2:21" x14ac:dyDescent="0.3">
      <c r="B40" s="86" t="s">
        <v>20</v>
      </c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</row>
    <row r="41" spans="2:21" x14ac:dyDescent="0.3">
      <c r="B41" t="s">
        <v>104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</row>
    <row r="42" spans="2:21" x14ac:dyDescent="0.3">
      <c r="B42" t="s">
        <v>105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</row>
    <row r="43" spans="2:21" x14ac:dyDescent="0.3">
      <c r="B43" t="s">
        <v>106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 spans="2:21" x14ac:dyDescent="0.3">
      <c r="B44" s="106" t="s">
        <v>107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  <row r="45" spans="2:21" x14ac:dyDescent="0.3">
      <c r="B45" s="86" t="s">
        <v>21</v>
      </c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</row>
    <row r="46" spans="2:21" ht="52.8" customHeight="1" x14ac:dyDescent="0.3">
      <c r="B46" s="89" t="s">
        <v>103</v>
      </c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</row>
    <row r="47" spans="2:21" x14ac:dyDescent="0.3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</sheetData>
  <mergeCells count="41">
    <mergeCell ref="B46:T46"/>
    <mergeCell ref="B8:T8"/>
    <mergeCell ref="B6:T6"/>
    <mergeCell ref="B3:T3"/>
    <mergeCell ref="B16:T16"/>
    <mergeCell ref="B23:T23"/>
    <mergeCell ref="B25:T25"/>
    <mergeCell ref="B38:P38"/>
    <mergeCell ref="B39:T39"/>
    <mergeCell ref="B40:P40"/>
    <mergeCell ref="B45:P45"/>
    <mergeCell ref="B33:T33"/>
    <mergeCell ref="B34:P34"/>
    <mergeCell ref="B35:T35"/>
    <mergeCell ref="B36:P36"/>
    <mergeCell ref="B37:T37"/>
    <mergeCell ref="B28:P28"/>
    <mergeCell ref="B29:T29"/>
    <mergeCell ref="B30:P30"/>
    <mergeCell ref="B31:T31"/>
    <mergeCell ref="B32:P32"/>
    <mergeCell ref="B27:T27"/>
    <mergeCell ref="B13:P13"/>
    <mergeCell ref="B15:P15"/>
    <mergeCell ref="B24:P24"/>
    <mergeCell ref="B18:P18"/>
    <mergeCell ref="B22:P22"/>
    <mergeCell ref="B26:P26"/>
    <mergeCell ref="B17:T17"/>
    <mergeCell ref="B20:T20"/>
    <mergeCell ref="B21:T21"/>
    <mergeCell ref="B12:T12"/>
    <mergeCell ref="B14:T14"/>
    <mergeCell ref="B19:T19"/>
    <mergeCell ref="B2:P2"/>
    <mergeCell ref="B5:P5"/>
    <mergeCell ref="B7:P7"/>
    <mergeCell ref="B9:P9"/>
    <mergeCell ref="B11:P11"/>
    <mergeCell ref="B10:T10"/>
    <mergeCell ref="B4:T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 1</vt:lpstr>
      <vt:lpstr>Задание 2</vt:lpstr>
      <vt:lpstr>Задание 3</vt:lpstr>
      <vt:lpstr>Задание 4</vt:lpstr>
      <vt:lpstr>Задание 5</vt:lpstr>
      <vt:lpstr>Ответы на вопросы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2023-04-27T23:59:54Z</dcterms:modified>
</cp:coreProperties>
</file>