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20490" windowHeight="8340" tabRatio="906" firstSheet="15" activeTab="20"/>
  </bookViews>
  <sheets>
    <sheet name="Basic" sheetId="1" r:id="rId1"/>
    <sheet name="Classwork 1" sheetId="2" r:id="rId2"/>
    <sheet name="Sheet3" sheetId="23" r:id="rId3"/>
    <sheet name="Classwork 2" sheetId="3" r:id="rId4"/>
    <sheet name="DANGOTE INDUSTRIES" sheetId="4" r:id="rId5"/>
    <sheet name="PRIMETIME ACADEMY" sheetId="5" r:id="rId6"/>
    <sheet name="SETRACO NIGERIA LIMITED" sheetId="6" r:id="rId7"/>
    <sheet name="CHARTS OF KING CITY" sheetId="9" r:id="rId8"/>
    <sheet name="KING CITY" sheetId="8" r:id="rId9"/>
    <sheet name="AUDIT 1" sheetId="10" r:id="rId10"/>
    <sheet name="Weather" sheetId="11" r:id="rId11"/>
    <sheet name="CHARTS OF WEATHER" sheetId="12" r:id="rId12"/>
    <sheet name="Salary Details (Reviwed Copy)" sheetId="13" r:id="rId13"/>
    <sheet name="Projections" sheetId="14" r:id="rId14"/>
    <sheet name="Classwork 3, SUMIF" sheetId="15" r:id="rId15"/>
    <sheet name="Classwork 4, COUNTIF" sheetId="16" r:id="rId16"/>
    <sheet name="Income and Expenditure" sheetId="17" r:id="rId17"/>
    <sheet name="OSCAR" sheetId="18" r:id="rId18"/>
    <sheet name="NTU" sheetId="19" r:id="rId19"/>
    <sheet name="Grades" sheetId="20" r:id="rId20"/>
    <sheet name="Overtime Analysis" sheetId="7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6" i="2"/>
  <c r="D13" i="20" l="1"/>
  <c r="E13" i="20"/>
  <c r="F13" i="20"/>
  <c r="C13" i="20"/>
  <c r="D12" i="20"/>
  <c r="E12" i="20"/>
  <c r="F12" i="20"/>
  <c r="C12" i="20"/>
  <c r="D11" i="20"/>
  <c r="E11" i="20"/>
  <c r="F11" i="20"/>
  <c r="C11" i="20"/>
  <c r="D10" i="20"/>
  <c r="E10" i="20"/>
  <c r="F10" i="20"/>
  <c r="C10" i="20"/>
  <c r="D9" i="20"/>
  <c r="E9" i="20"/>
  <c r="F9" i="20"/>
  <c r="C9" i="20"/>
  <c r="H5" i="20"/>
  <c r="H7" i="20"/>
  <c r="G4" i="20"/>
  <c r="H4" i="20" s="1"/>
  <c r="G5" i="20"/>
  <c r="G6" i="20"/>
  <c r="H6" i="20" s="1"/>
  <c r="G7" i="20"/>
  <c r="G3" i="20"/>
  <c r="H3" i="20" s="1"/>
  <c r="D16" i="19"/>
  <c r="C16" i="19"/>
  <c r="D15" i="19"/>
  <c r="C15" i="19"/>
  <c r="D14" i="19"/>
  <c r="C14" i="19"/>
  <c r="D13" i="19"/>
  <c r="C13" i="19"/>
  <c r="H6" i="19"/>
  <c r="H7" i="19"/>
  <c r="H8" i="19"/>
  <c r="H9" i="19"/>
  <c r="H10" i="19"/>
  <c r="H11" i="19"/>
  <c r="H5" i="19"/>
  <c r="F6" i="19"/>
  <c r="G6" i="19" s="1"/>
  <c r="I6" i="19" s="1"/>
  <c r="F7" i="19"/>
  <c r="G7" i="19" s="1"/>
  <c r="I7" i="19" s="1"/>
  <c r="F8" i="19"/>
  <c r="G8" i="19" s="1"/>
  <c r="I8" i="19" s="1"/>
  <c r="F9" i="19"/>
  <c r="G9" i="19" s="1"/>
  <c r="I9" i="19" s="1"/>
  <c r="F10" i="19"/>
  <c r="G10" i="19" s="1"/>
  <c r="I10" i="19" s="1"/>
  <c r="F11" i="19"/>
  <c r="G11" i="19" s="1"/>
  <c r="I11" i="19" s="1"/>
  <c r="F5" i="19"/>
  <c r="G5" i="19" s="1"/>
  <c r="G19" i="19" l="1"/>
  <c r="I5" i="19"/>
  <c r="G18" i="19"/>
  <c r="D20" i="18"/>
  <c r="E19" i="18"/>
  <c r="D19" i="18"/>
  <c r="E18" i="18"/>
  <c r="D18" i="18"/>
  <c r="E17" i="18"/>
  <c r="D17" i="18"/>
  <c r="E16" i="18"/>
  <c r="D16" i="18"/>
  <c r="G8" i="18"/>
  <c r="G10" i="18"/>
  <c r="G11" i="18"/>
  <c r="G12" i="18"/>
  <c r="G13" i="18"/>
  <c r="G14" i="18"/>
  <c r="G9" i="18"/>
  <c r="H14" i="18"/>
  <c r="H13" i="18"/>
  <c r="H12" i="18"/>
  <c r="H11" i="18"/>
  <c r="H10" i="18"/>
  <c r="H9" i="18"/>
  <c r="H8" i="18"/>
  <c r="F14" i="18"/>
  <c r="I14" i="18" s="1"/>
  <c r="F13" i="18"/>
  <c r="F12" i="18"/>
  <c r="I12" i="18" s="1"/>
  <c r="F11" i="18"/>
  <c r="I11" i="18" s="1"/>
  <c r="F10" i="18"/>
  <c r="I10" i="18" s="1"/>
  <c r="F9" i="18"/>
  <c r="F8" i="18"/>
  <c r="D19" i="17"/>
  <c r="G19" i="17"/>
  <c r="C19" i="17"/>
  <c r="D9" i="17"/>
  <c r="F9" i="17"/>
  <c r="G9" i="17"/>
  <c r="C9" i="17"/>
  <c r="F14" i="17"/>
  <c r="F19" i="17" s="1"/>
  <c r="E18" i="17"/>
  <c r="I18" i="17" s="1"/>
  <c r="E17" i="17"/>
  <c r="I17" i="17" s="1"/>
  <c r="E16" i="17"/>
  <c r="I16" i="17" s="1"/>
  <c r="E15" i="17"/>
  <c r="I15" i="17" s="1"/>
  <c r="E14" i="17"/>
  <c r="H14" i="17" s="1"/>
  <c r="E8" i="17"/>
  <c r="I8" i="17" s="1"/>
  <c r="E7" i="17"/>
  <c r="H7" i="17" s="1"/>
  <c r="E6" i="17"/>
  <c r="I6" i="17" s="1"/>
  <c r="E5" i="17"/>
  <c r="H5" i="17" s="1"/>
  <c r="E4" i="17"/>
  <c r="H4" i="17" s="1"/>
  <c r="H8" i="17" l="1"/>
  <c r="I9" i="18"/>
  <c r="I13" i="18"/>
  <c r="I8" i="18"/>
  <c r="I4" i="17"/>
  <c r="I14" i="17"/>
  <c r="I19" i="17" s="1"/>
  <c r="I5" i="17"/>
  <c r="H18" i="17"/>
  <c r="E19" i="17"/>
  <c r="H6" i="17"/>
  <c r="E9" i="17"/>
  <c r="I7" i="17"/>
  <c r="H15" i="17"/>
  <c r="H17" i="17"/>
  <c r="H16" i="17"/>
  <c r="G7" i="16"/>
  <c r="G10" i="16"/>
  <c r="G9" i="16"/>
  <c r="G8" i="16"/>
  <c r="G6" i="16"/>
  <c r="C14" i="15"/>
  <c r="D14" i="15"/>
  <c r="E14" i="15"/>
  <c r="D13" i="15"/>
  <c r="E13" i="15"/>
  <c r="C13" i="15"/>
  <c r="E10" i="15"/>
  <c r="E11" i="15" s="1"/>
  <c r="D8" i="15"/>
  <c r="D10" i="15" s="1"/>
  <c r="D11" i="15" s="1"/>
  <c r="E8" i="15"/>
  <c r="C8" i="15"/>
  <c r="C10" i="15" s="1"/>
  <c r="C11" i="15" s="1"/>
  <c r="G4" i="15"/>
  <c r="G5" i="15"/>
  <c r="G6" i="15"/>
  <c r="G7" i="15"/>
  <c r="G3" i="15"/>
  <c r="F4" i="15"/>
  <c r="F5" i="15"/>
  <c r="F6" i="15"/>
  <c r="F7" i="15"/>
  <c r="F3" i="15"/>
  <c r="C3" i="14"/>
  <c r="C14" i="14" s="1"/>
  <c r="C15" i="14"/>
  <c r="B15" i="14"/>
  <c r="B14" i="14"/>
  <c r="B19" i="14" s="1"/>
  <c r="C13" i="14"/>
  <c r="D13" i="14" s="1"/>
  <c r="E13" i="14" s="1"/>
  <c r="F13" i="14" s="1"/>
  <c r="G13" i="14" s="1"/>
  <c r="C9" i="14"/>
  <c r="D9" i="14" s="1"/>
  <c r="E9" i="14" s="1"/>
  <c r="F9" i="14" s="1"/>
  <c r="G9" i="14" s="1"/>
  <c r="C8" i="14"/>
  <c r="B8" i="14"/>
  <c r="C7" i="14"/>
  <c r="B7" i="14"/>
  <c r="C6" i="14"/>
  <c r="B6" i="14"/>
  <c r="B11" i="14" s="1"/>
  <c r="B21" i="14" s="1"/>
  <c r="B25" i="14" s="1"/>
  <c r="B29" i="14" l="1"/>
  <c r="B27" i="14"/>
  <c r="G11" i="16"/>
  <c r="I9" i="17"/>
  <c r="H9" i="17"/>
  <c r="H19" i="17"/>
  <c r="C19" i="14"/>
  <c r="D3" i="14"/>
  <c r="C11" i="14"/>
  <c r="G9" i="13"/>
  <c r="H9" i="13" s="1"/>
  <c r="F12" i="13"/>
  <c r="F5" i="13"/>
  <c r="F6" i="13"/>
  <c r="G6" i="13" s="1"/>
  <c r="H6" i="13" s="1"/>
  <c r="F7" i="13"/>
  <c r="G7" i="13" s="1"/>
  <c r="H7" i="13" s="1"/>
  <c r="F8" i="13"/>
  <c r="F4" i="13"/>
  <c r="G4" i="13" s="1"/>
  <c r="F9" i="13"/>
  <c r="F10" i="13"/>
  <c r="G10" i="13" s="1"/>
  <c r="H10" i="13" s="1"/>
  <c r="F11" i="13"/>
  <c r="C5" i="11"/>
  <c r="D5" i="11"/>
  <c r="D13" i="11" s="1"/>
  <c r="E5" i="11"/>
  <c r="F5" i="11"/>
  <c r="B5" i="11"/>
  <c r="G4" i="11"/>
  <c r="G7" i="11"/>
  <c r="G3" i="11"/>
  <c r="E13" i="11"/>
  <c r="F13" i="11"/>
  <c r="C13" i="11"/>
  <c r="F12" i="11"/>
  <c r="F15" i="11"/>
  <c r="F11" i="11"/>
  <c r="E12" i="11"/>
  <c r="E15" i="11"/>
  <c r="D12" i="11"/>
  <c r="D15" i="11"/>
  <c r="C12" i="11"/>
  <c r="C15" i="11"/>
  <c r="B12" i="11"/>
  <c r="B15" i="11"/>
  <c r="G15" i="11" s="1"/>
  <c r="C11" i="11"/>
  <c r="D11" i="11"/>
  <c r="E11" i="11"/>
  <c r="B11" i="11"/>
  <c r="C6" i="11"/>
  <c r="C14" i="11" s="1"/>
  <c r="D6" i="11"/>
  <c r="D14" i="11" s="1"/>
  <c r="E6" i="11"/>
  <c r="E14" i="11" s="1"/>
  <c r="F6" i="11"/>
  <c r="F14" i="11" s="1"/>
  <c r="B6" i="11"/>
  <c r="B14" i="11" s="1"/>
  <c r="G14" i="11" l="1"/>
  <c r="G11" i="11"/>
  <c r="G12" i="11"/>
  <c r="C21" i="14"/>
  <c r="C25" i="14" s="1"/>
  <c r="C27" i="14" s="1"/>
  <c r="E3" i="14"/>
  <c r="D15" i="14"/>
  <c r="D7" i="14"/>
  <c r="D8" i="14"/>
  <c r="D14" i="14"/>
  <c r="D6" i="14"/>
  <c r="G5" i="13"/>
  <c r="H5" i="13" s="1"/>
  <c r="G11" i="13"/>
  <c r="H11" i="13" s="1"/>
  <c r="G8" i="13"/>
  <c r="H8" i="13" s="1"/>
  <c r="G12" i="13"/>
  <c r="H12" i="13" s="1"/>
  <c r="H4" i="13"/>
  <c r="G5" i="11"/>
  <c r="G6" i="11"/>
  <c r="B13" i="11"/>
  <c r="G13" i="11" s="1"/>
  <c r="C12" i="10"/>
  <c r="B12" i="10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4" i="10"/>
  <c r="E4" i="10" s="1"/>
  <c r="P13" i="8"/>
  <c r="O13" i="8"/>
  <c r="N13" i="8"/>
  <c r="M13" i="8"/>
  <c r="K3" i="8"/>
  <c r="J3" i="8"/>
  <c r="I3" i="8"/>
  <c r="H3" i="8"/>
  <c r="F5" i="7"/>
  <c r="F32" i="7"/>
  <c r="F6" i="7"/>
  <c r="F7" i="7"/>
  <c r="F27" i="7"/>
  <c r="F8" i="7"/>
  <c r="F9" i="7"/>
  <c r="F10" i="7"/>
  <c r="F16" i="7"/>
  <c r="F17" i="7"/>
  <c r="F11" i="7"/>
  <c r="F12" i="7"/>
  <c r="F28" i="7"/>
  <c r="F33" i="7"/>
  <c r="F34" i="7"/>
  <c r="F18" i="7"/>
  <c r="F19" i="7"/>
  <c r="F20" i="7"/>
  <c r="F21" i="7"/>
  <c r="F22" i="7"/>
  <c r="F23" i="7"/>
  <c r="F4" i="7"/>
  <c r="F15" i="7" l="1"/>
  <c r="F36" i="7"/>
  <c r="F25" i="7"/>
  <c r="F31" i="7"/>
  <c r="F14" i="7"/>
  <c r="F24" i="7"/>
  <c r="F26" i="7"/>
  <c r="F30" i="7"/>
  <c r="F35" i="7"/>
  <c r="F37" i="7"/>
  <c r="F13" i="7"/>
  <c r="F29" i="7"/>
  <c r="D12" i="10"/>
  <c r="C29" i="14"/>
  <c r="D11" i="14"/>
  <c r="D19" i="14"/>
  <c r="F3" i="14"/>
  <c r="E8" i="14"/>
  <c r="E6" i="14"/>
  <c r="E14" i="14"/>
  <c r="E15" i="14"/>
  <c r="E7" i="14"/>
  <c r="E34" i="6"/>
  <c r="E35" i="6"/>
  <c r="E36" i="6"/>
  <c r="E37" i="6"/>
  <c r="E33" i="6"/>
  <c r="F5" i="6"/>
  <c r="F6" i="6"/>
  <c r="F7" i="6"/>
  <c r="F8" i="6"/>
  <c r="F9" i="6"/>
  <c r="F10" i="6"/>
  <c r="F11" i="6"/>
  <c r="F12" i="6"/>
  <c r="F4" i="6"/>
  <c r="E5" i="6"/>
  <c r="E6" i="6"/>
  <c r="E7" i="6"/>
  <c r="E8" i="6"/>
  <c r="E9" i="6"/>
  <c r="E10" i="6"/>
  <c r="E11" i="6"/>
  <c r="E12" i="6"/>
  <c r="E4" i="6"/>
  <c r="D5" i="6"/>
  <c r="D6" i="6"/>
  <c r="H6" i="6" s="1"/>
  <c r="I6" i="6" s="1"/>
  <c r="J6" i="6" s="1"/>
  <c r="D7" i="6"/>
  <c r="D8" i="6"/>
  <c r="H8" i="6" s="1"/>
  <c r="I8" i="6" s="1"/>
  <c r="J8" i="6" s="1"/>
  <c r="D9" i="6"/>
  <c r="D10" i="6"/>
  <c r="H10" i="6" s="1"/>
  <c r="I10" i="6" s="1"/>
  <c r="J10" i="6" s="1"/>
  <c r="D11" i="6"/>
  <c r="D12" i="6"/>
  <c r="D4" i="6"/>
  <c r="C5" i="6"/>
  <c r="H5" i="6" s="1"/>
  <c r="I5" i="6" s="1"/>
  <c r="J5" i="6" s="1"/>
  <c r="C6" i="6"/>
  <c r="C7" i="6"/>
  <c r="H7" i="6" s="1"/>
  <c r="I7" i="6" s="1"/>
  <c r="J7" i="6" s="1"/>
  <c r="C8" i="6"/>
  <c r="C9" i="6"/>
  <c r="H9" i="6" s="1"/>
  <c r="I9" i="6" s="1"/>
  <c r="J9" i="6" s="1"/>
  <c r="C10" i="6"/>
  <c r="C11" i="6"/>
  <c r="H11" i="6" s="1"/>
  <c r="I11" i="6" s="1"/>
  <c r="J11" i="6" s="1"/>
  <c r="C12" i="6"/>
  <c r="H12" i="6" s="1"/>
  <c r="I12" i="6" s="1"/>
  <c r="J12" i="6" s="1"/>
  <c r="C4" i="6"/>
  <c r="H4" i="6" s="1"/>
  <c r="I4" i="6" s="1"/>
  <c r="J4" i="6" s="1"/>
  <c r="E19" i="14" l="1"/>
  <c r="E11" i="14"/>
  <c r="D21" i="14"/>
  <c r="D25" i="14" s="1"/>
  <c r="D27" i="14" s="1"/>
  <c r="D29" i="14" s="1"/>
  <c r="F7" i="14"/>
  <c r="F14" i="14"/>
  <c r="G3" i="14"/>
  <c r="F15" i="14"/>
  <c r="F8" i="14"/>
  <c r="F6" i="14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6" i="5"/>
  <c r="G6" i="5" s="1"/>
  <c r="J6" i="5" s="1"/>
  <c r="J18" i="5" l="1"/>
  <c r="I18" i="5"/>
  <c r="H18" i="5"/>
  <c r="J16" i="5"/>
  <c r="I16" i="5"/>
  <c r="H16" i="5"/>
  <c r="J12" i="5"/>
  <c r="I12" i="5"/>
  <c r="H12" i="5"/>
  <c r="J10" i="5"/>
  <c r="I10" i="5"/>
  <c r="H10" i="5"/>
  <c r="J8" i="5"/>
  <c r="I8" i="5"/>
  <c r="H8" i="5"/>
  <c r="J17" i="5"/>
  <c r="I17" i="5"/>
  <c r="H17" i="5"/>
  <c r="J15" i="5"/>
  <c r="I15" i="5"/>
  <c r="H15" i="5"/>
  <c r="J13" i="5"/>
  <c r="I13" i="5"/>
  <c r="H13" i="5"/>
  <c r="J11" i="5"/>
  <c r="I11" i="5"/>
  <c r="H11" i="5"/>
  <c r="J9" i="5"/>
  <c r="I9" i="5"/>
  <c r="H9" i="5"/>
  <c r="J7" i="5"/>
  <c r="I7" i="5"/>
  <c r="H7" i="5"/>
  <c r="J14" i="5"/>
  <c r="I14" i="5"/>
  <c r="H14" i="5"/>
  <c r="I6" i="5"/>
  <c r="H6" i="5"/>
  <c r="E21" i="14"/>
  <c r="E25" i="14" s="1"/>
  <c r="G14" i="14"/>
  <c r="G8" i="14"/>
  <c r="G6" i="14"/>
  <c r="G15" i="14"/>
  <c r="G7" i="14"/>
  <c r="F11" i="14"/>
  <c r="F19" i="14"/>
  <c r="E27" i="14"/>
  <c r="E29" i="14" s="1"/>
  <c r="F5" i="4"/>
  <c r="C12" i="4"/>
  <c r="H5" i="4"/>
  <c r="I5" i="4" s="1"/>
  <c r="H7" i="4"/>
  <c r="I7" i="4" s="1"/>
  <c r="G5" i="4"/>
  <c r="G6" i="4"/>
  <c r="H6" i="4" s="1"/>
  <c r="I6" i="4" s="1"/>
  <c r="G7" i="4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4" i="4"/>
  <c r="H4" i="4" s="1"/>
  <c r="I4" i="4" s="1"/>
  <c r="F6" i="4"/>
  <c r="F7" i="4"/>
  <c r="F8" i="4"/>
  <c r="F9" i="4"/>
  <c r="F10" i="4"/>
  <c r="F11" i="4"/>
  <c r="F4" i="4"/>
  <c r="I12" i="4" l="1"/>
  <c r="G19" i="14"/>
  <c r="F21" i="14"/>
  <c r="F25" i="14" s="1"/>
  <c r="G11" i="14"/>
  <c r="G21" i="14" s="1"/>
  <c r="G25" i="14" s="1"/>
  <c r="N5" i="3"/>
  <c r="O5" i="3" s="1"/>
  <c r="N3" i="3"/>
  <c r="O3" i="3" s="1"/>
  <c r="L4" i="3"/>
  <c r="L5" i="3"/>
  <c r="L6" i="3"/>
  <c r="M4" i="3"/>
  <c r="N4" i="3" s="1"/>
  <c r="O4" i="3" s="1"/>
  <c r="M5" i="3"/>
  <c r="M6" i="3"/>
  <c r="N6" i="3" s="1"/>
  <c r="O6" i="3" s="1"/>
  <c r="M3" i="3"/>
  <c r="F4" i="3"/>
  <c r="F6" i="3"/>
  <c r="F8" i="3"/>
  <c r="L3" i="3"/>
  <c r="D4" i="3"/>
  <c r="D5" i="3"/>
  <c r="F5" i="3" s="1"/>
  <c r="D6" i="3"/>
  <c r="D7" i="3"/>
  <c r="F7" i="3" s="1"/>
  <c r="D8" i="3"/>
  <c r="D3" i="3"/>
  <c r="F3" i="3" s="1"/>
  <c r="G2" i="2"/>
  <c r="G7" i="2" s="1"/>
  <c r="G3" i="2"/>
  <c r="G5" i="2"/>
  <c r="C7" i="2"/>
  <c r="D7" i="2"/>
  <c r="E7" i="2"/>
  <c r="F7" i="2"/>
  <c r="B7" i="2"/>
  <c r="O7" i="3" l="1"/>
  <c r="G27" i="14"/>
  <c r="G29" i="14"/>
  <c r="F27" i="14"/>
  <c r="F29" i="14" s="1"/>
</calcChain>
</file>

<file path=xl/sharedStrings.xml><?xml version="1.0" encoding="utf-8"?>
<sst xmlns="http://schemas.openxmlformats.org/spreadsheetml/2006/main" count="487" uniqueCount="358">
  <si>
    <t>Name</t>
  </si>
  <si>
    <t>Class</t>
  </si>
  <si>
    <t xml:space="preserve">Age </t>
  </si>
  <si>
    <t>School Fees</t>
  </si>
  <si>
    <t>Jolan</t>
  </si>
  <si>
    <t>Peter</t>
  </si>
  <si>
    <t>Faith</t>
  </si>
  <si>
    <t>Favour</t>
  </si>
  <si>
    <t>SS1</t>
  </si>
  <si>
    <t>JSS3</t>
  </si>
  <si>
    <t>SS3</t>
  </si>
  <si>
    <t>SS2</t>
  </si>
  <si>
    <t>Name of Goods</t>
  </si>
  <si>
    <t>Monday</t>
  </si>
  <si>
    <t>Tuesday</t>
  </si>
  <si>
    <t>Wednesday</t>
  </si>
  <si>
    <t>Thursday</t>
  </si>
  <si>
    <t>Friday</t>
  </si>
  <si>
    <t>Total</t>
  </si>
  <si>
    <t xml:space="preserve">Friday </t>
  </si>
  <si>
    <t>Cream</t>
  </si>
  <si>
    <t>Cookies</t>
  </si>
  <si>
    <t>Rice</t>
  </si>
  <si>
    <t>Beans</t>
  </si>
  <si>
    <t>Egg</t>
  </si>
  <si>
    <t>Test</t>
  </si>
  <si>
    <t>Exam</t>
  </si>
  <si>
    <t>Bonus</t>
  </si>
  <si>
    <t>Ade</t>
  </si>
  <si>
    <t>Bose</t>
  </si>
  <si>
    <t>Chukwudi</t>
  </si>
  <si>
    <t>Dauda</t>
  </si>
  <si>
    <t>Emeka</t>
  </si>
  <si>
    <t>Wholesale</t>
  </si>
  <si>
    <t>Retial</t>
  </si>
  <si>
    <t>Difference</t>
  </si>
  <si>
    <t>Amount</t>
  </si>
  <si>
    <t>Soap</t>
  </si>
  <si>
    <t>Detergent</t>
  </si>
  <si>
    <t>Polish</t>
  </si>
  <si>
    <t>New Total Score</t>
  </si>
  <si>
    <t>Total Amount</t>
  </si>
  <si>
    <t>6% Discount</t>
  </si>
  <si>
    <t>New Price</t>
  </si>
  <si>
    <t>DANGOTE INDUSTRIES</t>
  </si>
  <si>
    <t>SALES RECORD FOR [MONTH][YEAR]</t>
  </si>
  <si>
    <t>Seriel Number</t>
  </si>
  <si>
    <t>Quantity</t>
  </si>
  <si>
    <t>Old Price</t>
  </si>
  <si>
    <t>Discounted Price</t>
  </si>
  <si>
    <t>Amount Made</t>
  </si>
  <si>
    <t>Item</t>
  </si>
  <si>
    <t>Cement</t>
  </si>
  <si>
    <t>Sugar</t>
  </si>
  <si>
    <t>Flour</t>
  </si>
  <si>
    <t>Salt</t>
  </si>
  <si>
    <t>Juice</t>
  </si>
  <si>
    <t>Wheat</t>
  </si>
  <si>
    <t>PRIMETIME ACADEMY</t>
  </si>
  <si>
    <t>SECOND TERM REPORT SHEET</t>
  </si>
  <si>
    <t>ENGLISH LANGUAGE RESULTS</t>
  </si>
  <si>
    <t>NAME OF STUDENT</t>
  </si>
  <si>
    <t>CONTINUOUS ASSESSMENT</t>
  </si>
  <si>
    <t>ATTENDANCE SCORE</t>
  </si>
  <si>
    <t>EXAM SCORE</t>
  </si>
  <si>
    <t>TOTAL SCORE</t>
  </si>
  <si>
    <t>REMARK</t>
  </si>
  <si>
    <t>GRADE I</t>
  </si>
  <si>
    <t>GRADE II</t>
  </si>
  <si>
    <t>FIRST TEST</t>
  </si>
  <si>
    <t>SECOND TEST</t>
  </si>
  <si>
    <t>TOTAL TEST</t>
  </si>
  <si>
    <t>(10 MARKS)</t>
  </si>
  <si>
    <t>(60 MARKS)</t>
  </si>
  <si>
    <t>(100 MARKS)</t>
  </si>
  <si>
    <t>Chioma</t>
  </si>
  <si>
    <t>Folasade</t>
  </si>
  <si>
    <t>Fred</t>
  </si>
  <si>
    <t>Genevieve</t>
  </si>
  <si>
    <t>Gideon</t>
  </si>
  <si>
    <t>Haruna</t>
  </si>
  <si>
    <t>Jessica</t>
  </si>
  <si>
    <t>Kayode</t>
  </si>
  <si>
    <t>Patience</t>
  </si>
  <si>
    <t>Stephen</t>
  </si>
  <si>
    <t>Uzoma</t>
  </si>
  <si>
    <t>Winfred</t>
  </si>
  <si>
    <t>SETRACO NIG. LIMITED</t>
  </si>
  <si>
    <t>STAFF PAYROLL FOR MAY, 2019</t>
  </si>
  <si>
    <t>NAME OF STAFF</t>
  </si>
  <si>
    <t>BASIC SALARY</t>
  </si>
  <si>
    <t>TRANSPORT ALLOANCE</t>
  </si>
  <si>
    <t>FEEDING ALLOWANCE</t>
  </si>
  <si>
    <t>WARDROBE ALLOWANCE</t>
  </si>
  <si>
    <t>TAX</t>
  </si>
  <si>
    <t>UTILITIES</t>
  </si>
  <si>
    <t>GROSS PAY</t>
  </si>
  <si>
    <t>NET PAY</t>
  </si>
  <si>
    <t>Tolu</t>
  </si>
  <si>
    <t>Bola</t>
  </si>
  <si>
    <t>Tunde</t>
  </si>
  <si>
    <t>Shegun</t>
  </si>
  <si>
    <t>Tunji</t>
  </si>
  <si>
    <t>Ola</t>
  </si>
  <si>
    <t>Olu</t>
  </si>
  <si>
    <t>Dayo</t>
  </si>
  <si>
    <t>Names</t>
  </si>
  <si>
    <t>Age Group</t>
  </si>
  <si>
    <t>peter</t>
  </si>
  <si>
    <t>john</t>
  </si>
  <si>
    <t>faith</t>
  </si>
  <si>
    <t>precious</t>
  </si>
  <si>
    <t>daniel</t>
  </si>
  <si>
    <t>Brick Court Investments</t>
  </si>
  <si>
    <t>Overtime Calculations for the month of November</t>
  </si>
  <si>
    <t>Date</t>
  </si>
  <si>
    <t>Hours Worked</t>
  </si>
  <si>
    <t>Day of Week</t>
  </si>
  <si>
    <t>Rate</t>
  </si>
  <si>
    <t>Albert</t>
  </si>
  <si>
    <t>Lewis</t>
  </si>
  <si>
    <t>Carl</t>
  </si>
  <si>
    <t>Bernard</t>
  </si>
  <si>
    <t>Sun</t>
  </si>
  <si>
    <t>Fri</t>
  </si>
  <si>
    <t>Mon</t>
  </si>
  <si>
    <t>Sat</t>
  </si>
  <si>
    <t>Tue</t>
  </si>
  <si>
    <t>Thu</t>
  </si>
  <si>
    <t>Wed</t>
  </si>
  <si>
    <t>Average</t>
  </si>
  <si>
    <t>Highest</t>
  </si>
  <si>
    <t>MON</t>
  </si>
  <si>
    <t>Weekly Rainfall of King City in mm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</si>
  <si>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</si>
  <si>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</si>
  <si>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</si>
  <si>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</si>
  <si>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</si>
  <si>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</si>
  <si>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</si>
  <si>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</si>
  <si>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</si>
  <si>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</si>
  <si>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</si>
  <si>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</si>
  <si>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</si>
  <si>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</si>
  <si>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</si>
  <si>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</si>
  <si>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</si>
  <si>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</si>
  <si>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Montly Rainfall of King City in mm</t>
  </si>
  <si>
    <t>Lowest Rainfall</t>
  </si>
  <si>
    <t>Highest Rainfall</t>
  </si>
  <si>
    <t>Average Rainfall</t>
  </si>
  <si>
    <t>Total Rainfall</t>
  </si>
  <si>
    <t>Expenses for the Month of January vs. Budget</t>
  </si>
  <si>
    <t>Item(s)</t>
  </si>
  <si>
    <t xml:space="preserve">Budget </t>
  </si>
  <si>
    <t>Savings</t>
  </si>
  <si>
    <t>Salaries and Wages</t>
  </si>
  <si>
    <t>Rent</t>
  </si>
  <si>
    <t>Electricity</t>
  </si>
  <si>
    <t>Telephone</t>
  </si>
  <si>
    <t>Advertisements</t>
  </si>
  <si>
    <t>Freight and clearing</t>
  </si>
  <si>
    <t>Security</t>
  </si>
  <si>
    <t>Actual</t>
  </si>
  <si>
    <t>Remark</t>
  </si>
  <si>
    <t>TOWN/DAY</t>
  </si>
  <si>
    <t>Mombasa</t>
  </si>
  <si>
    <t>Kisumu</t>
  </si>
  <si>
    <t>Nakuru</t>
  </si>
  <si>
    <t>Nairobi</t>
  </si>
  <si>
    <t>Temp. in degrees Celsius</t>
  </si>
  <si>
    <t>Temp. in degrees Fahrenheit</t>
  </si>
  <si>
    <t>Kericho</t>
  </si>
  <si>
    <t>Av. Temp. (F)</t>
  </si>
  <si>
    <t>Av. Temp.(C)</t>
  </si>
  <si>
    <t>Employee Details</t>
  </si>
  <si>
    <t>Emp No</t>
  </si>
  <si>
    <t>Category</t>
  </si>
  <si>
    <t>Basic Pay</t>
  </si>
  <si>
    <t>Allowances</t>
  </si>
  <si>
    <t>Gross Pay</t>
  </si>
  <si>
    <t>Tax Deductions</t>
  </si>
  <si>
    <t>E8</t>
  </si>
  <si>
    <t>E9</t>
  </si>
  <si>
    <t>E2</t>
  </si>
  <si>
    <t>E3</t>
  </si>
  <si>
    <t>E4</t>
  </si>
  <si>
    <t>E5</t>
  </si>
  <si>
    <t>E1</t>
  </si>
  <si>
    <t>E6</t>
  </si>
  <si>
    <t>E7</t>
  </si>
  <si>
    <t>Cornell</t>
  </si>
  <si>
    <t>John</t>
  </si>
  <si>
    <t>Francis</t>
  </si>
  <si>
    <t>Edwin</t>
  </si>
  <si>
    <t>George</t>
  </si>
  <si>
    <t>Edward</t>
  </si>
  <si>
    <t>Assistant</t>
  </si>
  <si>
    <t>Supervisor</t>
  </si>
  <si>
    <t>Management</t>
  </si>
  <si>
    <t>Net Pay</t>
  </si>
  <si>
    <t>INCOME AND EXPENSES PROJECTIONS</t>
  </si>
  <si>
    <t>Sales</t>
  </si>
  <si>
    <t>% Growth over the previous year</t>
  </si>
  <si>
    <t>Materials</t>
  </si>
  <si>
    <t>Wages</t>
  </si>
  <si>
    <t>Other Benefits</t>
  </si>
  <si>
    <t>Other</t>
  </si>
  <si>
    <t>Total Cost of Goods Sold</t>
  </si>
  <si>
    <t>Salary: Office</t>
  </si>
  <si>
    <t>Salary: Sales</t>
  </si>
  <si>
    <t>Advertisement &amp; Promotions</t>
  </si>
  <si>
    <t>Depreciation</t>
  </si>
  <si>
    <t>Miscellaneous</t>
  </si>
  <si>
    <t>Total General &amp; Admin. Expenses</t>
  </si>
  <si>
    <t>Total Operating Costs</t>
  </si>
  <si>
    <t>Interest on Loans</t>
  </si>
  <si>
    <t>Pre-tax Income</t>
  </si>
  <si>
    <t>Tax</t>
  </si>
  <si>
    <t>Profit</t>
  </si>
  <si>
    <t>Sales and Profit - First Quarter 2012</t>
  </si>
  <si>
    <t>No</t>
  </si>
  <si>
    <t>City</t>
  </si>
  <si>
    <t>Jan</t>
  </si>
  <si>
    <t>Feb</t>
  </si>
  <si>
    <t>March</t>
  </si>
  <si>
    <t>Maximum</t>
  </si>
  <si>
    <t>C001</t>
  </si>
  <si>
    <t>C002</t>
  </si>
  <si>
    <t>C003</t>
  </si>
  <si>
    <t>C004</t>
  </si>
  <si>
    <t>C005</t>
  </si>
  <si>
    <t>New York</t>
  </si>
  <si>
    <t>Los Angeles</t>
  </si>
  <si>
    <t>London</t>
  </si>
  <si>
    <t>Paris</t>
  </si>
  <si>
    <t>Munich</t>
  </si>
  <si>
    <t>Total Sales</t>
  </si>
  <si>
    <t>Cost</t>
  </si>
  <si>
    <t>10% Bonus</t>
  </si>
  <si>
    <t>Total Sales Greater than 30,000</t>
  </si>
  <si>
    <t>No Sales Greater than 30,000</t>
  </si>
  <si>
    <t>Middle Age</t>
  </si>
  <si>
    <t>Senior Citizen</t>
  </si>
  <si>
    <t>Wil</t>
  </si>
  <si>
    <t>King</t>
  </si>
  <si>
    <t>Mark</t>
  </si>
  <si>
    <t>Mac</t>
  </si>
  <si>
    <t>Uno</t>
  </si>
  <si>
    <t>Fiana</t>
  </si>
  <si>
    <t>Jane</t>
  </si>
  <si>
    <t>Nero</t>
  </si>
  <si>
    <t>Ander</t>
  </si>
  <si>
    <t>Dana</t>
  </si>
  <si>
    <t>Mike</t>
  </si>
  <si>
    <t>Tina</t>
  </si>
  <si>
    <t>Kate</t>
  </si>
  <si>
    <t>Watson</t>
  </si>
  <si>
    <t>Clara</t>
  </si>
  <si>
    <t>Kyle</t>
  </si>
  <si>
    <t>Venne</t>
  </si>
  <si>
    <t>Kile</t>
  </si>
  <si>
    <t>Counts</t>
  </si>
  <si>
    <t>Minor</t>
  </si>
  <si>
    <t>Major</t>
  </si>
  <si>
    <t>Middle Aged</t>
  </si>
  <si>
    <t>Above Middle Aged</t>
  </si>
  <si>
    <t>Opening Stock</t>
  </si>
  <si>
    <t>Closing Stock</t>
  </si>
  <si>
    <t>Sold Items</t>
  </si>
  <si>
    <t>Buying Price</t>
  </si>
  <si>
    <t>Selling Price</t>
  </si>
  <si>
    <t>Sugar (bags)</t>
  </si>
  <si>
    <t>Unga (ctn)</t>
  </si>
  <si>
    <t>Salt (ctn)</t>
  </si>
  <si>
    <t>Kimbo (ctn)</t>
  </si>
  <si>
    <t>Blue band (ctn)</t>
  </si>
  <si>
    <t>GRAND TOTAL</t>
  </si>
  <si>
    <t>OSCAR RENT A CAR COMPANY</t>
  </si>
  <si>
    <t>Commision Rate</t>
  </si>
  <si>
    <t>Social Insurance Rate</t>
  </si>
  <si>
    <t>Emp No.</t>
  </si>
  <si>
    <t>Emloyee Name</t>
  </si>
  <si>
    <t>Grade</t>
  </si>
  <si>
    <t>Base Salary</t>
  </si>
  <si>
    <t xml:space="preserve">Commission </t>
  </si>
  <si>
    <t>Car Allowance</t>
  </si>
  <si>
    <t>Social Insurance Cut</t>
  </si>
  <si>
    <t>Monthly Salary</t>
  </si>
  <si>
    <t>Position</t>
  </si>
  <si>
    <t>Nader</t>
  </si>
  <si>
    <t>Isa</t>
  </si>
  <si>
    <t>Faisal</t>
  </si>
  <si>
    <t>Nadia</t>
  </si>
  <si>
    <t>Eman</t>
  </si>
  <si>
    <t>Hamad</t>
  </si>
  <si>
    <t>A Aziz</t>
  </si>
  <si>
    <t>A</t>
  </si>
  <si>
    <t>B</t>
  </si>
  <si>
    <t>D</t>
  </si>
  <si>
    <t>C</t>
  </si>
  <si>
    <t>TOTAL</t>
  </si>
  <si>
    <t>AVERAGE</t>
  </si>
  <si>
    <t>HIGHEST</t>
  </si>
  <si>
    <t>LOWEST</t>
  </si>
  <si>
    <t>NO. OF EMPLOYEES</t>
  </si>
  <si>
    <t>NTU Computer Store</t>
  </si>
  <si>
    <t>Invertory Status</t>
  </si>
  <si>
    <t>Item Num</t>
  </si>
  <si>
    <t>Decsription</t>
  </si>
  <si>
    <t>Unit Price</t>
  </si>
  <si>
    <t>Type</t>
  </si>
  <si>
    <t>Price Increase (%)</t>
  </si>
  <si>
    <t>Sale Price</t>
  </si>
  <si>
    <t>Warranty</t>
  </si>
  <si>
    <t>Total Price</t>
  </si>
  <si>
    <t>F0020</t>
  </si>
  <si>
    <t>F0025</t>
  </si>
  <si>
    <t>Dell Monnor</t>
  </si>
  <si>
    <t>MS Mouse</t>
  </si>
  <si>
    <t>LG Monitor</t>
  </si>
  <si>
    <t>Intel CPU</t>
  </si>
  <si>
    <t>MS Keyboard</t>
  </si>
  <si>
    <t>MS Joystick</t>
  </si>
  <si>
    <t>M</t>
  </si>
  <si>
    <t>K</t>
  </si>
  <si>
    <t>J</t>
  </si>
  <si>
    <t>O</t>
  </si>
  <si>
    <t>F0026</t>
  </si>
  <si>
    <t>F0027</t>
  </si>
  <si>
    <t>F0028</t>
  </si>
  <si>
    <t>F0029</t>
  </si>
  <si>
    <t>F0030</t>
  </si>
  <si>
    <t>Lowest</t>
  </si>
  <si>
    <t>Professor's Grade Book</t>
  </si>
  <si>
    <t>Student Name</t>
  </si>
  <si>
    <t>ID</t>
  </si>
  <si>
    <t>MidTerm1 (25%)</t>
  </si>
  <si>
    <t>MidTerm2 (25%)</t>
  </si>
  <si>
    <t>Project (10%)</t>
  </si>
  <si>
    <t>Final (40%)</t>
  </si>
  <si>
    <t>Grade (100%)</t>
  </si>
  <si>
    <t>Status</t>
  </si>
  <si>
    <t>Khalid</t>
  </si>
  <si>
    <t>Naija</t>
  </si>
  <si>
    <t>Latifa</t>
  </si>
  <si>
    <t>Jassim</t>
  </si>
  <si>
    <t>Zuhair</t>
  </si>
  <si>
    <t>Highest Mark</t>
  </si>
  <si>
    <t>Lowest Mark</t>
  </si>
  <si>
    <t>Number of</t>
  </si>
  <si>
    <t>No. of projects greater than 8</t>
  </si>
  <si>
    <t>Sum of final marks less than or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</si>
</sst>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  <numFmt numFmtId="167" formatCode="_-&quot;£&quot;* #,##0_-;\-&quot;£&quot;* #,##0_-;_-&quot;£&quot;* &quot;-&quot;??_-;_-@_-"/>
    <numFmt numFmtId="168" formatCode="_-[$$-C09]* #,##0.00_-;\-[$$-C09]* #,##0.00_-;_-[$$-C09]* &quot;-&quot;??_-;_-@_-"/>
    <numFmt numFmtId="169" formatCode="_-[$$-409]* #,##0.00_ ;_-[$$-409]* \-#,##0.00\ ;_-[$$-409]* &quot;-&quot;??_ ;_-@_ "/>
    <numFmt numFmtId="170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0"/>
      <name val="Arial Black"/>
      <family val="2"/>
    </font>
    <font>
      <b/>
      <sz val="14"/>
      <color theme="1"/>
      <name val="Century Gothic"/>
      <family val="2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11"/>
      <color theme="1"/>
      <name val="Times New Roman"/>
      <family val="1"/>
    </font>
    <font>
      <b/>
      <sz val="18"/>
      <color theme="0"/>
      <name val="Century Gothic"/>
      <family val="2"/>
    </font>
    <font>
      <b/>
      <sz val="14"/>
      <color theme="0"/>
      <name val="Century Gothic"/>
      <family val="2"/>
    </font>
    <font>
      <b/>
      <sz val="11"/>
      <color theme="1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2"/>
      <color theme="1"/>
      <name val="Arial Black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gradientFill degree="90">
        <stop position="0">
          <color theme="0"/>
        </stop>
        <stop position="1">
          <color rgb="FF7030A0"/>
        </stop>
      </gradient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gray125">
        <fgColor theme="5"/>
      </patternFill>
    </fill>
    <fill>
      <patternFill patternType="solid">
        <fgColor theme="9" tint="-0.249977111117893"/>
        <bgColor indexed="64"/>
      </patternFill>
    </fill>
    <fill>
      <patternFill patternType="gray0625">
        <fgColor rgb="FF808080"/>
      </patternFill>
    </fill>
    <fill>
      <patternFill patternType="solid">
        <fgColor rgb="FF8080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mediumGray">
        <fgColor theme="0" tint="-0.34998626667073579"/>
        <bgColor indexed="65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45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2" fillId="0" borderId="0" xfId="0" applyFont="1"/>
    <xf numFmtId="0" fontId="10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1" fontId="12" fillId="0" borderId="0" xfId="0" applyNumberFormat="1" applyFont="1"/>
    <xf numFmtId="0" fontId="15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0" fillId="0" borderId="0" xfId="0" applyNumberFormat="1"/>
    <xf numFmtId="166" fontId="1" fillId="0" borderId="0" xfId="0" applyNumberFormat="1" applyFont="1"/>
    <xf numFmtId="0" fontId="17" fillId="0" borderId="9" xfId="0" applyFont="1" applyBorder="1" applyAlignment="1">
      <alignment horizontal="left"/>
    </xf>
    <xf numFmtId="16" fontId="0" fillId="0" borderId="9" xfId="0" applyNumberFormat="1" applyBorder="1"/>
    <xf numFmtId="0" fontId="0" fillId="0" borderId="9" xfId="0" applyBorder="1"/>
    <xf numFmtId="16" fontId="17" fillId="0" borderId="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166" fontId="17" fillId="0" borderId="9" xfId="0" applyNumberFormat="1" applyFont="1" applyBorder="1" applyAlignment="1">
      <alignment horizontal="right"/>
    </xf>
    <xf numFmtId="1" fontId="0" fillId="0" borderId="0" xfId="0" applyNumberFormat="1"/>
    <xf numFmtId="0" fontId="19" fillId="0" borderId="0" xfId="0" applyFont="1"/>
    <xf numFmtId="0" fontId="21" fillId="8" borderId="0" xfId="0" applyFont="1" applyFill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1" xfId="0" applyFont="1" applyBorder="1"/>
    <xf numFmtId="0" fontId="22" fillId="0" borderId="9" xfId="0" applyFont="1" applyBorder="1"/>
    <xf numFmtId="0" fontId="12" fillId="0" borderId="21" xfId="0" applyFont="1" applyBorder="1"/>
    <xf numFmtId="1" fontId="12" fillId="0" borderId="9" xfId="0" applyNumberFormat="1" applyFont="1" applyBorder="1"/>
    <xf numFmtId="0" fontId="12" fillId="0" borderId="9" xfId="0" applyFont="1" applyBorder="1"/>
    <xf numFmtId="0" fontId="22" fillId="0" borderId="21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2" fillId="0" borderId="23" xfId="0" applyFont="1" applyBorder="1"/>
    <xf numFmtId="1" fontId="12" fillId="0" borderId="24" xfId="0" applyNumberFormat="1" applyFont="1" applyBorder="1"/>
    <xf numFmtId="0" fontId="0" fillId="10" borderId="20" xfId="0" applyFill="1" applyBorder="1"/>
    <xf numFmtId="0" fontId="0" fillId="10" borderId="9" xfId="0" applyFill="1" applyBorder="1"/>
    <xf numFmtId="0" fontId="0" fillId="10" borderId="22" xfId="0" applyFill="1" applyBorder="1"/>
    <xf numFmtId="0" fontId="23" fillId="10" borderId="9" xfId="0" applyFont="1" applyFill="1" applyBorder="1"/>
    <xf numFmtId="0" fontId="23" fillId="10" borderId="22" xfId="0" applyFont="1" applyFill="1" applyBorder="1"/>
    <xf numFmtId="0" fontId="23" fillId="10" borderId="19" xfId="0" applyFont="1" applyFill="1" applyBorder="1"/>
    <xf numFmtId="1" fontId="23" fillId="10" borderId="9" xfId="0" applyNumberFormat="1" applyFont="1" applyFill="1" applyBorder="1"/>
    <xf numFmtId="1" fontId="23" fillId="10" borderId="24" xfId="0" applyNumberFormat="1" applyFont="1" applyFill="1" applyBorder="1"/>
    <xf numFmtId="0" fontId="0" fillId="10" borderId="25" xfId="0" applyFill="1" applyBorder="1"/>
    <xf numFmtId="0" fontId="24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left" vertical="top" textRotation="45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5" fillId="0" borderId="0" xfId="0" applyFont="1"/>
    <xf numFmtId="167" fontId="27" fillId="0" borderId="0" xfId="2" applyNumberFormat="1" applyFont="1"/>
    <xf numFmtId="167" fontId="27" fillId="0" borderId="0" xfId="1" applyNumberFormat="1" applyFont="1"/>
    <xf numFmtId="167" fontId="5" fillId="0" borderId="0" xfId="2" applyNumberFormat="1" applyFont="1"/>
    <xf numFmtId="165" fontId="27" fillId="0" borderId="0" xfId="2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8" fontId="0" fillId="0" borderId="0" xfId="2" applyNumberFormat="1" applyFont="1"/>
    <xf numFmtId="169" fontId="0" fillId="0" borderId="0" xfId="3" applyNumberFormat="1" applyFont="1"/>
    <xf numFmtId="169" fontId="0" fillId="0" borderId="0" xfId="0" applyNumberFormat="1"/>
    <xf numFmtId="0" fontId="1" fillId="0" borderId="9" xfId="0" applyFont="1" applyBorder="1"/>
    <xf numFmtId="0" fontId="0" fillId="0" borderId="0" xfId="0" applyAlignment="1">
      <alignment horizontal="center"/>
    </xf>
    <xf numFmtId="0" fontId="29" fillId="0" borderId="26" xfId="0" applyFont="1" applyBorder="1" applyAlignment="1">
      <alignment wrapText="1"/>
    </xf>
    <xf numFmtId="0" fontId="29" fillId="0" borderId="27" xfId="0" applyFont="1" applyBorder="1" applyAlignment="1">
      <alignment wrapText="1"/>
    </xf>
    <xf numFmtId="0" fontId="29" fillId="0" borderId="28" xfId="0" applyFont="1" applyBorder="1" applyAlignment="1">
      <alignment wrapText="1"/>
    </xf>
    <xf numFmtId="0" fontId="30" fillId="0" borderId="29" xfId="0" applyFont="1" applyBorder="1"/>
    <xf numFmtId="170" fontId="30" fillId="0" borderId="9" xfId="1" applyNumberFormat="1" applyFont="1" applyBorder="1"/>
    <xf numFmtId="170" fontId="31" fillId="11" borderId="9" xfId="1" applyNumberFormat="1" applyFont="1" applyFill="1" applyBorder="1" applyAlignment="1">
      <alignment horizontal="center"/>
    </xf>
    <xf numFmtId="170" fontId="0" fillId="0" borderId="30" xfId="1" applyNumberFormat="1" applyFont="1" applyBorder="1"/>
    <xf numFmtId="0" fontId="32" fillId="0" borderId="31" xfId="0" applyFont="1" applyBorder="1"/>
    <xf numFmtId="170" fontId="30" fillId="0" borderId="32" xfId="0" applyNumberFormat="1" applyFont="1" applyBorder="1"/>
    <xf numFmtId="170" fontId="0" fillId="0" borderId="33" xfId="0" applyNumberFormat="1" applyBorder="1"/>
    <xf numFmtId="170" fontId="0" fillId="11" borderId="32" xfId="0" applyNumberFormat="1" applyFill="1" applyBorder="1"/>
    <xf numFmtId="0" fontId="0" fillId="0" borderId="37" xfId="0" applyBorder="1"/>
    <xf numFmtId="0" fontId="0" fillId="0" borderId="0" xfId="0" applyBorder="1"/>
    <xf numFmtId="0" fontId="0" fillId="0" borderId="38" xfId="0" applyBorder="1"/>
    <xf numFmtId="10" fontId="0" fillId="0" borderId="0" xfId="0" applyNumberFormat="1" applyBorder="1"/>
    <xf numFmtId="0" fontId="0" fillId="0" borderId="3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" fontId="0" fillId="0" borderId="0" xfId="0" applyNumberFormat="1" applyBorder="1"/>
    <xf numFmtId="0" fontId="0" fillId="0" borderId="40" xfId="0" applyBorder="1"/>
    <xf numFmtId="0" fontId="0" fillId="0" borderId="41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0" fillId="0" borderId="9" xfId="3" applyFont="1" applyBorder="1" applyAlignment="1">
      <alignment horizontal="center"/>
    </xf>
    <xf numFmtId="1" fontId="0" fillId="0" borderId="9" xfId="0" applyNumberFormat="1" applyBorder="1"/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0" fillId="6" borderId="9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12" borderId="34" xfId="0" applyFont="1" applyFill="1" applyBorder="1" applyAlignment="1">
      <alignment horizontal="center" vertical="center"/>
    </xf>
    <xf numFmtId="0" fontId="33" fillId="12" borderId="35" xfId="0" applyFont="1" applyFill="1" applyBorder="1" applyAlignment="1">
      <alignment horizontal="center" vertical="center"/>
    </xf>
    <xf numFmtId="0" fontId="33" fillId="12" borderId="36" xfId="0" applyFont="1" applyFill="1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BASIC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LIMITED'!$B$4:$B$12</c:f>
              <c:numCache>
                <c:formatCode>General</c:formatCode>
                <c:ptCount val="9"/>
                <c:pt idx="0">
                  <c:v>45000</c:v>
                </c:pt>
                <c:pt idx="1">
                  <c:v>35000</c:v>
                </c:pt>
                <c:pt idx="2">
                  <c:v>45000</c:v>
                </c:pt>
                <c:pt idx="3">
                  <c:v>10000</c:v>
                </c:pt>
                <c:pt idx="4">
                  <c:v>100000</c:v>
                </c:pt>
                <c:pt idx="5">
                  <c:v>60000</c:v>
                </c:pt>
                <c:pt idx="6">
                  <c:v>45000</c:v>
                </c:pt>
                <c:pt idx="7">
                  <c:v>35000</c:v>
                </c:pt>
                <c:pt idx="8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A5E-9319-4C2F0665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60448"/>
        <c:axId val="310460832"/>
      </c:barChart>
      <c:catAx>
        <c:axId val="3104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0832"/>
        <c:crosses val="autoZero"/>
        <c:auto val="1"/>
        <c:lblAlgn val="ctr"/>
        <c:lblOffset val="100"/>
        <c:noMultiLvlLbl val="0"/>
      </c:catAx>
      <c:valAx>
        <c:axId val="3104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and 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'Classwork 3, SUMIF'!$C$2</c:f>
              <c:strCache>
                <c:ptCount val="1"/>
                <c:pt idx="0">
                  <c:v>Jan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SUMIF'!$C$3:$C$7</c:f>
              <c:numCache>
                <c:formatCode>_-[$$-C09]* #,##0.00_-;\-[$$-C09]* #,##0.00_-;_-[$$-C09]* "-"??_-;_-@_-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47E9-8E19-05058368DE94}"/>
            </c:ext>
          </c:extLst>
        </c:ser>
        <c:ser>
          <c:idx val="1"/>
          <c:order val="1"/>
          <c:tx>
            <c:strRef>
              <c:f>'Classwork 3, SUMIF'!$D$2</c:f>
              <c:strCache>
                <c:ptCount val="1"/>
                <c:pt idx="0">
                  <c:v>Feb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SUMIF'!$D$3:$D$7</c:f>
              <c:numCache>
                <c:formatCode>_-[$$-C09]* #,##0.00_-;\-[$$-C09]* #,##0.00_-;_-[$$-C09]* "-"??_-;_-@_-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15000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C-47E9-8E19-05058368DE94}"/>
            </c:ext>
          </c:extLst>
        </c:ser>
        <c:ser>
          <c:idx val="2"/>
          <c:order val="2"/>
          <c:tx>
            <c:strRef>
              <c:f>'Classwork 3, SUMIF'!$E$2</c:f>
              <c:strCache>
                <c:ptCount val="1"/>
                <c:pt idx="0">
                  <c:v>March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SUMIF'!$E$3:$E$7</c:f>
              <c:numCache>
                <c:formatCode>_-[$$-C09]* #,##0.00_-;\-[$$-C09]* #,##0.00_-;_-[$$-C09]* "-"??_-;_-@_-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13000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C-47E9-8E19-05058368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07400"/>
        <c:axId val="310605440"/>
      </c:barChart>
      <c:catAx>
        <c:axId val="3106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5440"/>
        <c:crosses val="autoZero"/>
        <c:auto val="1"/>
        <c:lblAlgn val="ctr"/>
        <c:lblOffset val="100"/>
        <c:noMultiLvlLbl val="0"/>
      </c:catAx>
      <c:valAx>
        <c:axId val="3106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Price and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NTU!$G$4</c:f>
              <c:strCache>
                <c:ptCount val="1"/>
                <c:pt idx="0">
                  <c:v>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3-47F3-B1F8-7CBADABACA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3-47F3-B1F8-7CBADABACA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3-47F3-B1F8-7CBADABACA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3-47F3-B1F8-7CBADABACA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3-47F3-B1F8-7CBADABACA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A3-47F3-B1F8-7CBADABACA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A3-47F3-B1F8-7CBADABAC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NTU!$E$5:$E$11</c:f>
              <c:strCache>
                <c:ptCount val="7"/>
                <c:pt idx="0">
                  <c:v>M</c:v>
                </c:pt>
                <c:pt idx="1">
                  <c:v>O</c:v>
                </c:pt>
                <c:pt idx="2">
                  <c:v>M</c:v>
                </c:pt>
                <c:pt idx="3">
                  <c:v>C</c:v>
                </c:pt>
                <c:pt idx="4">
                  <c:v>K</c:v>
                </c:pt>
                <c:pt idx="5">
                  <c:v>J</c:v>
                </c:pt>
                <c:pt idx="6">
                  <c:v>K</c:v>
                </c:pt>
              </c:strCache>
            </c:strRef>
          </c:cat>
          <c:val>
            <c:numRef>
              <c:f>NTU!$G$5:$G$11</c:f>
              <c:numCache>
                <c:formatCode>0</c:formatCode>
                <c:ptCount val="7"/>
                <c:pt idx="0">
                  <c:v>150</c:v>
                </c:pt>
                <c:pt idx="1">
                  <c:v>6</c:v>
                </c:pt>
                <c:pt idx="2">
                  <c:v>112.5</c:v>
                </c:pt>
                <c:pt idx="3">
                  <c:v>212.5</c:v>
                </c:pt>
                <c:pt idx="4">
                  <c:v>20.25</c:v>
                </c:pt>
                <c:pt idx="5">
                  <c:v>9.8000000000000007</c:v>
                </c:pt>
                <c:pt idx="6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A3-47F3-B1F8-7CBADABACA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NET PAY</a:t>
            </a:r>
          </a:p>
        </c:rich>
      </c:tx>
      <c:layout>
        <c:manualLayout>
          <c:xMode val="edge"/>
          <c:yMode val="edge"/>
          <c:x val="0.25411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LIMITED'!$I$4:$I$12</c:f>
              <c:numCache>
                <c:formatCode>General</c:formatCode>
                <c:ptCount val="9"/>
                <c:pt idx="0">
                  <c:v>40150</c:v>
                </c:pt>
                <c:pt idx="1">
                  <c:v>33450</c:v>
                </c:pt>
                <c:pt idx="2">
                  <c:v>44650</c:v>
                </c:pt>
                <c:pt idx="3">
                  <c:v>9200</c:v>
                </c:pt>
                <c:pt idx="4">
                  <c:v>102000</c:v>
                </c:pt>
                <c:pt idx="5">
                  <c:v>57700</c:v>
                </c:pt>
                <c:pt idx="6">
                  <c:v>44650</c:v>
                </c:pt>
                <c:pt idx="7">
                  <c:v>35450</c:v>
                </c:pt>
                <c:pt idx="8">
                  <c:v>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1A6-B414-7E0B3239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112712"/>
        <c:axId val="310113096"/>
      </c:barChart>
      <c:catAx>
        <c:axId val="31011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3096"/>
        <c:crosses val="autoZero"/>
        <c:auto val="1"/>
        <c:lblAlgn val="ctr"/>
        <c:lblOffset val="100"/>
        <c:noMultiLvlLbl val="0"/>
      </c:catAx>
      <c:valAx>
        <c:axId val="3101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 OF STAFF AND THEIR ALLOWANCES</a:t>
            </a:r>
          </a:p>
        </c:rich>
      </c:tx>
      <c:layout>
        <c:manualLayout>
          <c:xMode val="edge"/>
          <c:yMode val="edge"/>
          <c:x val="0.161117983576449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LIMITED'!$C$4:$C$12</c:f>
              <c:numCache>
                <c:formatCode>General</c:formatCode>
                <c:ptCount val="9"/>
                <c:pt idx="0">
                  <c:v>3150.0000000000005</c:v>
                </c:pt>
                <c:pt idx="1">
                  <c:v>2450.0000000000005</c:v>
                </c:pt>
                <c:pt idx="2">
                  <c:v>3150.0000000000005</c:v>
                </c:pt>
                <c:pt idx="3">
                  <c:v>700.00000000000011</c:v>
                </c:pt>
                <c:pt idx="4">
                  <c:v>7000.0000000000009</c:v>
                </c:pt>
                <c:pt idx="5">
                  <c:v>4200</c:v>
                </c:pt>
                <c:pt idx="6">
                  <c:v>3150.0000000000005</c:v>
                </c:pt>
                <c:pt idx="7">
                  <c:v>2450.0000000000005</c:v>
                </c:pt>
                <c:pt idx="8">
                  <c:v>3150.0000000000005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25C-9DAC-39BB5E838A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LIMITED'!$D$4:$D$12</c:f>
              <c:numCache>
                <c:formatCode>General</c:formatCode>
                <c:ptCount val="9"/>
                <c:pt idx="0">
                  <c:v>6750</c:v>
                </c:pt>
                <c:pt idx="1">
                  <c:v>5250</c:v>
                </c:pt>
                <c:pt idx="2">
                  <c:v>6750</c:v>
                </c:pt>
                <c:pt idx="3">
                  <c:v>1500</c:v>
                </c:pt>
                <c:pt idx="4">
                  <c:v>15000</c:v>
                </c:pt>
                <c:pt idx="5">
                  <c:v>9000</c:v>
                </c:pt>
                <c:pt idx="6">
                  <c:v>6750</c:v>
                </c:pt>
                <c:pt idx="7">
                  <c:v>5250</c:v>
                </c:pt>
                <c:pt idx="8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9-425C-9DAC-39BB5E838A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'SETRACO NIGERIA LIMITED'!$A$4:$A$12</c:f>
              <c:strCache>
                <c:ptCount val="9"/>
                <c:pt idx="0">
                  <c:v>Tolu</c:v>
                </c:pt>
                <c:pt idx="1">
                  <c:v>Bola</c:v>
                </c:pt>
                <c:pt idx="2">
                  <c:v>Tunde</c:v>
                </c:pt>
                <c:pt idx="3">
                  <c:v>Shegun</c:v>
                </c:pt>
                <c:pt idx="4">
                  <c:v>Tunji</c:v>
                </c:pt>
                <c:pt idx="5">
                  <c:v>Ola</c:v>
                </c:pt>
                <c:pt idx="6">
                  <c:v>Bose</c:v>
                </c:pt>
                <c:pt idx="7">
                  <c:v>Olu</c:v>
                </c:pt>
                <c:pt idx="8">
                  <c:v>Dayo</c:v>
                </c:pt>
              </c:strCache>
            </c:strRef>
          </c:cat>
          <c:val>
            <c:numRef>
              <c:f>'SETRACO NIGERIA LIMITED'!$E$4:$E$12</c:f>
              <c:numCache>
                <c:formatCode>General</c:formatCode>
                <c:ptCount val="9"/>
                <c:pt idx="0">
                  <c:v>2250</c:v>
                </c:pt>
                <c:pt idx="1">
                  <c:v>1750</c:v>
                </c:pt>
                <c:pt idx="2">
                  <c:v>2250</c:v>
                </c:pt>
                <c:pt idx="3">
                  <c:v>500</c:v>
                </c:pt>
                <c:pt idx="4">
                  <c:v>5000</c:v>
                </c:pt>
                <c:pt idx="5">
                  <c:v>3000</c:v>
                </c:pt>
                <c:pt idx="6">
                  <c:v>2250</c:v>
                </c:pt>
                <c:pt idx="7">
                  <c:v>1750</c:v>
                </c:pt>
                <c:pt idx="8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9-425C-9DAC-39BB5E83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78552"/>
        <c:axId val="310677144"/>
      </c:barChart>
      <c:catAx>
        <c:axId val="3091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7144"/>
        <c:crosses val="autoZero"/>
        <c:auto val="1"/>
        <c:lblAlgn val="ctr"/>
        <c:lblOffset val="100"/>
        <c:noMultiLvlLbl val="0"/>
      </c:catAx>
      <c:valAx>
        <c:axId val="3106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DAILY RAINFALL</a:t>
            </a:r>
            <a:endParaRPr lang="en-US"/>
          </a:p>
        </c:rich>
      </c:tx>
      <c:layout>
        <c:manualLayout>
          <c:xMode val="edge"/>
          <c:yMode val="edge"/>
          <c:x val="0.297942446572935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'KING CITY'!$A$2:$G$2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'KING CITY'!$A$3:$G$3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3-4B83-A2F0-DA6B03FDE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210112"/>
        <c:axId val="310214600"/>
      </c:barChart>
      <c:catAx>
        <c:axId val="3102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layout>
            <c:manualLayout>
              <c:xMode val="edge"/>
              <c:yMode val="edge"/>
              <c:x val="0.438282128561585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4600"/>
        <c:crosses val="autoZero"/>
        <c:auto val="1"/>
        <c:lblAlgn val="ctr"/>
        <c:lblOffset val="100"/>
        <c:noMultiLvlLbl val="0"/>
      </c:catAx>
      <c:valAx>
        <c:axId val="3102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978390201224848"/>
          <c:y val="0.11819262175561387"/>
          <c:w val="0.46987685914260707"/>
          <c:h val="0.783128098571011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8-4399-AB3D-CE47A42091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8-4399-AB3D-CE47A42091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8-4399-AB3D-CE47A42091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8-4399-AB3D-CE47A42091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8-4399-AB3D-CE47A42091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8-4399-AB3D-CE47A42091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8-4399-AB3D-CE47A42091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58-4399-AB3D-CE47A42091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58-4399-AB3D-CE47A42091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58-4399-AB3D-CE47A42091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58-4399-AB3D-CE47A42091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58-4399-AB3D-CE47A42091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'KING CITY'!$A$12:$L$12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'KING CITY'!$A$13:$L$13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55</c:v>
                </c:pt>
                <c:pt idx="3">
                  <c:v>100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60</c:v>
                </c:pt>
                <c:pt idx="8">
                  <c:v>35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58-4399-AB3D-CE47A4209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9409667541557303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Comparation</a:t>
            </a:r>
            <a:r>
              <a:rPr lang="en-US" baseline="0"/>
              <a:t> of Actual and Savings of Telphone, Security and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B-4E33-B826-3C8526C11E8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B-4E33-B826-3C8526C11E8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8B-4E33-B826-3C8526C11E83}"/>
              </c:ext>
            </c:extLst>
          </c:dPt>
          <c:cat>
            <c:strRef>
              <c:f>('AUDIT 1'!$A$7,'AUDIT 1'!$A$10,'AUDIT 1'!$A$12)</c:f>
              <c:strCache>
                <c:ptCount val="3"/>
                <c:pt idx="0">
                  <c:v>Telephone</c:v>
                </c:pt>
                <c:pt idx="1">
                  <c:v>Security</c:v>
                </c:pt>
                <c:pt idx="2">
                  <c:v>Total</c:v>
                </c:pt>
              </c:strCache>
            </c:strRef>
          </c:cat>
          <c:val>
            <c:numRef>
              <c:f>('AUDIT 1'!$C$7,'AUDIT 1'!$C$10,'AUDIT 1'!$C$12)</c:f>
              <c:numCache>
                <c:formatCode>0</c:formatCode>
                <c:ptCount val="3"/>
                <c:pt idx="0">
                  <c:v>142</c:v>
                </c:pt>
                <c:pt idx="1">
                  <c:v>3800</c:v>
                </c:pt>
                <c:pt idx="2" formatCode="0.00">
                  <c:v>186599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8B-4E33-B826-3C8526C11E83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F8B-4E33-B826-3C8526C11E8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8B-4E33-B826-3C8526C11E8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8B-4E33-B826-3C8526C11E83}"/>
              </c:ext>
            </c:extLst>
          </c:dPt>
          <c:cat>
            <c:strRef>
              <c:f>('AUDIT 1'!$A$7,'AUDIT 1'!$A$10,'AUDIT 1'!$A$12)</c:f>
              <c:strCache>
                <c:ptCount val="3"/>
                <c:pt idx="0">
                  <c:v>Telephone</c:v>
                </c:pt>
                <c:pt idx="1">
                  <c:v>Security</c:v>
                </c:pt>
                <c:pt idx="2">
                  <c:v>Total</c:v>
                </c:pt>
              </c:strCache>
            </c:strRef>
          </c:cat>
          <c:val>
            <c:numRef>
              <c:f>('AUDIT 1'!$D$7,'AUDIT 1'!$D$10,'AUDIT 1'!$D$12)</c:f>
              <c:numCache>
                <c:formatCode>0.00</c:formatCode>
                <c:ptCount val="3"/>
                <c:pt idx="0">
                  <c:v>58</c:v>
                </c:pt>
                <c:pt idx="1">
                  <c:v>0</c:v>
                </c:pt>
                <c:pt idx="2">
                  <c:v>15026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8B-4E33-B826-3C8526C1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Temp. (C)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C7-4146-8502-54A7265B3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C7-4146-8502-54A7265B3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C7-4146-8502-54A7265B3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C7-4146-8502-54A7265B37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C7-4146-8502-54A7265B37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Weather!$A$3:$A$7</c:f>
              <c:strCache>
                <c:ptCount val="5"/>
                <c:pt idx="0">
                  <c:v>Mombasa</c:v>
                </c:pt>
                <c:pt idx="1">
                  <c:v>Kisumu</c:v>
                </c:pt>
                <c:pt idx="2">
                  <c:v>Kericho</c:v>
                </c:pt>
                <c:pt idx="3">
                  <c:v>Nakuru</c:v>
                </c:pt>
                <c:pt idx="4">
                  <c:v>Nairobi</c:v>
                </c:pt>
              </c:strCache>
            </c:strRef>
          </c:cat>
          <c:val>
            <c:numRef>
              <c:f>Weather!$G$3:$G$7</c:f>
              <c:numCache>
                <c:formatCode>0</c:formatCode>
                <c:ptCount val="5"/>
                <c:pt idx="0">
                  <c:v>30.2</c:v>
                </c:pt>
                <c:pt idx="1">
                  <c:v>31.2</c:v>
                </c:pt>
                <c:pt idx="2">
                  <c:v>24.96</c:v>
                </c:pt>
                <c:pt idx="3">
                  <c:v>22.65</c:v>
                </c:pt>
                <c:pt idx="4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C7-4146-8502-54A7265B37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Employee Salary Details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Details (Reviwed Copy)'!$D$3</c:f>
              <c:strCache>
                <c:ptCount val="1"/>
                <c:pt idx="0">
                  <c:v>Basic Pay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Details (Reviwed Copy)'!$B$4:$B$12</c:f>
              <c:strCache>
                <c:ptCount val="9"/>
                <c:pt idx="0">
                  <c:v>Lewis</c:v>
                </c:pt>
                <c:pt idx="1">
                  <c:v>Francis</c:v>
                </c:pt>
                <c:pt idx="2">
                  <c:v>Edwin</c:v>
                </c:pt>
                <c:pt idx="3">
                  <c:v>Bernard</c:v>
                </c:pt>
                <c:pt idx="4">
                  <c:v>George</c:v>
                </c:pt>
                <c:pt idx="5">
                  <c:v>Albert</c:v>
                </c:pt>
                <c:pt idx="6">
                  <c:v>Edward</c:v>
                </c:pt>
                <c:pt idx="7">
                  <c:v>Cornell</c:v>
                </c:pt>
                <c:pt idx="8">
                  <c:v>John</c:v>
                </c:pt>
              </c:strCache>
            </c:strRef>
          </c:cat>
          <c:val>
            <c:numRef>
              <c:f>'Salary Details (Reviwed Copy)'!$D$4:$D$12</c:f>
              <c:numCache>
                <c:formatCode>General</c:formatCode>
                <c:ptCount val="9"/>
                <c:pt idx="0">
                  <c:v>8291</c:v>
                </c:pt>
                <c:pt idx="1">
                  <c:v>6508</c:v>
                </c:pt>
                <c:pt idx="2">
                  <c:v>8006</c:v>
                </c:pt>
                <c:pt idx="3">
                  <c:v>7917</c:v>
                </c:pt>
                <c:pt idx="4">
                  <c:v>5500</c:v>
                </c:pt>
                <c:pt idx="5">
                  <c:v>5700</c:v>
                </c:pt>
                <c:pt idx="6">
                  <c:v>7151</c:v>
                </c:pt>
                <c:pt idx="7">
                  <c:v>4600</c:v>
                </c:pt>
                <c:pt idx="8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650-A7DE-34D12C1A1619}"/>
            </c:ext>
          </c:extLst>
        </c:ser>
        <c:ser>
          <c:idx val="1"/>
          <c:order val="1"/>
          <c:tx>
            <c:strRef>
              <c:f>'Salary Details (Reviwed Copy)'!$E$3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Details (Reviwed Copy)'!$B$4:$B$12</c:f>
              <c:strCache>
                <c:ptCount val="9"/>
                <c:pt idx="0">
                  <c:v>Lewis</c:v>
                </c:pt>
                <c:pt idx="1">
                  <c:v>Francis</c:v>
                </c:pt>
                <c:pt idx="2">
                  <c:v>Edwin</c:v>
                </c:pt>
                <c:pt idx="3">
                  <c:v>Bernard</c:v>
                </c:pt>
                <c:pt idx="4">
                  <c:v>George</c:v>
                </c:pt>
                <c:pt idx="5">
                  <c:v>Albert</c:v>
                </c:pt>
                <c:pt idx="6">
                  <c:v>Edward</c:v>
                </c:pt>
                <c:pt idx="7">
                  <c:v>Cornell</c:v>
                </c:pt>
                <c:pt idx="8">
                  <c:v>John</c:v>
                </c:pt>
              </c:strCache>
            </c:strRef>
          </c:cat>
          <c:val>
            <c:numRef>
              <c:f>'Salary Details (Reviwed Copy)'!$E$4:$E$12</c:f>
              <c:numCache>
                <c:formatCode>General</c:formatCode>
                <c:ptCount val="9"/>
                <c:pt idx="0">
                  <c:v>2500</c:v>
                </c:pt>
                <c:pt idx="1">
                  <c:v>500</c:v>
                </c:pt>
                <c:pt idx="2">
                  <c:v>1801</c:v>
                </c:pt>
                <c:pt idx="3">
                  <c:v>1775</c:v>
                </c:pt>
                <c:pt idx="4">
                  <c:v>850</c:v>
                </c:pt>
                <c:pt idx="5">
                  <c:v>760</c:v>
                </c:pt>
                <c:pt idx="6">
                  <c:v>1545</c:v>
                </c:pt>
                <c:pt idx="7">
                  <c:v>300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B-4650-A7DE-34D12C1A1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218160"/>
        <c:axId val="310216984"/>
      </c:barChart>
      <c:catAx>
        <c:axId val="31021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Employee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216984"/>
        <c:crosses val="autoZero"/>
        <c:auto val="1"/>
        <c:lblAlgn val="ctr"/>
        <c:lblOffset val="100"/>
        <c:noMultiLvlLbl val="0"/>
      </c:catAx>
      <c:valAx>
        <c:axId val="310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Thousand(Dollars)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2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and Maximum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'Classwork 3, SUMIF'!$G$2</c:f>
              <c:strCache>
                <c:ptCount val="1"/>
                <c:pt idx="0">
                  <c:v>Maximum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'Classwork 3, SUMIF'!$B$3:$B$7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'Classwork 3, SUMIF'!$G$3:$G$7</c:f>
              <c:numCache>
                <c:formatCode>_-[$$-C09]* #,##0.00_-;\-[$$-C09]* #,##0.00_-;_-[$$-C09]* "-"??_-;_-@_-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42D8-BED1-9516DAA5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16592"/>
        <c:axId val="310215416"/>
      </c:barChart>
      <c:catAx>
        <c:axId val="3102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5416"/>
        <c:crosses val="autoZero"/>
        <c:auto val="1"/>
        <c:lblAlgn val="ctr"/>
        <c:lblOffset val="100"/>
        <c:noMultiLvlLbl val="0"/>
      </c:catAx>
      <c:valAx>
        <c:axId val="3102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0</xdr:colOff>
      <xdr:row>26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0</xdr:rowOff>
    </xdr:from>
    <xdr:to>
      <xdr:col>9</xdr:col>
      <xdr:colOff>161925</xdr:colOff>
      <xdr:row>26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11</xdr:row>
      <xdr:rowOff>171450</xdr:rowOff>
    </xdr:from>
    <xdr:to>
      <xdr:col>14</xdr:col>
      <xdr:colOff>219075</xdr:colOff>
      <xdr:row>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8</xdr:col>
      <xdr:colOff>476250</xdr:colOff>
      <xdr:row>15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180975</xdr:rowOff>
    </xdr:from>
    <xdr:to>
      <xdr:col>16</xdr:col>
      <xdr:colOff>314325</xdr:colOff>
      <xdr:row>15</xdr:row>
      <xdr:rowOff>66675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12</xdr:col>
      <xdr:colOff>323850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133351</xdr:rowOff>
    </xdr:from>
    <xdr:to>
      <xdr:col>7</xdr:col>
      <xdr:colOff>19050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0</xdr:rowOff>
    </xdr:from>
    <xdr:to>
      <xdr:col>17</xdr:col>
      <xdr:colOff>57150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13</xdr:row>
      <xdr:rowOff>76200</xdr:rowOff>
    </xdr:from>
    <xdr:to>
      <xdr:col>17</xdr:col>
      <xdr:colOff>76200</xdr:colOff>
      <xdr:row>26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0</xdr:rowOff>
    </xdr:from>
    <xdr:to>
      <xdr:col>19</xdr:col>
      <xdr:colOff>95250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4" sqref="F14"/>
    </sheetView>
  </sheetViews>
  <sheetFormatPr defaultRowHeight="15" x14ac:dyDescent="0.25"/>
  <cols>
    <col min="4" max="4" width="13.140625" customWidth="1"/>
    <col min="6" max="6" width="16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1"/>
      <c r="G1" s="1"/>
      <c r="H1" s="1"/>
      <c r="I1" s="1"/>
      <c r="J1" s="1"/>
      <c r="K1" s="1"/>
    </row>
    <row r="2" spans="1:11" x14ac:dyDescent="0.25">
      <c r="A2" s="2" t="s">
        <v>4</v>
      </c>
      <c r="B2" s="2" t="s">
        <v>8</v>
      </c>
      <c r="C2" s="2">
        <v>15</v>
      </c>
      <c r="D2" s="2">
        <v>250000</v>
      </c>
    </row>
    <row r="3" spans="1:11" x14ac:dyDescent="0.25">
      <c r="A3" s="2" t="s">
        <v>5</v>
      </c>
      <c r="B3" s="2" t="s">
        <v>9</v>
      </c>
      <c r="C3" s="2">
        <v>12</v>
      </c>
      <c r="D3" s="2">
        <v>150000</v>
      </c>
    </row>
    <row r="4" spans="1:11" x14ac:dyDescent="0.25">
      <c r="A4" s="2" t="s">
        <v>6</v>
      </c>
      <c r="B4" s="2" t="s">
        <v>10</v>
      </c>
      <c r="C4" s="2">
        <v>17</v>
      </c>
      <c r="D4" s="2">
        <v>342000</v>
      </c>
    </row>
    <row r="5" spans="1:11" x14ac:dyDescent="0.25">
      <c r="A5" s="2" t="s">
        <v>7</v>
      </c>
      <c r="B5" s="2" t="s">
        <v>11</v>
      </c>
      <c r="C5" s="2">
        <v>16</v>
      </c>
      <c r="D5" s="2">
        <v>300000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6" sqref="H16"/>
    </sheetView>
  </sheetViews>
  <sheetFormatPr defaultRowHeight="15" x14ac:dyDescent="0.25"/>
  <cols>
    <col min="1" max="1" width="23.140625" customWidth="1"/>
    <col min="2" max="3" width="16.7109375" customWidth="1"/>
    <col min="4" max="4" width="17.5703125" customWidth="1"/>
    <col min="5" max="5" width="18.140625" customWidth="1"/>
  </cols>
  <sheetData>
    <row r="1" spans="1:5" ht="30.75" customHeight="1" x14ac:dyDescent="0.25">
      <c r="A1" s="126" t="s">
        <v>157</v>
      </c>
      <c r="B1" s="126"/>
      <c r="C1" s="126"/>
      <c r="D1" s="126"/>
      <c r="E1" s="126"/>
    </row>
    <row r="2" spans="1:5" x14ac:dyDescent="0.25">
      <c r="A2" s="127"/>
      <c r="B2" s="127"/>
      <c r="C2" s="127"/>
      <c r="D2" s="127"/>
      <c r="E2" s="127"/>
    </row>
    <row r="3" spans="1:5" ht="15.75" x14ac:dyDescent="0.25">
      <c r="A3" s="43" t="s">
        <v>158</v>
      </c>
      <c r="B3" s="43" t="s">
        <v>159</v>
      </c>
      <c r="C3" s="43" t="s">
        <v>168</v>
      </c>
      <c r="D3" s="43" t="s">
        <v>160</v>
      </c>
      <c r="E3" s="43" t="s">
        <v>169</v>
      </c>
    </row>
    <row r="4" spans="1:5" x14ac:dyDescent="0.25">
      <c r="A4" t="s">
        <v>161</v>
      </c>
      <c r="B4" s="32">
        <v>156675</v>
      </c>
      <c r="C4" s="41">
        <v>145200</v>
      </c>
      <c r="D4" s="32">
        <f>(B4-C4)</f>
        <v>11475</v>
      </c>
      <c r="E4" s="42" t="str">
        <f>IF(D4=0,"No Savings",IF(B4&gt;C4,"Savings Achieved",IF(C4&gt;B4,"Over Budget")))</f>
        <v>Savings Achieved</v>
      </c>
    </row>
    <row r="5" spans="1:5" x14ac:dyDescent="0.25">
      <c r="A5" t="s">
        <v>162</v>
      </c>
      <c r="B5" s="32">
        <v>4300</v>
      </c>
      <c r="C5" s="41">
        <v>4300</v>
      </c>
      <c r="D5" s="32">
        <f t="shared" ref="D5:D10" si="0">(B5-C5)</f>
        <v>0</v>
      </c>
      <c r="E5" s="42" t="str">
        <f t="shared" ref="E5:E10" si="1">IF(D5=0,"No Savings",IF(B5&gt;C5,"Savings Achieved",IF(C5&gt;B5,"Over Budget")))</f>
        <v>No Savings</v>
      </c>
    </row>
    <row r="6" spans="1:5" x14ac:dyDescent="0.25">
      <c r="A6" t="s">
        <v>163</v>
      </c>
      <c r="B6" s="32">
        <v>1000</v>
      </c>
      <c r="C6" s="41">
        <v>1207</v>
      </c>
      <c r="D6" s="32">
        <f t="shared" si="0"/>
        <v>-207</v>
      </c>
      <c r="E6" s="42" t="str">
        <f t="shared" si="1"/>
        <v>Over Budget</v>
      </c>
    </row>
    <row r="7" spans="1:5" x14ac:dyDescent="0.25">
      <c r="A7" t="s">
        <v>164</v>
      </c>
      <c r="B7" s="32">
        <v>200</v>
      </c>
      <c r="C7" s="41">
        <v>142</v>
      </c>
      <c r="D7" s="32">
        <f t="shared" si="0"/>
        <v>58</v>
      </c>
      <c r="E7" s="42" t="str">
        <f t="shared" si="1"/>
        <v>Savings Achieved</v>
      </c>
    </row>
    <row r="8" spans="1:5" x14ac:dyDescent="0.25">
      <c r="A8" t="s">
        <v>165</v>
      </c>
      <c r="B8" s="32">
        <v>20000</v>
      </c>
      <c r="C8" s="41">
        <v>18550</v>
      </c>
      <c r="D8" s="32">
        <f t="shared" si="0"/>
        <v>1450</v>
      </c>
      <c r="E8" s="42" t="str">
        <f t="shared" si="1"/>
        <v>Savings Achieved</v>
      </c>
    </row>
    <row r="9" spans="1:5" x14ac:dyDescent="0.25">
      <c r="A9" t="s">
        <v>166</v>
      </c>
      <c r="B9" s="32">
        <v>15650</v>
      </c>
      <c r="C9" s="41">
        <v>13400</v>
      </c>
      <c r="D9" s="32">
        <f t="shared" si="0"/>
        <v>2250</v>
      </c>
      <c r="E9" s="42" t="str">
        <f t="shared" si="1"/>
        <v>Savings Achieved</v>
      </c>
    </row>
    <row r="10" spans="1:5" x14ac:dyDescent="0.25">
      <c r="A10" t="s">
        <v>167</v>
      </c>
      <c r="B10" s="32">
        <v>3800</v>
      </c>
      <c r="C10" s="41">
        <v>3800</v>
      </c>
      <c r="D10" s="32">
        <f t="shared" si="0"/>
        <v>0</v>
      </c>
      <c r="E10" s="42" t="str">
        <f t="shared" si="1"/>
        <v>No Savings</v>
      </c>
    </row>
    <row r="11" spans="1:5" x14ac:dyDescent="0.25">
      <c r="A11" s="127"/>
      <c r="B11" s="127"/>
      <c r="C11" s="127"/>
      <c r="D11" s="127"/>
      <c r="E11" s="127"/>
    </row>
    <row r="12" spans="1:5" x14ac:dyDescent="0.25">
      <c r="A12" s="3" t="s">
        <v>18</v>
      </c>
      <c r="B12" s="32">
        <f>SUM(B4:B10)</f>
        <v>201625</v>
      </c>
      <c r="C12" s="32">
        <f t="shared" ref="C12:D12" si="2">SUM(C4:C10)</f>
        <v>186599</v>
      </c>
      <c r="D12" s="32">
        <f t="shared" si="2"/>
        <v>15026</v>
      </c>
    </row>
  </sheetData>
  <mergeCells count="3">
    <mergeCell ref="A1:E1"/>
    <mergeCell ref="A11:E11"/>
    <mergeCell ref="A2:E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6" sqref="D6"/>
    </sheetView>
  </sheetViews>
  <sheetFormatPr defaultRowHeight="15" x14ac:dyDescent="0.25"/>
  <cols>
    <col min="1" max="1" width="28.140625" customWidth="1"/>
    <col min="7" max="7" width="20.140625" customWidth="1"/>
  </cols>
  <sheetData>
    <row r="1" spans="1:8" ht="20.25" thickTop="1" x14ac:dyDescent="0.4">
      <c r="A1" s="44" t="s">
        <v>170</v>
      </c>
      <c r="B1" s="45" t="s">
        <v>125</v>
      </c>
      <c r="C1" s="45" t="s">
        <v>127</v>
      </c>
      <c r="D1" s="45" t="s">
        <v>129</v>
      </c>
      <c r="E1" s="45" t="s">
        <v>128</v>
      </c>
      <c r="F1" s="45" t="s">
        <v>124</v>
      </c>
      <c r="G1" s="60" t="s">
        <v>179</v>
      </c>
      <c r="H1" s="55"/>
    </row>
    <row r="2" spans="1:8" x14ac:dyDescent="0.25">
      <c r="A2" s="46" t="s">
        <v>175</v>
      </c>
      <c r="B2" s="47"/>
      <c r="C2" s="47"/>
      <c r="D2" s="47"/>
      <c r="E2" s="47"/>
      <c r="F2" s="47"/>
      <c r="G2" s="56"/>
      <c r="H2" s="57"/>
    </row>
    <row r="3" spans="1:8" ht="19.5" x14ac:dyDescent="0.4">
      <c r="A3" s="48" t="s">
        <v>171</v>
      </c>
      <c r="B3" s="49">
        <v>30</v>
      </c>
      <c r="C3" s="49">
        <v>29.5</v>
      </c>
      <c r="D3" s="49">
        <v>31</v>
      </c>
      <c r="E3" s="49">
        <v>28.5</v>
      </c>
      <c r="F3" s="49">
        <v>32</v>
      </c>
      <c r="G3" s="61">
        <f>AVERAGE(B3:F3)</f>
        <v>30.2</v>
      </c>
      <c r="H3" s="57"/>
    </row>
    <row r="4" spans="1:8" ht="19.5" x14ac:dyDescent="0.4">
      <c r="A4" s="48" t="s">
        <v>172</v>
      </c>
      <c r="B4" s="49">
        <v>31</v>
      </c>
      <c r="C4" s="49">
        <v>33</v>
      </c>
      <c r="D4" s="49">
        <v>30</v>
      </c>
      <c r="E4" s="49">
        <v>30</v>
      </c>
      <c r="F4" s="49">
        <v>32</v>
      </c>
      <c r="G4" s="61">
        <f>AVERAGE(B4:F4)</f>
        <v>31.2</v>
      </c>
      <c r="H4" s="57"/>
    </row>
    <row r="5" spans="1:8" ht="19.5" x14ac:dyDescent="0.4">
      <c r="A5" s="48" t="s">
        <v>177</v>
      </c>
      <c r="B5" s="49">
        <f>(4/5)*B4</f>
        <v>24.8</v>
      </c>
      <c r="C5" s="49">
        <f t="shared" ref="C5:F5" si="0">(4/5)*C4</f>
        <v>26.400000000000002</v>
      </c>
      <c r="D5" s="49">
        <f t="shared" si="0"/>
        <v>24</v>
      </c>
      <c r="E5" s="49">
        <f t="shared" si="0"/>
        <v>24</v>
      </c>
      <c r="F5" s="49">
        <f t="shared" si="0"/>
        <v>25.6</v>
      </c>
      <c r="G5" s="61">
        <f>AVERAGE(B5:F5)</f>
        <v>24.96</v>
      </c>
      <c r="H5" s="57"/>
    </row>
    <row r="6" spans="1:8" ht="19.5" x14ac:dyDescent="0.4">
      <c r="A6" s="48" t="s">
        <v>173</v>
      </c>
      <c r="B6" s="49">
        <f>(0.75*B3)</f>
        <v>22.5</v>
      </c>
      <c r="C6" s="49">
        <f t="shared" ref="C6:F6" si="1">(0.75*C3)</f>
        <v>22.125</v>
      </c>
      <c r="D6" s="49">
        <f t="shared" si="1"/>
        <v>23.25</v>
      </c>
      <c r="E6" s="49">
        <f t="shared" si="1"/>
        <v>21.375</v>
      </c>
      <c r="F6" s="49">
        <f t="shared" si="1"/>
        <v>24</v>
      </c>
      <c r="G6" s="61">
        <f>AVERAGE(B6:F6)</f>
        <v>22.65</v>
      </c>
      <c r="H6" s="57"/>
    </row>
    <row r="7" spans="1:8" ht="19.5" x14ac:dyDescent="0.4">
      <c r="A7" s="48" t="s">
        <v>174</v>
      </c>
      <c r="B7" s="49">
        <v>24</v>
      </c>
      <c r="C7" s="49">
        <v>23.5</v>
      </c>
      <c r="D7" s="49">
        <v>22</v>
      </c>
      <c r="E7" s="49">
        <v>23</v>
      </c>
      <c r="F7" s="49">
        <v>24.5</v>
      </c>
      <c r="G7" s="61">
        <f>AVERAGE(B7:F7)</f>
        <v>23.4</v>
      </c>
      <c r="H7" s="57"/>
    </row>
    <row r="8" spans="1:8" ht="19.5" x14ac:dyDescent="0.4">
      <c r="A8" s="48"/>
      <c r="B8" s="50"/>
      <c r="C8" s="50"/>
      <c r="D8" s="50"/>
      <c r="E8" s="50"/>
      <c r="F8" s="50"/>
      <c r="G8" s="58"/>
      <c r="H8" s="59"/>
    </row>
    <row r="9" spans="1:8" ht="19.5" x14ac:dyDescent="0.4">
      <c r="A9" s="51" t="s">
        <v>170</v>
      </c>
      <c r="B9" s="52" t="s">
        <v>125</v>
      </c>
      <c r="C9" s="52" t="s">
        <v>127</v>
      </c>
      <c r="D9" s="52" t="s">
        <v>129</v>
      </c>
      <c r="E9" s="52" t="s">
        <v>128</v>
      </c>
      <c r="F9" s="52" t="s">
        <v>124</v>
      </c>
      <c r="G9" s="58" t="s">
        <v>178</v>
      </c>
      <c r="H9" s="59"/>
    </row>
    <row r="10" spans="1:8" ht="19.5" x14ac:dyDescent="0.4">
      <c r="A10" s="46" t="s">
        <v>176</v>
      </c>
      <c r="B10" s="47"/>
      <c r="C10" s="47"/>
      <c r="D10" s="47"/>
      <c r="E10" s="47"/>
      <c r="F10" s="47"/>
      <c r="G10" s="58"/>
      <c r="H10" s="59"/>
    </row>
    <row r="11" spans="1:8" ht="19.5" x14ac:dyDescent="0.4">
      <c r="A11" s="48" t="s">
        <v>171</v>
      </c>
      <c r="B11" s="49">
        <f>(B3+19)*9/5</f>
        <v>88.2</v>
      </c>
      <c r="C11" s="49">
        <f t="shared" ref="C11:F11" si="2">(C3+19)*9/5</f>
        <v>87.3</v>
      </c>
      <c r="D11" s="49">
        <f t="shared" si="2"/>
        <v>90</v>
      </c>
      <c r="E11" s="49">
        <f t="shared" si="2"/>
        <v>85.5</v>
      </c>
      <c r="F11" s="49">
        <f t="shared" si="2"/>
        <v>91.8</v>
      </c>
      <c r="G11" s="61">
        <f>AVERAGE(B11:F11)</f>
        <v>88.56</v>
      </c>
      <c r="H11" s="57"/>
    </row>
    <row r="12" spans="1:8" ht="19.5" x14ac:dyDescent="0.4">
      <c r="A12" s="48" t="s">
        <v>172</v>
      </c>
      <c r="B12" s="49">
        <f>(B4+19)*9/5</f>
        <v>90</v>
      </c>
      <c r="C12" s="49">
        <f>(C4+19)*9/5</f>
        <v>93.6</v>
      </c>
      <c r="D12" s="49">
        <f>(D4+19)*9/5</f>
        <v>88.2</v>
      </c>
      <c r="E12" s="49">
        <f>(E4+19)*9/5</f>
        <v>88.2</v>
      </c>
      <c r="F12" s="49">
        <f>(F4+19)*9/5</f>
        <v>91.8</v>
      </c>
      <c r="G12" s="61">
        <f>AVERAGE(B12:F12)</f>
        <v>90.36</v>
      </c>
      <c r="H12" s="57"/>
    </row>
    <row r="13" spans="1:8" ht="19.5" x14ac:dyDescent="0.4">
      <c r="A13" s="48" t="s">
        <v>177</v>
      </c>
      <c r="B13" s="49">
        <f>(B5+19)*9/5</f>
        <v>78.84</v>
      </c>
      <c r="C13" s="49">
        <f t="shared" ref="C13:F13" si="3">(C5+19)*9/5</f>
        <v>81.72</v>
      </c>
      <c r="D13" s="49">
        <f t="shared" si="3"/>
        <v>77.400000000000006</v>
      </c>
      <c r="E13" s="49">
        <f t="shared" si="3"/>
        <v>77.400000000000006</v>
      </c>
      <c r="F13" s="49">
        <f t="shared" si="3"/>
        <v>80.28</v>
      </c>
      <c r="G13" s="61">
        <f>AVERAGE(B13:F13)</f>
        <v>79.128</v>
      </c>
      <c r="H13" s="57"/>
    </row>
    <row r="14" spans="1:8" ht="19.5" x14ac:dyDescent="0.4">
      <c r="A14" s="48" t="s">
        <v>173</v>
      </c>
      <c r="B14" s="49">
        <f t="shared" ref="B14:F15" si="4">(B6+19)*9/5</f>
        <v>74.7</v>
      </c>
      <c r="C14" s="49">
        <f t="shared" si="4"/>
        <v>74.025000000000006</v>
      </c>
      <c r="D14" s="49">
        <f t="shared" si="4"/>
        <v>76.05</v>
      </c>
      <c r="E14" s="49">
        <f t="shared" si="4"/>
        <v>72.674999999999997</v>
      </c>
      <c r="F14" s="49">
        <f t="shared" si="4"/>
        <v>77.400000000000006</v>
      </c>
      <c r="G14" s="61">
        <f>AVERAGE(B14:F14)</f>
        <v>74.97</v>
      </c>
      <c r="H14" s="57"/>
    </row>
    <row r="15" spans="1:8" ht="20.25" thickBot="1" x14ac:dyDescent="0.45">
      <c r="A15" s="53" t="s">
        <v>174</v>
      </c>
      <c r="B15" s="54">
        <f t="shared" si="4"/>
        <v>77.400000000000006</v>
      </c>
      <c r="C15" s="54">
        <f t="shared" si="4"/>
        <v>76.5</v>
      </c>
      <c r="D15" s="54">
        <f t="shared" si="4"/>
        <v>73.8</v>
      </c>
      <c r="E15" s="54">
        <f t="shared" si="4"/>
        <v>75.599999999999994</v>
      </c>
      <c r="F15" s="54">
        <f t="shared" si="4"/>
        <v>78.3</v>
      </c>
      <c r="G15" s="62">
        <f>AVERAGE(B15:F15)</f>
        <v>76.319999999999993</v>
      </c>
      <c r="H15" s="63"/>
    </row>
    <row r="16" spans="1:8" ht="15.75" thickTop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I19" sqref="I19"/>
    </sheetView>
  </sheetViews>
  <sheetFormatPr defaultRowHeight="15" x14ac:dyDescent="0.25"/>
  <cols>
    <col min="1" max="1" width="14.5703125" customWidth="1"/>
    <col min="2" max="2" width="12.42578125" customWidth="1"/>
    <col min="3" max="4" width="12.5703125" customWidth="1"/>
    <col min="5" max="5" width="17.28515625" customWidth="1"/>
    <col min="6" max="6" width="13" customWidth="1"/>
    <col min="7" max="7" width="17.42578125" customWidth="1"/>
    <col min="8" max="8" width="13" customWidth="1"/>
  </cols>
  <sheetData>
    <row r="1" spans="1:8" ht="29.25" x14ac:dyDescent="0.25">
      <c r="A1" s="67" t="s">
        <v>180</v>
      </c>
      <c r="B1" s="68"/>
      <c r="C1" s="68"/>
      <c r="D1" s="68"/>
      <c r="E1" s="68"/>
      <c r="F1" s="68"/>
      <c r="G1" s="68"/>
      <c r="H1" s="68"/>
    </row>
    <row r="2" spans="1:8" x14ac:dyDescent="0.25">
      <c r="A2" s="64"/>
      <c r="B2" s="64"/>
      <c r="C2" s="64"/>
      <c r="D2" s="64"/>
      <c r="E2" s="64"/>
      <c r="F2" s="64"/>
      <c r="G2" s="64"/>
      <c r="H2" s="64"/>
    </row>
    <row r="3" spans="1:8" ht="98.25" customHeight="1" x14ac:dyDescent="0.25">
      <c r="A3" s="66" t="s">
        <v>181</v>
      </c>
      <c r="B3" s="66" t="s">
        <v>0</v>
      </c>
      <c r="C3" s="66" t="s">
        <v>182</v>
      </c>
      <c r="D3" s="66" t="s">
        <v>183</v>
      </c>
      <c r="E3" s="66" t="s">
        <v>184</v>
      </c>
      <c r="F3" s="66" t="s">
        <v>185</v>
      </c>
      <c r="G3" s="66" t="s">
        <v>186</v>
      </c>
      <c r="H3" s="66" t="s">
        <v>205</v>
      </c>
    </row>
    <row r="4" spans="1:8" x14ac:dyDescent="0.25">
      <c r="A4" s="64" t="s">
        <v>193</v>
      </c>
      <c r="B4" s="64" t="s">
        <v>120</v>
      </c>
      <c r="C4" s="64" t="s">
        <v>204</v>
      </c>
      <c r="D4" s="64">
        <v>8291</v>
      </c>
      <c r="E4" s="64">
        <v>2500</v>
      </c>
      <c r="F4" s="64">
        <f t="shared" ref="F4:F12" si="0">SUM(D4:E4)</f>
        <v>10791</v>
      </c>
      <c r="G4" s="65">
        <f t="shared" ref="G4:G12" si="1">(12%*F4)</f>
        <v>1294.9199999999998</v>
      </c>
      <c r="H4" s="65">
        <f t="shared" ref="H4:H12" si="2">(F4-G4)</f>
        <v>9496.08</v>
      </c>
    </row>
    <row r="5" spans="1:8" x14ac:dyDescent="0.25">
      <c r="A5" s="64" t="s">
        <v>189</v>
      </c>
      <c r="B5" s="64" t="s">
        <v>198</v>
      </c>
      <c r="C5" s="64" t="s">
        <v>203</v>
      </c>
      <c r="D5" s="64">
        <v>6508</v>
      </c>
      <c r="E5" s="64">
        <v>500</v>
      </c>
      <c r="F5" s="64">
        <f t="shared" si="0"/>
        <v>7008</v>
      </c>
      <c r="G5" s="65">
        <f t="shared" si="1"/>
        <v>840.95999999999992</v>
      </c>
      <c r="H5" s="65">
        <f t="shared" si="2"/>
        <v>6167.04</v>
      </c>
    </row>
    <row r="6" spans="1:8" x14ac:dyDescent="0.25">
      <c r="A6" s="64" t="s">
        <v>190</v>
      </c>
      <c r="B6" s="64" t="s">
        <v>199</v>
      </c>
      <c r="C6" s="64" t="s">
        <v>204</v>
      </c>
      <c r="D6" s="64">
        <v>8006</v>
      </c>
      <c r="E6" s="64">
        <v>1801</v>
      </c>
      <c r="F6" s="64">
        <f t="shared" si="0"/>
        <v>9807</v>
      </c>
      <c r="G6" s="65">
        <f t="shared" si="1"/>
        <v>1176.8399999999999</v>
      </c>
      <c r="H6" s="65">
        <f t="shared" si="2"/>
        <v>8630.16</v>
      </c>
    </row>
    <row r="7" spans="1:8" x14ac:dyDescent="0.25">
      <c r="A7" s="64" t="s">
        <v>191</v>
      </c>
      <c r="B7" s="64" t="s">
        <v>122</v>
      </c>
      <c r="C7" s="64" t="s">
        <v>204</v>
      </c>
      <c r="D7" s="64">
        <v>7917</v>
      </c>
      <c r="E7" s="64">
        <v>1775</v>
      </c>
      <c r="F7" s="64">
        <f t="shared" si="0"/>
        <v>9692</v>
      </c>
      <c r="G7" s="65">
        <f t="shared" si="1"/>
        <v>1163.04</v>
      </c>
      <c r="H7" s="65">
        <f t="shared" si="2"/>
        <v>8528.9599999999991</v>
      </c>
    </row>
    <row r="8" spans="1:8" x14ac:dyDescent="0.25">
      <c r="A8" s="64" t="s">
        <v>192</v>
      </c>
      <c r="B8" s="64" t="s">
        <v>200</v>
      </c>
      <c r="C8" s="64" t="s">
        <v>203</v>
      </c>
      <c r="D8" s="64">
        <v>5500</v>
      </c>
      <c r="E8" s="64">
        <v>850</v>
      </c>
      <c r="F8" s="64">
        <f t="shared" si="0"/>
        <v>6350</v>
      </c>
      <c r="G8" s="65">
        <f t="shared" si="1"/>
        <v>762</v>
      </c>
      <c r="H8" s="65">
        <f t="shared" si="2"/>
        <v>5588</v>
      </c>
    </row>
    <row r="9" spans="1:8" x14ac:dyDescent="0.25">
      <c r="A9" s="64" t="s">
        <v>194</v>
      </c>
      <c r="B9" s="64" t="s">
        <v>119</v>
      </c>
      <c r="C9" s="64" t="s">
        <v>203</v>
      </c>
      <c r="D9" s="64">
        <v>5700</v>
      </c>
      <c r="E9" s="64">
        <v>760</v>
      </c>
      <c r="F9" s="64">
        <f t="shared" si="0"/>
        <v>6460</v>
      </c>
      <c r="G9" s="65">
        <f t="shared" si="1"/>
        <v>775.19999999999993</v>
      </c>
      <c r="H9" s="65">
        <f t="shared" si="2"/>
        <v>5684.8</v>
      </c>
    </row>
    <row r="10" spans="1:8" x14ac:dyDescent="0.25">
      <c r="A10" s="64" t="s">
        <v>195</v>
      </c>
      <c r="B10" s="64" t="s">
        <v>201</v>
      </c>
      <c r="C10" s="64" t="s">
        <v>203</v>
      </c>
      <c r="D10" s="64">
        <v>7151</v>
      </c>
      <c r="E10" s="64">
        <v>1545</v>
      </c>
      <c r="F10" s="64">
        <f t="shared" si="0"/>
        <v>8696</v>
      </c>
      <c r="G10" s="65">
        <f t="shared" si="1"/>
        <v>1043.52</v>
      </c>
      <c r="H10" s="65">
        <f t="shared" si="2"/>
        <v>7652.48</v>
      </c>
    </row>
    <row r="11" spans="1:8" x14ac:dyDescent="0.25">
      <c r="A11" s="64" t="s">
        <v>187</v>
      </c>
      <c r="B11" s="64" t="s">
        <v>196</v>
      </c>
      <c r="C11" s="64" t="s">
        <v>202</v>
      </c>
      <c r="D11" s="64">
        <v>4600</v>
      </c>
      <c r="E11" s="64">
        <v>300</v>
      </c>
      <c r="F11" s="64">
        <f t="shared" si="0"/>
        <v>4900</v>
      </c>
      <c r="G11" s="65">
        <f t="shared" si="1"/>
        <v>588</v>
      </c>
      <c r="H11" s="65">
        <f t="shared" si="2"/>
        <v>4312</v>
      </c>
    </row>
    <row r="12" spans="1:8" x14ac:dyDescent="0.25">
      <c r="A12" s="64" t="s">
        <v>188</v>
      </c>
      <c r="B12" s="64" t="s">
        <v>197</v>
      </c>
      <c r="C12" s="64" t="s">
        <v>202</v>
      </c>
      <c r="D12" s="64">
        <v>3500</v>
      </c>
      <c r="E12" s="64">
        <v>450</v>
      </c>
      <c r="F12" s="64">
        <f t="shared" si="0"/>
        <v>3950</v>
      </c>
      <c r="G12" s="65">
        <f t="shared" si="1"/>
        <v>474</v>
      </c>
      <c r="H12" s="65">
        <f t="shared" si="2"/>
        <v>3476</v>
      </c>
    </row>
  </sheetData>
  <sortState ref="A4:H12">
    <sortCondition ref="A4:A1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15" sqref="I15"/>
    </sheetView>
  </sheetViews>
  <sheetFormatPr defaultRowHeight="15" x14ac:dyDescent="0.25"/>
  <cols>
    <col min="1" max="1" width="35.5703125" customWidth="1"/>
    <col min="2" max="7" width="13.7109375" bestFit="1" customWidth="1"/>
  </cols>
  <sheetData>
    <row r="1" spans="1:13" ht="20.25" x14ac:dyDescent="0.3">
      <c r="A1" s="128" t="s">
        <v>206</v>
      </c>
      <c r="B1" s="128"/>
      <c r="C1" s="128"/>
      <c r="D1" s="128"/>
      <c r="E1" s="128"/>
      <c r="F1" s="128"/>
      <c r="G1" s="128"/>
    </row>
    <row r="2" spans="1:13" ht="15.75" x14ac:dyDescent="0.25">
      <c r="A2" s="69"/>
      <c r="B2" s="70">
        <v>2020</v>
      </c>
      <c r="C2" s="70">
        <v>2021</v>
      </c>
      <c r="D2" s="70">
        <v>2022</v>
      </c>
      <c r="E2" s="70">
        <v>2023</v>
      </c>
      <c r="F2" s="70">
        <v>2024</v>
      </c>
      <c r="G2" s="70">
        <v>2025</v>
      </c>
    </row>
    <row r="3" spans="1:13" ht="15.75" x14ac:dyDescent="0.25">
      <c r="A3" s="69" t="s">
        <v>207</v>
      </c>
      <c r="B3" s="71">
        <v>10000</v>
      </c>
      <c r="C3" s="71">
        <f>(C4*B3)+B3</f>
        <v>12000</v>
      </c>
      <c r="D3" s="71">
        <f t="shared" ref="D3:G3" si="0">(D4*C3)+C3</f>
        <v>15600</v>
      </c>
      <c r="E3" s="71">
        <f t="shared" si="0"/>
        <v>18720</v>
      </c>
      <c r="F3" s="71">
        <f t="shared" si="0"/>
        <v>20592</v>
      </c>
      <c r="G3" s="71">
        <f t="shared" si="0"/>
        <v>22651.200000000001</v>
      </c>
    </row>
    <row r="4" spans="1:13" ht="15.75" x14ac:dyDescent="0.25">
      <c r="A4" s="69" t="s">
        <v>208</v>
      </c>
      <c r="B4" s="72"/>
      <c r="C4" s="74">
        <v>0.2</v>
      </c>
      <c r="D4" s="74">
        <v>0.3</v>
      </c>
      <c r="E4" s="74">
        <v>0.2</v>
      </c>
      <c r="F4" s="74">
        <v>0.1</v>
      </c>
      <c r="G4" s="74">
        <v>0.1</v>
      </c>
    </row>
    <row r="5" spans="1:13" ht="15.75" x14ac:dyDescent="0.25">
      <c r="A5" s="69"/>
      <c r="B5" s="72"/>
      <c r="C5" s="72"/>
      <c r="D5" s="72"/>
      <c r="E5" s="72"/>
      <c r="F5" s="72"/>
      <c r="G5" s="72"/>
    </row>
    <row r="6" spans="1:13" ht="15.75" x14ac:dyDescent="0.25">
      <c r="A6" s="69" t="s">
        <v>209</v>
      </c>
      <c r="B6" s="71">
        <f>(17%*B3)</f>
        <v>1700.0000000000002</v>
      </c>
      <c r="C6" s="71">
        <f t="shared" ref="C6:G6" si="1">(17%*C3)</f>
        <v>2040.0000000000002</v>
      </c>
      <c r="D6" s="71">
        <f t="shared" si="1"/>
        <v>2652</v>
      </c>
      <c r="E6" s="71">
        <f t="shared" si="1"/>
        <v>3182.4</v>
      </c>
      <c r="F6" s="71">
        <f t="shared" si="1"/>
        <v>3500.6400000000003</v>
      </c>
      <c r="G6" s="71">
        <f t="shared" si="1"/>
        <v>3850.7040000000002</v>
      </c>
    </row>
    <row r="7" spans="1:13" ht="15.75" x14ac:dyDescent="0.25">
      <c r="A7" s="69" t="s">
        <v>210</v>
      </c>
      <c r="B7" s="71">
        <f>(14%*B3)</f>
        <v>1400.0000000000002</v>
      </c>
      <c r="C7" s="71">
        <f t="shared" ref="C7:G7" si="2">(14%*C3)</f>
        <v>1680.0000000000002</v>
      </c>
      <c r="D7" s="71">
        <f t="shared" si="2"/>
        <v>2184</v>
      </c>
      <c r="E7" s="71">
        <f t="shared" si="2"/>
        <v>2620.8000000000002</v>
      </c>
      <c r="F7" s="71">
        <f t="shared" si="2"/>
        <v>2882.88</v>
      </c>
      <c r="G7" s="71">
        <f t="shared" si="2"/>
        <v>3171.1680000000006</v>
      </c>
      <c r="K7" s="75"/>
      <c r="L7" s="75"/>
      <c r="M7" s="75"/>
    </row>
    <row r="8" spans="1:13" ht="15.75" x14ac:dyDescent="0.25">
      <c r="A8" s="69" t="s">
        <v>211</v>
      </c>
      <c r="B8" s="71">
        <f>(2.1%*B3)</f>
        <v>210</v>
      </c>
      <c r="C8" s="71">
        <f t="shared" ref="C8:G8" si="3">(2.1%*C3)</f>
        <v>252.00000000000003</v>
      </c>
      <c r="D8" s="71">
        <f t="shared" si="3"/>
        <v>327.60000000000002</v>
      </c>
      <c r="E8" s="71">
        <f t="shared" si="3"/>
        <v>393.12</v>
      </c>
      <c r="F8" s="71">
        <f t="shared" si="3"/>
        <v>432.43200000000002</v>
      </c>
      <c r="G8" s="71">
        <f t="shared" si="3"/>
        <v>475.67520000000002</v>
      </c>
      <c r="K8" s="75"/>
      <c r="L8" s="75"/>
      <c r="M8" s="75"/>
    </row>
    <row r="9" spans="1:13" ht="15.75" x14ac:dyDescent="0.25">
      <c r="A9" s="69" t="s">
        <v>212</v>
      </c>
      <c r="B9" s="71">
        <v>100</v>
      </c>
      <c r="C9" s="71">
        <f>(8%*B9)+100</f>
        <v>108</v>
      </c>
      <c r="D9" s="71">
        <f>((8%*C9)+C9)</f>
        <v>116.64</v>
      </c>
      <c r="E9" s="71">
        <f>((8%*D9)+D9)</f>
        <v>125.9712</v>
      </c>
      <c r="F9" s="71">
        <f>((8%*E9)+E9)</f>
        <v>136.04889599999998</v>
      </c>
      <c r="G9" s="71">
        <f>((8%*F9)+F9)</f>
        <v>146.93280768</v>
      </c>
      <c r="K9" s="75"/>
      <c r="L9" s="75"/>
      <c r="M9" s="75"/>
    </row>
    <row r="10" spans="1:13" ht="15.75" x14ac:dyDescent="0.25">
      <c r="A10" s="69"/>
      <c r="B10" s="71"/>
      <c r="C10" s="71"/>
      <c r="D10" s="71"/>
      <c r="E10" s="71"/>
      <c r="F10" s="71"/>
      <c r="G10" s="71"/>
      <c r="K10" s="75"/>
      <c r="L10" s="75"/>
      <c r="M10" s="75"/>
    </row>
    <row r="11" spans="1:13" ht="15.75" x14ac:dyDescent="0.25">
      <c r="A11" s="70" t="s">
        <v>213</v>
      </c>
      <c r="B11" s="73">
        <f>SUM(B6:B9)</f>
        <v>3410.0000000000005</v>
      </c>
      <c r="C11" s="73">
        <f t="shared" ref="C11:G11" si="4">SUM(C6:C9)</f>
        <v>4080.0000000000005</v>
      </c>
      <c r="D11" s="73">
        <f t="shared" si="4"/>
        <v>5280.2400000000007</v>
      </c>
      <c r="E11" s="73">
        <f t="shared" si="4"/>
        <v>6322.2912000000006</v>
      </c>
      <c r="F11" s="73">
        <f t="shared" si="4"/>
        <v>6952.0008960000005</v>
      </c>
      <c r="G11" s="73">
        <f t="shared" si="4"/>
        <v>7644.4800076800011</v>
      </c>
      <c r="K11" s="75"/>
      <c r="L11" s="75"/>
      <c r="M11" s="75"/>
    </row>
    <row r="12" spans="1:13" ht="15.75" x14ac:dyDescent="0.25">
      <c r="A12" s="69"/>
      <c r="B12" s="71"/>
      <c r="C12" s="71"/>
      <c r="D12" s="71"/>
      <c r="E12" s="71"/>
      <c r="F12" s="71"/>
      <c r="G12" s="71"/>
      <c r="K12" s="75"/>
      <c r="L12" s="75"/>
      <c r="M12" s="75"/>
    </row>
    <row r="13" spans="1:13" ht="15.75" x14ac:dyDescent="0.25">
      <c r="A13" s="69" t="s">
        <v>214</v>
      </c>
      <c r="B13" s="71">
        <v>1000</v>
      </c>
      <c r="C13" s="71">
        <f>((10%*B13)+B13)</f>
        <v>1100</v>
      </c>
      <c r="D13" s="71">
        <f t="shared" ref="D13:G13" si="5">((10%*C13)+C13)</f>
        <v>1210</v>
      </c>
      <c r="E13" s="71">
        <f t="shared" si="5"/>
        <v>1331</v>
      </c>
      <c r="F13" s="71">
        <f t="shared" si="5"/>
        <v>1464.1</v>
      </c>
      <c r="G13" s="71">
        <f t="shared" si="5"/>
        <v>1610.51</v>
      </c>
      <c r="K13" s="75"/>
      <c r="L13" s="75"/>
      <c r="M13" s="75"/>
    </row>
    <row r="14" spans="1:13" ht="15.75" x14ac:dyDescent="0.25">
      <c r="A14" s="69" t="s">
        <v>215</v>
      </c>
      <c r="B14" s="71">
        <f>(8%*B3)</f>
        <v>800</v>
      </c>
      <c r="C14" s="71">
        <f t="shared" ref="C14:G14" si="6">(8%*C3)</f>
        <v>960</v>
      </c>
      <c r="D14" s="71">
        <f t="shared" si="6"/>
        <v>1248</v>
      </c>
      <c r="E14" s="71">
        <f t="shared" si="6"/>
        <v>1497.6000000000001</v>
      </c>
      <c r="F14" s="71">
        <f t="shared" si="6"/>
        <v>1647.3600000000001</v>
      </c>
      <c r="G14" s="71">
        <f t="shared" si="6"/>
        <v>1812.096</v>
      </c>
      <c r="K14" s="75"/>
      <c r="L14" s="75"/>
      <c r="M14" s="75"/>
    </row>
    <row r="15" spans="1:13" ht="15.75" x14ac:dyDescent="0.25">
      <c r="A15" s="69" t="s">
        <v>216</v>
      </c>
      <c r="B15" s="71">
        <f>(2.5%*B3)</f>
        <v>250</v>
      </c>
      <c r="C15" s="71">
        <f t="shared" ref="C15:G15" si="7">(2.5%*C3)</f>
        <v>300</v>
      </c>
      <c r="D15" s="71">
        <f t="shared" si="7"/>
        <v>390</v>
      </c>
      <c r="E15" s="71">
        <f t="shared" si="7"/>
        <v>468</v>
      </c>
      <c r="F15" s="71">
        <f t="shared" si="7"/>
        <v>514.80000000000007</v>
      </c>
      <c r="G15" s="71">
        <f t="shared" si="7"/>
        <v>566.28000000000009</v>
      </c>
      <c r="K15" s="75"/>
      <c r="L15" s="75"/>
      <c r="M15" s="75"/>
    </row>
    <row r="16" spans="1:13" ht="15.75" x14ac:dyDescent="0.25">
      <c r="A16" s="69" t="s">
        <v>217</v>
      </c>
      <c r="B16" s="71">
        <v>20</v>
      </c>
      <c r="C16" s="71">
        <v>20</v>
      </c>
      <c r="D16" s="71">
        <v>20</v>
      </c>
      <c r="E16" s="71">
        <v>20</v>
      </c>
      <c r="F16" s="71">
        <v>20</v>
      </c>
      <c r="G16" s="71">
        <v>20</v>
      </c>
    </row>
    <row r="17" spans="1:7" ht="15.75" x14ac:dyDescent="0.25">
      <c r="A17" s="69" t="s">
        <v>218</v>
      </c>
      <c r="B17" s="71">
        <v>10</v>
      </c>
      <c r="C17" s="71">
        <v>20</v>
      </c>
      <c r="D17" s="71">
        <v>30</v>
      </c>
      <c r="E17" s="71">
        <v>40</v>
      </c>
      <c r="F17" s="71">
        <v>50</v>
      </c>
      <c r="G17" s="71">
        <v>60</v>
      </c>
    </row>
    <row r="18" spans="1:7" ht="15.75" x14ac:dyDescent="0.25">
      <c r="A18" s="69"/>
      <c r="B18" s="71"/>
      <c r="C18" s="71"/>
      <c r="D18" s="71"/>
      <c r="E18" s="71"/>
      <c r="F18" s="71"/>
      <c r="G18" s="71"/>
    </row>
    <row r="19" spans="1:7" ht="15.75" x14ac:dyDescent="0.25">
      <c r="A19" s="70" t="s">
        <v>219</v>
      </c>
      <c r="B19" s="73">
        <f>SUM(B13:B17)</f>
        <v>2080</v>
      </c>
      <c r="C19" s="73">
        <f t="shared" ref="C19:G19" si="8">SUM(C13:C17)</f>
        <v>2400</v>
      </c>
      <c r="D19" s="73">
        <f t="shared" si="8"/>
        <v>2898</v>
      </c>
      <c r="E19" s="73">
        <f t="shared" si="8"/>
        <v>3356.6000000000004</v>
      </c>
      <c r="F19" s="73">
        <f t="shared" si="8"/>
        <v>3696.26</v>
      </c>
      <c r="G19" s="73">
        <f t="shared" si="8"/>
        <v>4068.886</v>
      </c>
    </row>
    <row r="20" spans="1:7" ht="15.75" x14ac:dyDescent="0.25">
      <c r="A20" s="70"/>
      <c r="B20" s="73"/>
      <c r="C20" s="73"/>
      <c r="D20" s="73"/>
      <c r="E20" s="73"/>
      <c r="F20" s="73"/>
      <c r="G20" s="73"/>
    </row>
    <row r="21" spans="1:7" ht="15.75" x14ac:dyDescent="0.25">
      <c r="A21" s="70" t="s">
        <v>220</v>
      </c>
      <c r="B21" s="73">
        <f>SUM(B11+B19)</f>
        <v>5490</v>
      </c>
      <c r="C21" s="73">
        <f t="shared" ref="C21:G21" si="9">SUM(C11+C19)</f>
        <v>6480</v>
      </c>
      <c r="D21" s="73">
        <f t="shared" si="9"/>
        <v>8178.2400000000007</v>
      </c>
      <c r="E21" s="73">
        <f t="shared" si="9"/>
        <v>9678.8912000000018</v>
      </c>
      <c r="F21" s="73">
        <f t="shared" si="9"/>
        <v>10648.260896</v>
      </c>
      <c r="G21" s="73">
        <f t="shared" si="9"/>
        <v>11713.366007680001</v>
      </c>
    </row>
    <row r="22" spans="1:7" ht="15.75" x14ac:dyDescent="0.25">
      <c r="A22" s="69"/>
      <c r="B22" s="71"/>
      <c r="C22" s="71"/>
      <c r="D22" s="71"/>
      <c r="E22" s="71"/>
      <c r="F22" s="71"/>
      <c r="G22" s="71"/>
    </row>
    <row r="23" spans="1:7" ht="15.75" x14ac:dyDescent="0.25">
      <c r="A23" s="69" t="s">
        <v>221</v>
      </c>
      <c r="B23" s="71">
        <v>10</v>
      </c>
      <c r="C23" s="71">
        <v>10</v>
      </c>
      <c r="D23" s="71">
        <v>10</v>
      </c>
      <c r="E23" s="71">
        <v>10</v>
      </c>
      <c r="F23" s="71">
        <v>10</v>
      </c>
      <c r="G23" s="71">
        <v>10</v>
      </c>
    </row>
    <row r="24" spans="1:7" ht="15.75" x14ac:dyDescent="0.25">
      <c r="A24" s="69"/>
      <c r="B24" s="71"/>
      <c r="C24" s="71"/>
      <c r="D24" s="71"/>
      <c r="E24" s="71"/>
      <c r="F24" s="71"/>
      <c r="G24" s="71"/>
    </row>
    <row r="25" spans="1:7" ht="15.75" x14ac:dyDescent="0.25">
      <c r="A25" s="69" t="s">
        <v>222</v>
      </c>
      <c r="B25" s="71">
        <f>(B3-B21-B23)</f>
        <v>4500</v>
      </c>
      <c r="C25" s="71">
        <f t="shared" ref="C25:G25" si="10">(C3-C21-C23)</f>
        <v>5510</v>
      </c>
      <c r="D25" s="71">
        <f t="shared" si="10"/>
        <v>7411.7599999999993</v>
      </c>
      <c r="E25" s="71">
        <f t="shared" si="10"/>
        <v>9031.1087999999982</v>
      </c>
      <c r="F25" s="71">
        <f t="shared" si="10"/>
        <v>9933.7391040000002</v>
      </c>
      <c r="G25" s="71">
        <f t="shared" si="10"/>
        <v>10927.83399232</v>
      </c>
    </row>
    <row r="26" spans="1:7" ht="15.75" x14ac:dyDescent="0.25">
      <c r="A26" s="69"/>
      <c r="B26" s="71"/>
      <c r="C26" s="71"/>
      <c r="D26" s="71"/>
      <c r="E26" s="71"/>
      <c r="F26" s="71"/>
      <c r="G26" s="71"/>
    </row>
    <row r="27" spans="1:7" ht="15.75" x14ac:dyDescent="0.25">
      <c r="A27" s="70" t="s">
        <v>223</v>
      </c>
      <c r="B27" s="73">
        <f>(52%*B25)</f>
        <v>2340</v>
      </c>
      <c r="C27" s="73">
        <f t="shared" ref="C27:G27" si="11">(52%*C25)</f>
        <v>2865.2000000000003</v>
      </c>
      <c r="D27" s="73">
        <f t="shared" si="11"/>
        <v>3854.1151999999997</v>
      </c>
      <c r="E27" s="73">
        <f t="shared" si="11"/>
        <v>4696.1765759999989</v>
      </c>
      <c r="F27" s="73">
        <f t="shared" si="11"/>
        <v>5165.5443340800002</v>
      </c>
      <c r="G27" s="73">
        <f t="shared" si="11"/>
        <v>5682.4736760064006</v>
      </c>
    </row>
    <row r="28" spans="1:7" ht="15.75" x14ac:dyDescent="0.25">
      <c r="A28" s="70"/>
      <c r="B28" s="73"/>
      <c r="C28" s="73"/>
      <c r="D28" s="73"/>
      <c r="E28" s="73"/>
      <c r="F28" s="73"/>
      <c r="G28" s="73"/>
    </row>
    <row r="29" spans="1:7" ht="15.75" x14ac:dyDescent="0.25">
      <c r="A29" s="70" t="s">
        <v>224</v>
      </c>
      <c r="B29" s="73">
        <f>(B25-B27)</f>
        <v>2160</v>
      </c>
      <c r="C29" s="73">
        <f t="shared" ref="C29:G29" si="12">(C25-C27)</f>
        <v>2644.7999999999997</v>
      </c>
      <c r="D29" s="73">
        <f t="shared" si="12"/>
        <v>3557.6447999999996</v>
      </c>
      <c r="E29" s="73">
        <f t="shared" si="12"/>
        <v>4334.9322239999992</v>
      </c>
      <c r="F29" s="73">
        <f t="shared" si="12"/>
        <v>4768.19476992</v>
      </c>
      <c r="G29" s="73">
        <f t="shared" si="12"/>
        <v>5245.3603163135995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:H14"/>
    </sheetView>
  </sheetViews>
  <sheetFormatPr defaultRowHeight="15" x14ac:dyDescent="0.25"/>
  <cols>
    <col min="2" max="2" width="23.42578125" customWidth="1"/>
    <col min="3" max="3" width="12.28515625" bestFit="1" customWidth="1"/>
    <col min="4" max="4" width="12.140625" customWidth="1"/>
    <col min="5" max="5" width="12.42578125" customWidth="1"/>
    <col min="6" max="6" width="12.85546875" customWidth="1"/>
    <col min="7" max="7" width="11.5703125" bestFit="1" customWidth="1"/>
  </cols>
  <sheetData>
    <row r="1" spans="1:7" x14ac:dyDescent="0.25">
      <c r="A1" s="129" t="s">
        <v>225</v>
      </c>
      <c r="B1" s="129"/>
      <c r="C1" s="129"/>
      <c r="D1" s="129"/>
      <c r="E1" s="129"/>
      <c r="F1" s="129"/>
      <c r="G1" s="129"/>
    </row>
    <row r="2" spans="1:7" x14ac:dyDescent="0.25">
      <c r="A2" t="s">
        <v>226</v>
      </c>
      <c r="B2" t="s">
        <v>227</v>
      </c>
      <c r="C2" t="s">
        <v>228</v>
      </c>
      <c r="D2" t="s">
        <v>229</v>
      </c>
      <c r="E2" t="s">
        <v>230</v>
      </c>
      <c r="F2" t="s">
        <v>130</v>
      </c>
      <c r="G2" t="s">
        <v>231</v>
      </c>
    </row>
    <row r="3" spans="1:7" x14ac:dyDescent="0.25">
      <c r="A3" t="s">
        <v>232</v>
      </c>
      <c r="B3" t="s">
        <v>237</v>
      </c>
      <c r="C3" s="78">
        <v>22000</v>
      </c>
      <c r="D3" s="78">
        <v>29000</v>
      </c>
      <c r="E3" s="78">
        <v>19000</v>
      </c>
      <c r="F3" s="78">
        <f>AVERAGE(C3:E3)</f>
        <v>23333.333333333332</v>
      </c>
      <c r="G3" s="78">
        <f>MAX(C3:E3)</f>
        <v>29000</v>
      </c>
    </row>
    <row r="4" spans="1:7" x14ac:dyDescent="0.25">
      <c r="A4" t="s">
        <v>233</v>
      </c>
      <c r="B4" t="s">
        <v>238</v>
      </c>
      <c r="C4" s="78">
        <v>42000</v>
      </c>
      <c r="D4" s="78">
        <v>39000</v>
      </c>
      <c r="E4" s="78">
        <v>43000</v>
      </c>
      <c r="F4" s="78">
        <f t="shared" ref="F4:F7" si="0">AVERAGE(C4:E4)</f>
        <v>41333.333333333336</v>
      </c>
      <c r="G4" s="78">
        <f t="shared" ref="G4:G7" si="1">MAX(C4:E4)</f>
        <v>43000</v>
      </c>
    </row>
    <row r="5" spans="1:7" x14ac:dyDescent="0.25">
      <c r="A5" t="s">
        <v>234</v>
      </c>
      <c r="B5" t="s">
        <v>239</v>
      </c>
      <c r="C5" s="78">
        <v>18000</v>
      </c>
      <c r="D5" s="78">
        <v>20000</v>
      </c>
      <c r="E5" s="78">
        <v>22000</v>
      </c>
      <c r="F5" s="78">
        <f t="shared" si="0"/>
        <v>20000</v>
      </c>
      <c r="G5" s="78">
        <f t="shared" si="1"/>
        <v>22000</v>
      </c>
    </row>
    <row r="6" spans="1:7" x14ac:dyDescent="0.25">
      <c r="A6" t="s">
        <v>235</v>
      </c>
      <c r="B6" t="s">
        <v>240</v>
      </c>
      <c r="C6" s="78">
        <v>35000</v>
      </c>
      <c r="D6" s="78">
        <v>15000</v>
      </c>
      <c r="E6" s="78">
        <v>13000</v>
      </c>
      <c r="F6" s="78">
        <f t="shared" si="0"/>
        <v>21000</v>
      </c>
      <c r="G6" s="78">
        <f t="shared" si="1"/>
        <v>35000</v>
      </c>
    </row>
    <row r="7" spans="1:7" x14ac:dyDescent="0.25">
      <c r="A7" t="s">
        <v>236</v>
      </c>
      <c r="B7" t="s">
        <v>241</v>
      </c>
      <c r="C7" s="78">
        <v>12000</v>
      </c>
      <c r="D7" s="78">
        <v>15000</v>
      </c>
      <c r="E7" s="78">
        <v>13000</v>
      </c>
      <c r="F7" s="78">
        <f t="shared" si="0"/>
        <v>13333.333333333334</v>
      </c>
      <c r="G7" s="78">
        <f t="shared" si="1"/>
        <v>15000</v>
      </c>
    </row>
    <row r="8" spans="1:7" x14ac:dyDescent="0.25">
      <c r="B8" s="77" t="s">
        <v>242</v>
      </c>
      <c r="C8" s="79">
        <f>SUM(C3:C7)</f>
        <v>129000</v>
      </c>
      <c r="D8" s="79">
        <f t="shared" ref="D8:E8" si="2">SUM(D3:D7)</f>
        <v>118000</v>
      </c>
      <c r="E8" s="79">
        <f t="shared" si="2"/>
        <v>110000</v>
      </c>
      <c r="F8" s="79"/>
      <c r="G8" s="79"/>
    </row>
    <row r="9" spans="1:7" x14ac:dyDescent="0.25">
      <c r="B9" s="77" t="s">
        <v>243</v>
      </c>
      <c r="C9" s="79">
        <v>83000</v>
      </c>
      <c r="D9" s="79">
        <v>84000</v>
      </c>
      <c r="E9" s="79">
        <v>43000</v>
      </c>
    </row>
    <row r="10" spans="1:7" x14ac:dyDescent="0.25">
      <c r="B10" s="77" t="s">
        <v>224</v>
      </c>
      <c r="C10" s="79">
        <f>(C8-C9)</f>
        <v>46000</v>
      </c>
      <c r="D10" s="79">
        <f t="shared" ref="D10:E10" si="3">(D8-D9)</f>
        <v>34000</v>
      </c>
      <c r="E10" s="79">
        <f t="shared" si="3"/>
        <v>67000</v>
      </c>
    </row>
    <row r="11" spans="1:7" x14ac:dyDescent="0.25">
      <c r="B11" s="77" t="s">
        <v>244</v>
      </c>
      <c r="C11" s="79">
        <f>(10%*C10)</f>
        <v>4600</v>
      </c>
      <c r="D11" s="79">
        <f t="shared" ref="D11:E11" si="4">(10%*D10)</f>
        <v>3400</v>
      </c>
      <c r="E11" s="79">
        <f t="shared" si="4"/>
        <v>6700</v>
      </c>
    </row>
    <row r="13" spans="1:7" ht="30" x14ac:dyDescent="0.25">
      <c r="B13" s="76" t="s">
        <v>245</v>
      </c>
      <c r="C13" s="80">
        <f>SUMIF(C3:C7,"&gt;30000")</f>
        <v>77000</v>
      </c>
      <c r="D13" s="80">
        <f t="shared" ref="D13:E13" si="5">SUMIF(D3:D7,"&gt;30000")</f>
        <v>39000</v>
      </c>
      <c r="E13" s="80">
        <f t="shared" si="5"/>
        <v>43000</v>
      </c>
    </row>
    <row r="14" spans="1:7" ht="30" x14ac:dyDescent="0.25">
      <c r="B14" s="76" t="s">
        <v>246</v>
      </c>
      <c r="C14" s="80">
        <f>SUMIF(C3:C7,"&lt;30000")</f>
        <v>52000</v>
      </c>
      <c r="D14" s="80">
        <f t="shared" ref="D14:E14" si="6">SUMIF(D3:D7,"&lt;30000")</f>
        <v>79000</v>
      </c>
      <c r="E14" s="80">
        <f t="shared" si="6"/>
        <v>67000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4" sqref="F14"/>
    </sheetView>
  </sheetViews>
  <sheetFormatPr defaultRowHeight="15" x14ac:dyDescent="0.25"/>
  <cols>
    <col min="3" max="3" width="12" customWidth="1"/>
    <col min="4" max="4" width="14.5703125" customWidth="1"/>
    <col min="6" max="6" width="20.85546875" customWidth="1"/>
    <col min="7" max="7" width="12.42578125" customWidth="1"/>
  </cols>
  <sheetData>
    <row r="1" spans="1:7" x14ac:dyDescent="0.25">
      <c r="A1" t="s">
        <v>0</v>
      </c>
      <c r="C1" t="s">
        <v>247</v>
      </c>
      <c r="D1" t="s">
        <v>248</v>
      </c>
    </row>
    <row r="2" spans="1:7" x14ac:dyDescent="0.25">
      <c r="A2" t="s">
        <v>197</v>
      </c>
      <c r="B2">
        <v>25</v>
      </c>
      <c r="C2" t="b">
        <v>0</v>
      </c>
      <c r="D2" t="b">
        <v>0</v>
      </c>
    </row>
    <row r="3" spans="1:7" x14ac:dyDescent="0.25">
      <c r="A3" t="s">
        <v>249</v>
      </c>
      <c r="B3">
        <v>17</v>
      </c>
      <c r="C3" t="b">
        <v>0</v>
      </c>
      <c r="D3" t="b">
        <v>0</v>
      </c>
    </row>
    <row r="4" spans="1:7" x14ac:dyDescent="0.25">
      <c r="A4" t="s">
        <v>250</v>
      </c>
      <c r="B4">
        <v>46</v>
      </c>
      <c r="C4" t="b">
        <v>0</v>
      </c>
      <c r="D4" t="b">
        <v>0</v>
      </c>
    </row>
    <row r="5" spans="1:7" x14ac:dyDescent="0.25">
      <c r="A5" t="s">
        <v>251</v>
      </c>
      <c r="B5">
        <v>18</v>
      </c>
      <c r="C5" t="b">
        <v>0</v>
      </c>
      <c r="D5" t="b">
        <v>0</v>
      </c>
      <c r="F5" s="36" t="s">
        <v>182</v>
      </c>
      <c r="G5" s="36" t="s">
        <v>267</v>
      </c>
    </row>
    <row r="6" spans="1:7" x14ac:dyDescent="0.25">
      <c r="A6" t="s">
        <v>252</v>
      </c>
      <c r="B6">
        <v>85</v>
      </c>
      <c r="C6" t="b">
        <v>0</v>
      </c>
      <c r="D6" t="b">
        <v>1</v>
      </c>
      <c r="F6" s="36" t="s">
        <v>268</v>
      </c>
      <c r="G6" s="36">
        <f>COUNTIF(B2:B21,"&lt;18")</f>
        <v>3</v>
      </c>
    </row>
    <row r="7" spans="1:7" x14ac:dyDescent="0.25">
      <c r="A7" t="s">
        <v>253</v>
      </c>
      <c r="B7">
        <v>100</v>
      </c>
      <c r="C7" t="b">
        <v>0</v>
      </c>
      <c r="D7" t="b">
        <v>1</v>
      </c>
      <c r="F7" s="36" t="s">
        <v>269</v>
      </c>
      <c r="G7" s="36">
        <f>COUNTIF(B2:B21,"&gt;=18")</f>
        <v>17</v>
      </c>
    </row>
    <row r="8" spans="1:7" x14ac:dyDescent="0.25">
      <c r="A8" t="s">
        <v>254</v>
      </c>
      <c r="B8">
        <v>23</v>
      </c>
      <c r="C8" t="b">
        <v>0</v>
      </c>
      <c r="D8" t="b">
        <v>0</v>
      </c>
      <c r="F8" s="36" t="s">
        <v>270</v>
      </c>
      <c r="G8" s="36">
        <f>COUNTIFS(B2:B21,"&gt;=30",B2:B21,"&lt;40")</f>
        <v>2</v>
      </c>
    </row>
    <row r="9" spans="1:7" x14ac:dyDescent="0.25">
      <c r="A9" t="s">
        <v>255</v>
      </c>
      <c r="B9">
        <v>64</v>
      </c>
      <c r="C9" t="b">
        <v>0</v>
      </c>
      <c r="D9" t="b">
        <v>0</v>
      </c>
      <c r="F9" s="36" t="s">
        <v>271</v>
      </c>
      <c r="G9" s="36">
        <f>COUNTIF(B2:B21,"&gt;40")</f>
        <v>10</v>
      </c>
    </row>
    <row r="10" spans="1:7" x14ac:dyDescent="0.25">
      <c r="A10" t="s">
        <v>256</v>
      </c>
      <c r="B10">
        <v>42</v>
      </c>
      <c r="C10" t="b">
        <v>0</v>
      </c>
      <c r="D10" t="b">
        <v>0</v>
      </c>
      <c r="F10" s="36" t="s">
        <v>248</v>
      </c>
      <c r="G10" s="36">
        <f>COUNTIFS(B2:B21,"&gt;60")</f>
        <v>5</v>
      </c>
    </row>
    <row r="11" spans="1:7" x14ac:dyDescent="0.25">
      <c r="A11" t="s">
        <v>257</v>
      </c>
      <c r="B11">
        <v>34</v>
      </c>
      <c r="C11" t="b">
        <v>1</v>
      </c>
      <c r="D11" t="b">
        <v>0</v>
      </c>
      <c r="F11" s="81" t="s">
        <v>18</v>
      </c>
      <c r="G11" s="81">
        <f>SUM(G6:G10)</f>
        <v>37</v>
      </c>
    </row>
    <row r="12" spans="1:7" x14ac:dyDescent="0.25">
      <c r="A12" t="s">
        <v>258</v>
      </c>
      <c r="B12">
        <v>15</v>
      </c>
      <c r="C12" t="b">
        <v>0</v>
      </c>
      <c r="D12" t="b">
        <v>0</v>
      </c>
    </row>
    <row r="13" spans="1:7" x14ac:dyDescent="0.25">
      <c r="A13" t="s">
        <v>259</v>
      </c>
      <c r="B13">
        <v>55</v>
      </c>
      <c r="C13" t="b">
        <v>0</v>
      </c>
      <c r="D13" t="b">
        <v>0</v>
      </c>
    </row>
    <row r="14" spans="1:7" x14ac:dyDescent="0.25">
      <c r="A14" t="s">
        <v>260</v>
      </c>
      <c r="B14">
        <v>23</v>
      </c>
      <c r="C14" t="b">
        <v>0</v>
      </c>
      <c r="D14" t="b">
        <v>0</v>
      </c>
    </row>
    <row r="15" spans="1:7" x14ac:dyDescent="0.25">
      <c r="A15" t="s">
        <v>261</v>
      </c>
      <c r="B15">
        <v>32</v>
      </c>
      <c r="C15" t="b">
        <v>1</v>
      </c>
      <c r="D15" t="b">
        <v>0</v>
      </c>
    </row>
    <row r="16" spans="1:7" x14ac:dyDescent="0.25">
      <c r="A16" t="s">
        <v>200</v>
      </c>
      <c r="B16">
        <v>66</v>
      </c>
      <c r="C16" t="b">
        <v>0</v>
      </c>
      <c r="D16" t="b">
        <v>0</v>
      </c>
    </row>
    <row r="17" spans="1:4" x14ac:dyDescent="0.25">
      <c r="A17" t="s">
        <v>262</v>
      </c>
      <c r="B17">
        <v>22</v>
      </c>
      <c r="C17" t="b">
        <v>0</v>
      </c>
      <c r="D17" t="b">
        <v>0</v>
      </c>
    </row>
    <row r="18" spans="1:4" x14ac:dyDescent="0.25">
      <c r="A18" t="s">
        <v>263</v>
      </c>
      <c r="B18">
        <v>66</v>
      </c>
      <c r="C18" t="b">
        <v>0</v>
      </c>
      <c r="D18" t="b">
        <v>1</v>
      </c>
    </row>
    <row r="19" spans="1:4" x14ac:dyDescent="0.25">
      <c r="A19" t="s">
        <v>266</v>
      </c>
      <c r="B19">
        <v>16</v>
      </c>
      <c r="C19" t="b">
        <v>0</v>
      </c>
      <c r="D19" t="b">
        <v>0</v>
      </c>
    </row>
    <row r="20" spans="1:4" x14ac:dyDescent="0.25">
      <c r="A20" t="s">
        <v>265</v>
      </c>
      <c r="B20">
        <v>51</v>
      </c>
      <c r="C20" t="b">
        <v>0</v>
      </c>
      <c r="D20" t="b">
        <v>0</v>
      </c>
    </row>
    <row r="21" spans="1:4" x14ac:dyDescent="0.25">
      <c r="A21" t="s">
        <v>264</v>
      </c>
      <c r="B21">
        <v>54</v>
      </c>
      <c r="C21" t="b">
        <v>0</v>
      </c>
      <c r="D21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opLeftCell="A2" workbookViewId="0">
      <selection activeCell="Q21" sqref="Q21"/>
    </sheetView>
  </sheetViews>
  <sheetFormatPr defaultRowHeight="15" x14ac:dyDescent="0.25"/>
  <cols>
    <col min="1" max="1" width="9.5703125" customWidth="1"/>
    <col min="2" max="2" width="18.5703125" customWidth="1"/>
    <col min="7" max="7" width="9.5703125" bestFit="1" customWidth="1"/>
    <col min="8" max="8" width="10.5703125" bestFit="1" customWidth="1"/>
  </cols>
  <sheetData>
    <row r="2" spans="2:9" ht="15.75" thickBot="1" x14ac:dyDescent="0.3"/>
    <row r="3" spans="2:9" ht="31.5" x14ac:dyDescent="0.25">
      <c r="B3" s="83" t="s">
        <v>51</v>
      </c>
      <c r="C3" s="84" t="s">
        <v>272</v>
      </c>
      <c r="D3" s="84" t="s">
        <v>273</v>
      </c>
      <c r="E3" s="84" t="s">
        <v>274</v>
      </c>
      <c r="F3" s="84" t="s">
        <v>275</v>
      </c>
      <c r="G3" s="84" t="s">
        <v>276</v>
      </c>
      <c r="H3" s="84" t="s">
        <v>18</v>
      </c>
      <c r="I3" s="85" t="s">
        <v>224</v>
      </c>
    </row>
    <row r="4" spans="2:9" x14ac:dyDescent="0.25">
      <c r="B4" s="86" t="s">
        <v>277</v>
      </c>
      <c r="C4" s="87">
        <v>250</v>
      </c>
      <c r="D4" s="87">
        <v>130</v>
      </c>
      <c r="E4" s="87">
        <f>(C4-D4)</f>
        <v>120</v>
      </c>
      <c r="F4" s="87">
        <v>2500</v>
      </c>
      <c r="G4" s="87">
        <v>2650</v>
      </c>
      <c r="H4" s="88">
        <f>(G4*E4)</f>
        <v>318000</v>
      </c>
      <c r="I4" s="89">
        <f>(G4-F4)*E4</f>
        <v>18000</v>
      </c>
    </row>
    <row r="5" spans="2:9" x14ac:dyDescent="0.25">
      <c r="B5" s="86" t="s">
        <v>278</v>
      </c>
      <c r="C5" s="87">
        <v>340</v>
      </c>
      <c r="D5" s="87">
        <v>120</v>
      </c>
      <c r="E5" s="87">
        <f t="shared" ref="E5:E8" si="0">(C5-D5)</f>
        <v>220</v>
      </c>
      <c r="F5" s="87">
        <v>400</v>
      </c>
      <c r="G5" s="87">
        <v>450</v>
      </c>
      <c r="H5" s="88">
        <f t="shared" ref="H5:H8" si="1">(G5*E5)</f>
        <v>99000</v>
      </c>
      <c r="I5" s="89">
        <f t="shared" ref="I5:I8" si="2">(G5-F5)*E5</f>
        <v>11000</v>
      </c>
    </row>
    <row r="6" spans="2:9" x14ac:dyDescent="0.25">
      <c r="B6" s="86" t="s">
        <v>279</v>
      </c>
      <c r="C6" s="87">
        <v>271</v>
      </c>
      <c r="D6" s="87">
        <v>107</v>
      </c>
      <c r="E6" s="87">
        <f t="shared" si="0"/>
        <v>164</v>
      </c>
      <c r="F6" s="87">
        <v>200</v>
      </c>
      <c r="G6" s="87">
        <v>250</v>
      </c>
      <c r="H6" s="88">
        <f t="shared" si="1"/>
        <v>41000</v>
      </c>
      <c r="I6" s="89">
        <f t="shared" si="2"/>
        <v>8200</v>
      </c>
    </row>
    <row r="7" spans="2:9" x14ac:dyDescent="0.25">
      <c r="B7" s="86" t="s">
        <v>280</v>
      </c>
      <c r="C7" s="87">
        <v>300</v>
      </c>
      <c r="D7" s="87">
        <v>210</v>
      </c>
      <c r="E7" s="87">
        <f t="shared" si="0"/>
        <v>90</v>
      </c>
      <c r="F7" s="87">
        <v>1150</v>
      </c>
      <c r="G7" s="87">
        <v>1200</v>
      </c>
      <c r="H7" s="88">
        <f t="shared" si="1"/>
        <v>108000</v>
      </c>
      <c r="I7" s="89">
        <f t="shared" si="2"/>
        <v>4500</v>
      </c>
    </row>
    <row r="8" spans="2:9" x14ac:dyDescent="0.25">
      <c r="B8" s="86" t="s">
        <v>281</v>
      </c>
      <c r="C8" s="87">
        <v>250</v>
      </c>
      <c r="D8" s="87">
        <v>30</v>
      </c>
      <c r="E8" s="87">
        <f t="shared" si="0"/>
        <v>220</v>
      </c>
      <c r="F8" s="87">
        <v>220</v>
      </c>
      <c r="G8" s="87">
        <v>265</v>
      </c>
      <c r="H8" s="88">
        <f t="shared" si="1"/>
        <v>58300</v>
      </c>
      <c r="I8" s="89">
        <f t="shared" si="2"/>
        <v>9900</v>
      </c>
    </row>
    <row r="9" spans="2:9" ht="15.75" thickBot="1" x14ac:dyDescent="0.3">
      <c r="B9" s="90" t="s">
        <v>282</v>
      </c>
      <c r="C9" s="91">
        <f>SUM(C4:C8)</f>
        <v>1411</v>
      </c>
      <c r="D9" s="91">
        <f t="shared" ref="D9:G9" si="3">SUM(D4:D8)</f>
        <v>597</v>
      </c>
      <c r="E9" s="91">
        <f t="shared" si="3"/>
        <v>814</v>
      </c>
      <c r="F9" s="91">
        <f t="shared" si="3"/>
        <v>4470</v>
      </c>
      <c r="G9" s="91">
        <f t="shared" si="3"/>
        <v>4815</v>
      </c>
      <c r="H9" s="93">
        <f>SUM(H4:H8)</f>
        <v>624300</v>
      </c>
      <c r="I9" s="92">
        <f>SUM(I4:I8)</f>
        <v>51600</v>
      </c>
    </row>
    <row r="12" spans="2:9" ht="15.75" thickBot="1" x14ac:dyDescent="0.3"/>
    <row r="13" spans="2:9" ht="31.5" x14ac:dyDescent="0.25">
      <c r="B13" s="83" t="s">
        <v>51</v>
      </c>
      <c r="C13" s="84" t="s">
        <v>272</v>
      </c>
      <c r="D13" s="84" t="s">
        <v>273</v>
      </c>
      <c r="E13" s="84" t="s">
        <v>274</v>
      </c>
      <c r="F13" s="84" t="s">
        <v>275</v>
      </c>
      <c r="G13" s="84" t="s">
        <v>276</v>
      </c>
      <c r="H13" s="84" t="s">
        <v>18</v>
      </c>
      <c r="I13" s="85" t="s">
        <v>224</v>
      </c>
    </row>
    <row r="14" spans="2:9" x14ac:dyDescent="0.25">
      <c r="B14" s="86" t="s">
        <v>277</v>
      </c>
      <c r="C14" s="87">
        <v>250</v>
      </c>
      <c r="D14" s="87">
        <v>130</v>
      </c>
      <c r="E14" s="87">
        <f>(C14-D14)</f>
        <v>120</v>
      </c>
      <c r="F14" s="87">
        <f>(2500+(2%*2500))</f>
        <v>2550</v>
      </c>
      <c r="G14" s="87">
        <v>2650</v>
      </c>
      <c r="H14" s="88">
        <f>(G14*E14)</f>
        <v>318000</v>
      </c>
      <c r="I14" s="89">
        <f>(G14-F14)*E14</f>
        <v>12000</v>
      </c>
    </row>
    <row r="15" spans="2:9" x14ac:dyDescent="0.25">
      <c r="B15" s="86" t="s">
        <v>278</v>
      </c>
      <c r="C15" s="87">
        <v>340</v>
      </c>
      <c r="D15" s="87">
        <v>120</v>
      </c>
      <c r="E15" s="87">
        <f t="shared" ref="E15:E18" si="4">(C15-D15)</f>
        <v>220</v>
      </c>
      <c r="F15" s="87">
        <v>400</v>
      </c>
      <c r="G15" s="87">
        <v>450</v>
      </c>
      <c r="H15" s="88">
        <f t="shared" ref="H15:H18" si="5">(G15*E15)</f>
        <v>99000</v>
      </c>
      <c r="I15" s="89">
        <f t="shared" ref="I15:I18" si="6">(G15-F15)*E15</f>
        <v>11000</v>
      </c>
    </row>
    <row r="16" spans="2:9" x14ac:dyDescent="0.25">
      <c r="B16" s="86" t="s">
        <v>279</v>
      </c>
      <c r="C16" s="87">
        <v>271</v>
      </c>
      <c r="D16" s="87">
        <v>107</v>
      </c>
      <c r="E16" s="87">
        <f t="shared" si="4"/>
        <v>164</v>
      </c>
      <c r="F16" s="87">
        <v>200</v>
      </c>
      <c r="G16" s="87">
        <v>250</v>
      </c>
      <c r="H16" s="88">
        <f t="shared" si="5"/>
        <v>41000</v>
      </c>
      <c r="I16" s="89">
        <f t="shared" si="6"/>
        <v>8200</v>
      </c>
    </row>
    <row r="17" spans="2:9" x14ac:dyDescent="0.25">
      <c r="B17" s="86" t="s">
        <v>280</v>
      </c>
      <c r="C17" s="87">
        <v>300</v>
      </c>
      <c r="D17" s="87">
        <v>210</v>
      </c>
      <c r="E17" s="87">
        <f t="shared" si="4"/>
        <v>90</v>
      </c>
      <c r="F17" s="87">
        <v>1150</v>
      </c>
      <c r="G17" s="87">
        <v>1200</v>
      </c>
      <c r="H17" s="88">
        <f t="shared" si="5"/>
        <v>108000</v>
      </c>
      <c r="I17" s="89">
        <f t="shared" si="6"/>
        <v>4500</v>
      </c>
    </row>
    <row r="18" spans="2:9" x14ac:dyDescent="0.25">
      <c r="B18" s="86" t="s">
        <v>281</v>
      </c>
      <c r="C18" s="87">
        <v>250</v>
      </c>
      <c r="D18" s="87">
        <v>30</v>
      </c>
      <c r="E18" s="87">
        <f t="shared" si="4"/>
        <v>220</v>
      </c>
      <c r="F18" s="87">
        <v>220</v>
      </c>
      <c r="G18" s="87">
        <v>265</v>
      </c>
      <c r="H18" s="88">
        <f t="shared" si="5"/>
        <v>58300</v>
      </c>
      <c r="I18" s="89">
        <f t="shared" si="6"/>
        <v>9900</v>
      </c>
    </row>
    <row r="19" spans="2:9" ht="15.75" thickBot="1" x14ac:dyDescent="0.3">
      <c r="B19" s="90" t="s">
        <v>282</v>
      </c>
      <c r="C19" s="91">
        <f>SUM(C14:C18)</f>
        <v>1411</v>
      </c>
      <c r="D19" s="91">
        <f t="shared" ref="D19:G19" si="7">SUM(D14:D18)</f>
        <v>597</v>
      </c>
      <c r="E19" s="91">
        <f t="shared" si="7"/>
        <v>814</v>
      </c>
      <c r="F19" s="91">
        <f t="shared" si="7"/>
        <v>4520</v>
      </c>
      <c r="G19" s="91">
        <f t="shared" si="7"/>
        <v>4815</v>
      </c>
      <c r="H19" s="93">
        <f>SUM(H14:H18)</f>
        <v>624300</v>
      </c>
      <c r="I19" s="92">
        <f>SUM(I14:I18)</f>
        <v>45600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3" sqref="Q13"/>
    </sheetView>
  </sheetViews>
  <sheetFormatPr defaultRowHeight="15" x14ac:dyDescent="0.25"/>
  <cols>
    <col min="1" max="1" width="11.5703125" customWidth="1"/>
    <col min="2" max="2" width="13.85546875" customWidth="1"/>
    <col min="4" max="4" width="9.28515625" bestFit="1" customWidth="1"/>
    <col min="5" max="5" width="9.5703125" bestFit="1" customWidth="1"/>
    <col min="6" max="6" width="13.85546875" customWidth="1"/>
    <col min="7" max="8" width="11.5703125" customWidth="1"/>
  </cols>
  <sheetData>
    <row r="1" spans="1:10" ht="18.75" x14ac:dyDescent="0.25">
      <c r="A1" s="130" t="s">
        <v>283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x14ac:dyDescent="0.25">
      <c r="A2" s="94"/>
      <c r="B2" s="95"/>
      <c r="C2" s="95"/>
      <c r="D2" s="95"/>
      <c r="E2" s="95"/>
      <c r="F2" s="95"/>
      <c r="G2" s="95"/>
      <c r="H2" s="95"/>
      <c r="I2" s="95"/>
      <c r="J2" s="96"/>
    </row>
    <row r="3" spans="1:10" x14ac:dyDescent="0.25">
      <c r="A3" s="133" t="s">
        <v>284</v>
      </c>
      <c r="B3" s="134"/>
      <c r="C3" s="97">
        <v>0.05</v>
      </c>
      <c r="D3" s="95"/>
      <c r="E3" s="95"/>
      <c r="F3" s="95"/>
      <c r="G3" s="95"/>
      <c r="H3" s="95"/>
      <c r="I3" s="95"/>
      <c r="J3" s="96"/>
    </row>
    <row r="4" spans="1:10" x14ac:dyDescent="0.25">
      <c r="A4" s="133" t="s">
        <v>285</v>
      </c>
      <c r="B4" s="134"/>
      <c r="C4" s="97">
        <v>2.5000000000000001E-2</v>
      </c>
      <c r="D4" s="95"/>
      <c r="E4" s="95"/>
      <c r="F4" s="95"/>
      <c r="G4" s="95"/>
      <c r="H4" s="95"/>
      <c r="I4" s="95"/>
      <c r="J4" s="96"/>
    </row>
    <row r="5" spans="1:10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</row>
    <row r="6" spans="1:10" x14ac:dyDescent="0.25">
      <c r="A6" s="94"/>
      <c r="B6" s="95"/>
      <c r="C6" s="95"/>
      <c r="D6" s="95"/>
      <c r="E6" s="95"/>
      <c r="F6" s="95"/>
      <c r="G6" s="95"/>
      <c r="H6" s="95"/>
      <c r="I6" s="95"/>
      <c r="J6" s="96"/>
    </row>
    <row r="7" spans="1:10" ht="45" x14ac:dyDescent="0.25">
      <c r="A7" s="98" t="s">
        <v>286</v>
      </c>
      <c r="B7" s="99" t="s">
        <v>287</v>
      </c>
      <c r="C7" s="99" t="s">
        <v>288</v>
      </c>
      <c r="D7" s="99" t="s">
        <v>289</v>
      </c>
      <c r="E7" s="99" t="s">
        <v>207</v>
      </c>
      <c r="F7" s="99" t="s">
        <v>290</v>
      </c>
      <c r="G7" s="99" t="s">
        <v>291</v>
      </c>
      <c r="H7" s="99" t="s">
        <v>292</v>
      </c>
      <c r="I7" s="99" t="s">
        <v>293</v>
      </c>
      <c r="J7" s="100" t="s">
        <v>294</v>
      </c>
    </row>
    <row r="8" spans="1:10" x14ac:dyDescent="0.25">
      <c r="A8" s="94">
        <v>1250</v>
      </c>
      <c r="B8" s="95" t="s">
        <v>295</v>
      </c>
      <c r="C8" s="104" t="s">
        <v>302</v>
      </c>
      <c r="D8" s="104">
        <v>600</v>
      </c>
      <c r="E8" s="104">
        <v>16000</v>
      </c>
      <c r="F8" s="104">
        <f>(E8*C3)</f>
        <v>800</v>
      </c>
      <c r="G8" s="104" t="str">
        <f>IF(C8="D","100","0")</f>
        <v>0</v>
      </c>
      <c r="H8" s="105">
        <f>(D8*C4)</f>
        <v>15</v>
      </c>
      <c r="I8" s="105">
        <f>(D8+F8+G8-H8)</f>
        <v>1385</v>
      </c>
      <c r="J8" s="106"/>
    </row>
    <row r="9" spans="1:10" x14ac:dyDescent="0.25">
      <c r="A9" s="94">
        <v>1260</v>
      </c>
      <c r="B9" s="95" t="s">
        <v>296</v>
      </c>
      <c r="C9" s="104" t="s">
        <v>303</v>
      </c>
      <c r="D9" s="104">
        <v>400</v>
      </c>
      <c r="E9" s="104">
        <v>11000</v>
      </c>
      <c r="F9" s="104">
        <f>(E9*C3)</f>
        <v>550</v>
      </c>
      <c r="G9" s="104" t="str">
        <f>IF(C9="D","100","0")</f>
        <v>0</v>
      </c>
      <c r="H9" s="105">
        <f>(C4*D9)</f>
        <v>10</v>
      </c>
      <c r="I9" s="105">
        <f t="shared" ref="I9:I14" si="0">(D9+F9+G9-H9)</f>
        <v>940</v>
      </c>
      <c r="J9" s="106"/>
    </row>
    <row r="10" spans="1:10" x14ac:dyDescent="0.25">
      <c r="A10" s="94"/>
      <c r="B10" s="95" t="s">
        <v>297</v>
      </c>
      <c r="C10" s="104" t="s">
        <v>302</v>
      </c>
      <c r="D10" s="104">
        <v>550</v>
      </c>
      <c r="E10" s="104">
        <v>20000</v>
      </c>
      <c r="F10" s="104">
        <f>(E10*C3)</f>
        <v>1000</v>
      </c>
      <c r="G10" s="104" t="str">
        <f t="shared" ref="G10:G14" si="1">IF(C10="D","100","0")</f>
        <v>0</v>
      </c>
      <c r="H10" s="105">
        <f>(C4*D10)</f>
        <v>13.75</v>
      </c>
      <c r="I10" s="105">
        <f t="shared" si="0"/>
        <v>1536.25</v>
      </c>
      <c r="J10" s="106"/>
    </row>
    <row r="11" spans="1:10" x14ac:dyDescent="0.25">
      <c r="A11" s="94"/>
      <c r="B11" s="95" t="s">
        <v>298</v>
      </c>
      <c r="C11" s="104" t="s">
        <v>304</v>
      </c>
      <c r="D11" s="104">
        <v>320</v>
      </c>
      <c r="E11" s="104">
        <v>13000</v>
      </c>
      <c r="F11" s="104">
        <f>(E11*C3)</f>
        <v>650</v>
      </c>
      <c r="G11" s="104" t="str">
        <f t="shared" si="1"/>
        <v>100</v>
      </c>
      <c r="H11" s="105">
        <f>(C4*D11)</f>
        <v>8</v>
      </c>
      <c r="I11" s="105">
        <f t="shared" si="0"/>
        <v>1062</v>
      </c>
      <c r="J11" s="106"/>
    </row>
    <row r="12" spans="1:10" x14ac:dyDescent="0.25">
      <c r="A12" s="94"/>
      <c r="B12" s="95" t="s">
        <v>299</v>
      </c>
      <c r="C12" s="104" t="s">
        <v>305</v>
      </c>
      <c r="D12" s="104">
        <v>400</v>
      </c>
      <c r="E12" s="104">
        <v>15000</v>
      </c>
      <c r="F12" s="104">
        <f>(E12*C3)</f>
        <v>750</v>
      </c>
      <c r="G12" s="104" t="str">
        <f t="shared" si="1"/>
        <v>0</v>
      </c>
      <c r="H12" s="105">
        <f>(C4*D12)</f>
        <v>10</v>
      </c>
      <c r="I12" s="105">
        <f>(D12+F12+G12-H12)</f>
        <v>1140</v>
      </c>
      <c r="J12" s="106"/>
    </row>
    <row r="13" spans="1:10" x14ac:dyDescent="0.25">
      <c r="A13" s="94"/>
      <c r="B13" s="95" t="s">
        <v>300</v>
      </c>
      <c r="C13" s="104" t="s">
        <v>304</v>
      </c>
      <c r="D13" s="104">
        <v>250</v>
      </c>
      <c r="E13" s="104">
        <v>14000</v>
      </c>
      <c r="F13" s="104">
        <f>(E13*C3)</f>
        <v>700</v>
      </c>
      <c r="G13" s="104" t="str">
        <f t="shared" si="1"/>
        <v>100</v>
      </c>
      <c r="H13" s="105">
        <f>(C4*D13)</f>
        <v>6.25</v>
      </c>
      <c r="I13" s="105">
        <f t="shared" si="0"/>
        <v>1043.75</v>
      </c>
      <c r="J13" s="106"/>
    </row>
    <row r="14" spans="1:10" x14ac:dyDescent="0.25">
      <c r="A14" s="94"/>
      <c r="B14" s="95" t="s">
        <v>301</v>
      </c>
      <c r="C14" s="104" t="s">
        <v>303</v>
      </c>
      <c r="D14" s="104">
        <v>450</v>
      </c>
      <c r="E14" s="104">
        <v>17000</v>
      </c>
      <c r="F14" s="104">
        <f>(E14*C3)</f>
        <v>850</v>
      </c>
      <c r="G14" s="104" t="str">
        <f t="shared" si="1"/>
        <v>0</v>
      </c>
      <c r="H14" s="105">
        <f>(C4*D14)</f>
        <v>11.25</v>
      </c>
      <c r="I14" s="105">
        <f t="shared" si="0"/>
        <v>1288.75</v>
      </c>
      <c r="J14" s="106"/>
    </row>
    <row r="15" spans="1:10" x14ac:dyDescent="0.25">
      <c r="A15" s="94"/>
      <c r="B15" s="95"/>
      <c r="C15" s="95"/>
      <c r="D15" s="95"/>
      <c r="E15" s="95"/>
      <c r="F15" s="95"/>
      <c r="G15" s="95"/>
      <c r="H15" s="95"/>
      <c r="I15" s="95"/>
      <c r="J15" s="96"/>
    </row>
    <row r="16" spans="1:10" x14ac:dyDescent="0.25">
      <c r="A16" s="94" t="s">
        <v>306</v>
      </c>
      <c r="B16" s="95"/>
      <c r="C16" s="95"/>
      <c r="D16" s="95">
        <f>SUM(D8:D14)</f>
        <v>2970</v>
      </c>
      <c r="E16" s="95">
        <f>SUM(E8:E14)</f>
        <v>106000</v>
      </c>
      <c r="F16" s="95"/>
      <c r="G16" s="95"/>
      <c r="H16" s="95"/>
      <c r="I16" s="95"/>
      <c r="J16" s="96"/>
    </row>
    <row r="17" spans="1:10" x14ac:dyDescent="0.25">
      <c r="A17" s="94" t="s">
        <v>307</v>
      </c>
      <c r="B17" s="95"/>
      <c r="C17" s="95"/>
      <c r="D17" s="101">
        <f>AVERAGE(D8:D14)</f>
        <v>424.28571428571428</v>
      </c>
      <c r="E17" s="101">
        <f>AVERAGE(E8:E14)</f>
        <v>15142.857142857143</v>
      </c>
      <c r="F17" s="95"/>
      <c r="G17" s="95"/>
      <c r="H17" s="95"/>
      <c r="I17" s="95"/>
      <c r="J17" s="96"/>
    </row>
    <row r="18" spans="1:10" x14ac:dyDescent="0.25">
      <c r="A18" s="94" t="s">
        <v>308</v>
      </c>
      <c r="B18" s="95"/>
      <c r="C18" s="95"/>
      <c r="D18" s="95">
        <f>MAX(D8:D14)</f>
        <v>600</v>
      </c>
      <c r="E18" s="95">
        <f>MAX(E8:E14)</f>
        <v>20000</v>
      </c>
      <c r="F18" s="95"/>
      <c r="G18" s="95"/>
      <c r="H18" s="95"/>
      <c r="I18" s="95"/>
      <c r="J18" s="96"/>
    </row>
    <row r="19" spans="1:10" x14ac:dyDescent="0.25">
      <c r="A19" s="94" t="s">
        <v>309</v>
      </c>
      <c r="B19" s="95"/>
      <c r="C19" s="95"/>
      <c r="D19" s="95">
        <f>MIN(D8:D14)</f>
        <v>250</v>
      </c>
      <c r="E19" s="95">
        <f>MIN(E8:E14)</f>
        <v>11000</v>
      </c>
      <c r="F19" s="95"/>
      <c r="G19" s="95"/>
      <c r="H19" s="95"/>
      <c r="I19" s="95"/>
      <c r="J19" s="96"/>
    </row>
    <row r="20" spans="1:10" x14ac:dyDescent="0.25">
      <c r="A20" s="135" t="s">
        <v>310</v>
      </c>
      <c r="B20" s="136"/>
      <c r="C20" s="102"/>
      <c r="D20" s="102">
        <f>COUNT(D8:D14)</f>
        <v>7</v>
      </c>
      <c r="E20" s="102"/>
      <c r="F20" s="102"/>
      <c r="G20" s="102"/>
      <c r="H20" s="102"/>
      <c r="I20" s="102"/>
      <c r="J20" s="103"/>
    </row>
  </sheetData>
  <mergeCells count="4">
    <mergeCell ref="A1:J1"/>
    <mergeCell ref="A3:B3"/>
    <mergeCell ref="A4:B4"/>
    <mergeCell ref="A20:B2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20" sqref="G20"/>
    </sheetView>
  </sheetViews>
  <sheetFormatPr defaultRowHeight="15" x14ac:dyDescent="0.25"/>
  <cols>
    <col min="1" max="1" width="8.5703125" customWidth="1"/>
    <col min="2" max="2" width="17.42578125" customWidth="1"/>
    <col min="3" max="3" width="11" customWidth="1"/>
    <col min="4" max="4" width="8.28515625" customWidth="1"/>
    <col min="7" max="7" width="8.7109375" customWidth="1"/>
  </cols>
  <sheetData>
    <row r="1" spans="1:10" x14ac:dyDescent="0.25">
      <c r="A1" s="137" t="s">
        <v>311</v>
      </c>
      <c r="B1" s="137"/>
      <c r="C1" s="137"/>
      <c r="D1" s="137"/>
      <c r="E1" s="137"/>
      <c r="F1" s="137"/>
      <c r="G1" s="137"/>
      <c r="H1" s="137"/>
      <c r="I1" s="137"/>
    </row>
    <row r="2" spans="1:10" x14ac:dyDescent="0.25">
      <c r="A2" s="137" t="s">
        <v>312</v>
      </c>
      <c r="B2" s="137"/>
      <c r="C2" s="137"/>
      <c r="D2" s="137"/>
      <c r="E2" s="137"/>
      <c r="F2" s="137"/>
      <c r="G2" s="137"/>
      <c r="H2" s="137"/>
      <c r="I2" s="137"/>
      <c r="J2" s="75"/>
    </row>
    <row r="3" spans="1:10" x14ac:dyDescent="0.25">
      <c r="A3" s="36"/>
      <c r="B3" s="36"/>
      <c r="C3" s="36"/>
      <c r="D3" s="36"/>
      <c r="E3" s="36"/>
      <c r="F3" s="36"/>
      <c r="G3" s="36"/>
      <c r="H3" s="36"/>
      <c r="I3" s="36"/>
    </row>
    <row r="4" spans="1:10" ht="45" x14ac:dyDescent="0.25">
      <c r="A4" s="109" t="s">
        <v>313</v>
      </c>
      <c r="B4" s="109" t="s">
        <v>314</v>
      </c>
      <c r="C4" s="109" t="s">
        <v>47</v>
      </c>
      <c r="D4" s="109" t="s">
        <v>315</v>
      </c>
      <c r="E4" s="109" t="s">
        <v>316</v>
      </c>
      <c r="F4" s="109" t="s">
        <v>317</v>
      </c>
      <c r="G4" s="109" t="s">
        <v>318</v>
      </c>
      <c r="H4" s="109" t="s">
        <v>319</v>
      </c>
      <c r="I4" s="109" t="s">
        <v>320</v>
      </c>
    </row>
    <row r="5" spans="1:10" x14ac:dyDescent="0.25">
      <c r="A5" s="36" t="s">
        <v>321</v>
      </c>
      <c r="B5" s="36" t="s">
        <v>323</v>
      </c>
      <c r="C5" s="110">
        <v>9</v>
      </c>
      <c r="D5" s="110">
        <v>120</v>
      </c>
      <c r="E5" s="110" t="s">
        <v>329</v>
      </c>
      <c r="F5" s="111" t="str">
        <f>IF(E5="C","25%",IF(E5="J","40%",IF(E5="K","35%",IF(E5="M","25%",IF(E5="O","20%")))))</f>
        <v>25%</v>
      </c>
      <c r="G5" s="112">
        <f>(D5*F5)+D5</f>
        <v>150</v>
      </c>
      <c r="H5" s="110" t="str">
        <f>IF(D5&gt;10,"Yes","No")</f>
        <v>Yes</v>
      </c>
      <c r="I5" s="112">
        <f>(C5*G5)</f>
        <v>1350</v>
      </c>
    </row>
    <row r="6" spans="1:10" x14ac:dyDescent="0.25">
      <c r="A6" s="36" t="s">
        <v>322</v>
      </c>
      <c r="B6" s="36" t="s">
        <v>324</v>
      </c>
      <c r="C6" s="110">
        <v>25</v>
      </c>
      <c r="D6" s="110">
        <v>5</v>
      </c>
      <c r="E6" s="110" t="s">
        <v>332</v>
      </c>
      <c r="F6" s="111" t="str">
        <f t="shared" ref="F6:F11" si="0">IF(E6="C","25%",IF(E6="J","40%",IF(E6="K","35%",IF(E6="M","25%",IF(E6="O","20%")))))</f>
        <v>20%</v>
      </c>
      <c r="G6" s="112">
        <f t="shared" ref="G6:G11" si="1">(D6*F6)+D6</f>
        <v>6</v>
      </c>
      <c r="H6" s="110" t="str">
        <f t="shared" ref="H6:H11" si="2">IF(D6&gt;10,"Yes","No")</f>
        <v>No</v>
      </c>
      <c r="I6" s="112">
        <f t="shared" ref="I6:I11" si="3">(C6*G6)</f>
        <v>150</v>
      </c>
    </row>
    <row r="7" spans="1:10" x14ac:dyDescent="0.25">
      <c r="A7" s="36" t="s">
        <v>333</v>
      </c>
      <c r="B7" s="36" t="s">
        <v>325</v>
      </c>
      <c r="C7" s="110">
        <v>5</v>
      </c>
      <c r="D7" s="110">
        <v>90</v>
      </c>
      <c r="E7" s="110" t="s">
        <v>329</v>
      </c>
      <c r="F7" s="111" t="str">
        <f t="shared" si="0"/>
        <v>25%</v>
      </c>
      <c r="G7" s="112">
        <f t="shared" si="1"/>
        <v>112.5</v>
      </c>
      <c r="H7" s="110" t="str">
        <f t="shared" si="2"/>
        <v>Yes</v>
      </c>
      <c r="I7" s="112">
        <f t="shared" si="3"/>
        <v>562.5</v>
      </c>
    </row>
    <row r="8" spans="1:10" x14ac:dyDescent="0.25">
      <c r="A8" s="36" t="s">
        <v>334</v>
      </c>
      <c r="B8" s="36" t="s">
        <v>326</v>
      </c>
      <c r="C8" s="110">
        <v>10</v>
      </c>
      <c r="D8" s="110">
        <v>170</v>
      </c>
      <c r="E8" s="110" t="s">
        <v>305</v>
      </c>
      <c r="F8" s="111" t="str">
        <f t="shared" si="0"/>
        <v>25%</v>
      </c>
      <c r="G8" s="112">
        <f t="shared" si="1"/>
        <v>212.5</v>
      </c>
      <c r="H8" s="110" t="str">
        <f t="shared" si="2"/>
        <v>Yes</v>
      </c>
      <c r="I8" s="112">
        <f t="shared" si="3"/>
        <v>2125</v>
      </c>
    </row>
    <row r="9" spans="1:10" x14ac:dyDescent="0.25">
      <c r="A9" s="36" t="s">
        <v>335</v>
      </c>
      <c r="B9" s="36" t="s">
        <v>327</v>
      </c>
      <c r="C9" s="110">
        <v>14</v>
      </c>
      <c r="D9" s="110">
        <v>15</v>
      </c>
      <c r="E9" s="110" t="s">
        <v>330</v>
      </c>
      <c r="F9" s="111" t="str">
        <f t="shared" si="0"/>
        <v>35%</v>
      </c>
      <c r="G9" s="112">
        <f t="shared" si="1"/>
        <v>20.25</v>
      </c>
      <c r="H9" s="110" t="str">
        <f t="shared" si="2"/>
        <v>Yes</v>
      </c>
      <c r="I9" s="112">
        <f t="shared" si="3"/>
        <v>283.5</v>
      </c>
    </row>
    <row r="10" spans="1:10" x14ac:dyDescent="0.25">
      <c r="A10" s="36" t="s">
        <v>336</v>
      </c>
      <c r="B10" s="36" t="s">
        <v>328</v>
      </c>
      <c r="C10" s="110">
        <v>22</v>
      </c>
      <c r="D10" s="110">
        <v>7</v>
      </c>
      <c r="E10" s="110" t="s">
        <v>331</v>
      </c>
      <c r="F10" s="111" t="str">
        <f t="shared" si="0"/>
        <v>40%</v>
      </c>
      <c r="G10" s="112">
        <f t="shared" si="1"/>
        <v>9.8000000000000007</v>
      </c>
      <c r="H10" s="110" t="str">
        <f t="shared" si="2"/>
        <v>No</v>
      </c>
      <c r="I10" s="112">
        <f t="shared" si="3"/>
        <v>215.60000000000002</v>
      </c>
    </row>
    <row r="11" spans="1:10" x14ac:dyDescent="0.25">
      <c r="A11" s="36" t="s">
        <v>337</v>
      </c>
      <c r="B11" s="36" t="s">
        <v>327</v>
      </c>
      <c r="C11" s="110">
        <v>3</v>
      </c>
      <c r="D11" s="110">
        <v>8</v>
      </c>
      <c r="E11" s="110" t="s">
        <v>330</v>
      </c>
      <c r="F11" s="111" t="str">
        <f t="shared" si="0"/>
        <v>35%</v>
      </c>
      <c r="G11" s="112">
        <f t="shared" si="1"/>
        <v>10.8</v>
      </c>
      <c r="H11" s="110" t="str">
        <f t="shared" si="2"/>
        <v>No</v>
      </c>
      <c r="I11" s="112">
        <f t="shared" si="3"/>
        <v>32.400000000000006</v>
      </c>
    </row>
    <row r="12" spans="1:10" x14ac:dyDescent="0.25">
      <c r="A12" s="36"/>
      <c r="B12" s="36"/>
      <c r="C12" s="36"/>
      <c r="D12" s="36"/>
      <c r="E12" s="36"/>
      <c r="F12" s="36"/>
      <c r="G12" s="36"/>
      <c r="H12" s="36"/>
      <c r="I12" s="36"/>
    </row>
    <row r="13" spans="1:10" x14ac:dyDescent="0.25">
      <c r="A13" s="36"/>
      <c r="B13" s="81" t="s">
        <v>18</v>
      </c>
      <c r="C13" s="36">
        <f>SUM(C5:C11)</f>
        <v>88</v>
      </c>
      <c r="D13" s="36">
        <f>SUM(D5:D11)</f>
        <v>415</v>
      </c>
      <c r="E13" s="36"/>
      <c r="F13" s="36"/>
      <c r="G13" s="36"/>
      <c r="H13" s="36"/>
      <c r="I13" s="36"/>
    </row>
    <row r="14" spans="1:10" x14ac:dyDescent="0.25">
      <c r="A14" s="36"/>
      <c r="B14" s="81" t="s">
        <v>130</v>
      </c>
      <c r="C14" s="112">
        <f>AVERAGE(C5:C11)</f>
        <v>12.571428571428571</v>
      </c>
      <c r="D14" s="112">
        <f>AVERAGE(D5:D11)</f>
        <v>59.285714285714285</v>
      </c>
      <c r="E14" s="36"/>
      <c r="F14" s="36"/>
      <c r="G14" s="36"/>
      <c r="H14" s="36"/>
      <c r="I14" s="36"/>
    </row>
    <row r="15" spans="1:10" x14ac:dyDescent="0.25">
      <c r="A15" s="36"/>
      <c r="B15" s="81" t="s">
        <v>131</v>
      </c>
      <c r="C15" s="36">
        <f>MAX(C5:C11)</f>
        <v>25</v>
      </c>
      <c r="D15" s="36">
        <f>MAX(D5:D11)</f>
        <v>170</v>
      </c>
      <c r="E15" s="36"/>
      <c r="F15" s="36"/>
      <c r="G15" s="36"/>
      <c r="H15" s="36"/>
      <c r="I15" s="36"/>
    </row>
    <row r="16" spans="1:10" x14ac:dyDescent="0.25">
      <c r="A16" s="36"/>
      <c r="B16" s="81" t="s">
        <v>338</v>
      </c>
      <c r="C16" s="36">
        <f>MIN(C5:C11)</f>
        <v>3</v>
      </c>
      <c r="D16" s="36">
        <f>MIN(D5:D11)</f>
        <v>5</v>
      </c>
      <c r="E16" s="36"/>
      <c r="F16" s="36"/>
      <c r="G16" s="36"/>
      <c r="H16" s="36"/>
      <c r="I16" s="36"/>
    </row>
    <row r="18" spans="7:7" x14ac:dyDescent="0.25">
      <c r="G18">
        <f>COUNTIF(G5:G11,"&lt;100")</f>
        <v>4</v>
      </c>
    </row>
    <row r="19" spans="7:7" x14ac:dyDescent="0.25">
      <c r="G19">
        <f>COUNTIF(G5:G11,"&gt;20")</f>
        <v>4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4" sqref="F4"/>
    </sheetView>
  </sheetViews>
  <sheetFormatPr defaultRowHeight="15" x14ac:dyDescent="0.25"/>
  <cols>
    <col min="1" max="1" width="17.140625" customWidth="1"/>
    <col min="2" max="2" width="9.140625" customWidth="1"/>
    <col min="4" max="4" width="12.140625" customWidth="1"/>
  </cols>
  <sheetData>
    <row r="1" spans="1:7" ht="40.5" customHeight="1" x14ac:dyDescent="0.25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19</v>
      </c>
      <c r="G1" s="4" t="s">
        <v>18</v>
      </c>
    </row>
    <row r="2" spans="1:7" x14ac:dyDescent="0.25">
      <c r="A2" s="107" t="s">
        <v>20</v>
      </c>
      <c r="B2" s="108">
        <v>14000</v>
      </c>
      <c r="C2" s="108">
        <v>15250</v>
      </c>
      <c r="D2" s="108">
        <v>9280</v>
      </c>
      <c r="E2" s="108">
        <v>4500</v>
      </c>
      <c r="F2" s="108">
        <v>8620</v>
      </c>
      <c r="G2" s="107">
        <f>SUM(B2:F2)</f>
        <v>51650</v>
      </c>
    </row>
    <row r="3" spans="1:7" x14ac:dyDescent="0.25">
      <c r="A3" s="107" t="s">
        <v>21</v>
      </c>
      <c r="B3" s="108">
        <v>2565</v>
      </c>
      <c r="C3" s="108">
        <v>10450</v>
      </c>
      <c r="D3" s="108">
        <v>9460</v>
      </c>
      <c r="E3" s="108">
        <v>8240</v>
      </c>
      <c r="F3" s="108">
        <v>3650</v>
      </c>
      <c r="G3" s="107">
        <f t="shared" ref="G3:G5" si="0">SUM(B3:F3)</f>
        <v>34365</v>
      </c>
    </row>
    <row r="4" spans="1:7" x14ac:dyDescent="0.25">
      <c r="A4" s="107" t="s">
        <v>22</v>
      </c>
      <c r="B4" s="108">
        <v>3630</v>
      </c>
      <c r="C4" s="108">
        <v>7490</v>
      </c>
      <c r="D4" s="108">
        <v>8280</v>
      </c>
      <c r="E4" s="108">
        <v>3250</v>
      </c>
      <c r="F4" s="108">
        <v>3480</v>
      </c>
      <c r="G4" s="107">
        <f>SUM(B4:F4)</f>
        <v>26130</v>
      </c>
    </row>
    <row r="5" spans="1:7" x14ac:dyDescent="0.25">
      <c r="A5" s="107" t="s">
        <v>23</v>
      </c>
      <c r="B5" s="108">
        <v>4890</v>
      </c>
      <c r="C5" s="108">
        <v>8420</v>
      </c>
      <c r="D5" s="108">
        <v>9460</v>
      </c>
      <c r="E5" s="108">
        <v>5000</v>
      </c>
      <c r="F5" s="108">
        <v>3910</v>
      </c>
      <c r="G5" s="107">
        <f t="shared" si="0"/>
        <v>31680</v>
      </c>
    </row>
    <row r="6" spans="1:7" x14ac:dyDescent="0.25">
      <c r="A6" s="107" t="s">
        <v>24</v>
      </c>
      <c r="B6" s="108">
        <v>980</v>
      </c>
      <c r="C6" s="108">
        <v>14850</v>
      </c>
      <c r="D6" s="108">
        <v>9000</v>
      </c>
      <c r="E6" s="108">
        <v>8000</v>
      </c>
      <c r="F6" s="108">
        <v>1560</v>
      </c>
      <c r="G6" s="107">
        <f>SUM(B6:F6)</f>
        <v>34390</v>
      </c>
    </row>
    <row r="7" spans="1:7" x14ac:dyDescent="0.25">
      <c r="A7" s="107" t="s">
        <v>18</v>
      </c>
      <c r="B7" s="107">
        <f>SUM(B2:B6)</f>
        <v>26065</v>
      </c>
      <c r="C7" s="107">
        <f t="shared" ref="C7:F7" si="1">SUM(C2:C6)</f>
        <v>56460</v>
      </c>
      <c r="D7" s="107">
        <f t="shared" si="1"/>
        <v>45480</v>
      </c>
      <c r="E7" s="107">
        <f t="shared" si="1"/>
        <v>28990</v>
      </c>
      <c r="F7" s="107">
        <f t="shared" si="1"/>
        <v>21220</v>
      </c>
      <c r="G7" s="6">
        <f>SUM(G2:G6)</f>
        <v>178215</v>
      </c>
    </row>
  </sheetData>
  <sheetProtection algorithmName="SHA-512" hashValue="FTH/NqD/Z/i1oes9y6DcofT4PyXEK+J5OYgQ3n5+MnwGv3xSlr1O3gEDYzjnrxLhtr2yI5euDxv0MI5c+hnrng==" saltValue="VpVC/tAtt1wEtLqWaid/Fg==" spinCount="100000" sheet="1" objects="1" scenarios="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3" sqref="H13"/>
    </sheetView>
  </sheetViews>
  <sheetFormatPr defaultRowHeight="15" x14ac:dyDescent="0.25"/>
  <cols>
    <col min="1" max="1" width="20" customWidth="1"/>
    <col min="2" max="2" width="21.5703125" customWidth="1"/>
    <col min="3" max="3" width="10.140625" customWidth="1"/>
    <col min="4" max="4" width="9.85546875" customWidth="1"/>
    <col min="5" max="5" width="12.7109375" customWidth="1"/>
    <col min="6" max="6" width="13.5703125" customWidth="1"/>
  </cols>
  <sheetData>
    <row r="1" spans="1:8" ht="18.75" x14ac:dyDescent="0.3">
      <c r="A1" s="139" t="s">
        <v>339</v>
      </c>
      <c r="B1" s="139"/>
      <c r="C1" s="139"/>
      <c r="D1" s="139"/>
      <c r="E1" s="139"/>
      <c r="F1" s="139"/>
      <c r="G1" s="139"/>
      <c r="H1" s="139"/>
    </row>
    <row r="2" spans="1:8" ht="30" x14ac:dyDescent="0.25">
      <c r="A2" s="113" t="s">
        <v>340</v>
      </c>
      <c r="B2" s="113" t="s">
        <v>341</v>
      </c>
      <c r="C2" s="113" t="s">
        <v>342</v>
      </c>
      <c r="D2" s="113" t="s">
        <v>343</v>
      </c>
      <c r="E2" s="113" t="s">
        <v>344</v>
      </c>
      <c r="F2" s="113" t="s">
        <v>345</v>
      </c>
      <c r="G2" s="113" t="s">
        <v>346</v>
      </c>
      <c r="H2" s="113" t="s">
        <v>347</v>
      </c>
    </row>
    <row r="3" spans="1:8" x14ac:dyDescent="0.25">
      <c r="A3" t="s">
        <v>348</v>
      </c>
      <c r="B3" s="82">
        <v>85200</v>
      </c>
      <c r="C3" s="82">
        <v>25</v>
      </c>
      <c r="D3" s="82">
        <v>21</v>
      </c>
      <c r="E3" s="82">
        <v>8</v>
      </c>
      <c r="F3" s="82">
        <v>30</v>
      </c>
      <c r="G3" s="82">
        <f>SUM(C3:F3)</f>
        <v>84</v>
      </c>
      <c r="H3" s="82" t="str">
        <f>IF(G3&gt;=80,"Distinct","Fulfilled")</f>
        <v>Distinct</v>
      </c>
    </row>
    <row r="4" spans="1:8" x14ac:dyDescent="0.25">
      <c r="A4" t="s">
        <v>349</v>
      </c>
      <c r="B4" s="82">
        <v>85220</v>
      </c>
      <c r="C4" s="82">
        <v>23</v>
      </c>
      <c r="D4" s="82">
        <v>20</v>
      </c>
      <c r="E4" s="82">
        <v>7</v>
      </c>
      <c r="F4" s="82">
        <v>36</v>
      </c>
      <c r="G4" s="82">
        <f t="shared" ref="G4:G7" si="0">SUM(C4:F4)</f>
        <v>86</v>
      </c>
      <c r="H4" s="82" t="str">
        <f t="shared" ref="H4:H7" si="1">IF(G4&gt;=80,"Distinct","Fulfilled")</f>
        <v>Distinct</v>
      </c>
    </row>
    <row r="5" spans="1:8" x14ac:dyDescent="0.25">
      <c r="A5" t="s">
        <v>350</v>
      </c>
      <c r="B5" s="82">
        <v>85240</v>
      </c>
      <c r="C5" s="82">
        <v>16</v>
      </c>
      <c r="D5" s="82">
        <v>16</v>
      </c>
      <c r="E5" s="82">
        <v>6</v>
      </c>
      <c r="F5" s="82">
        <v>17</v>
      </c>
      <c r="G5" s="82">
        <f t="shared" si="0"/>
        <v>55</v>
      </c>
      <c r="H5" s="82" t="str">
        <f t="shared" si="1"/>
        <v>Fulfilled</v>
      </c>
    </row>
    <row r="6" spans="1:8" x14ac:dyDescent="0.25">
      <c r="A6" t="s">
        <v>351</v>
      </c>
      <c r="B6" s="82">
        <v>85260</v>
      </c>
      <c r="C6" s="82">
        <v>19</v>
      </c>
      <c r="D6" s="82">
        <v>15</v>
      </c>
      <c r="E6" s="82">
        <v>7</v>
      </c>
      <c r="F6" s="82">
        <v>27</v>
      </c>
      <c r="G6" s="82">
        <f t="shared" si="0"/>
        <v>68</v>
      </c>
      <c r="H6" s="82" t="str">
        <f t="shared" si="1"/>
        <v>Fulfilled</v>
      </c>
    </row>
    <row r="7" spans="1:8" x14ac:dyDescent="0.25">
      <c r="A7" t="s">
        <v>352</v>
      </c>
      <c r="B7" s="82">
        <v>85280</v>
      </c>
      <c r="C7" s="82">
        <v>20</v>
      </c>
      <c r="D7" s="82">
        <v>18</v>
      </c>
      <c r="E7" s="82">
        <v>9</v>
      </c>
      <c r="F7" s="82">
        <v>38</v>
      </c>
      <c r="G7" s="82">
        <f t="shared" si="0"/>
        <v>85</v>
      </c>
      <c r="H7" s="82" t="str">
        <f t="shared" si="1"/>
        <v>Distinct</v>
      </c>
    </row>
    <row r="9" spans="1:8" x14ac:dyDescent="0.25">
      <c r="A9" s="138" t="s">
        <v>130</v>
      </c>
      <c r="B9" s="138"/>
      <c r="C9" s="41">
        <f>AVERAGE(C3:C7)</f>
        <v>20.6</v>
      </c>
      <c r="D9" s="41">
        <f t="shared" ref="D9:F9" si="2">AVERAGE(D3:D7)</f>
        <v>18</v>
      </c>
      <c r="E9" s="41">
        <f t="shared" si="2"/>
        <v>7.4</v>
      </c>
      <c r="F9" s="41">
        <f t="shared" si="2"/>
        <v>29.6</v>
      </c>
    </row>
    <row r="10" spans="1:8" x14ac:dyDescent="0.25">
      <c r="A10" s="138" t="s">
        <v>353</v>
      </c>
      <c r="B10" s="138"/>
      <c r="C10">
        <f>MAX(C3:C7)</f>
        <v>25</v>
      </c>
      <c r="D10">
        <f t="shared" ref="D10:F10" si="3">MAX(D3:D7)</f>
        <v>21</v>
      </c>
      <c r="E10">
        <f t="shared" si="3"/>
        <v>9</v>
      </c>
      <c r="F10">
        <f t="shared" si="3"/>
        <v>38</v>
      </c>
    </row>
    <row r="11" spans="1:8" x14ac:dyDescent="0.25">
      <c r="A11" s="138" t="s">
        <v>354</v>
      </c>
      <c r="B11" s="138"/>
      <c r="C11">
        <f>MIN(C3:C7)</f>
        <v>16</v>
      </c>
      <c r="D11">
        <f t="shared" ref="D11:F11" si="4">MIN(D3:D7)</f>
        <v>15</v>
      </c>
      <c r="E11">
        <f t="shared" si="4"/>
        <v>6</v>
      </c>
      <c r="F11">
        <f t="shared" si="4"/>
        <v>17</v>
      </c>
    </row>
    <row r="12" spans="1:8" x14ac:dyDescent="0.25">
      <c r="A12" s="138" t="s">
        <v>355</v>
      </c>
      <c r="B12" s="138"/>
      <c r="C12">
        <f>COUNT(C3:C7)</f>
        <v>5</v>
      </c>
      <c r="D12">
        <f t="shared" ref="D12:F12" si="5">COUNT(D3:D7)</f>
        <v>5</v>
      </c>
      <c r="E12">
        <f t="shared" si="5"/>
        <v>5</v>
      </c>
      <c r="F12">
        <f t="shared" si="5"/>
        <v>5</v>
      </c>
    </row>
    <row r="13" spans="1:8" x14ac:dyDescent="0.25">
      <c r="A13" s="138" t="s">
        <v>356</v>
      </c>
      <c r="B13" s="138"/>
      <c r="C13">
        <f>COUNTIF(C3:C7,"&gt;8")</f>
        <v>5</v>
      </c>
      <c r="D13">
        <f t="shared" ref="D13:F13" si="6">COUNTIF(D3:D7,"&gt;8")</f>
        <v>5</v>
      </c>
      <c r="E13">
        <f t="shared" si="6"/>
        <v>1</v>
      </c>
      <c r="F13">
        <f t="shared" si="6"/>
        <v>5</v>
      </c>
    </row>
    <row r="14" spans="1:8" x14ac:dyDescent="0.25">
      <c r="A14" s="138" t="s">
        <v>357</v>
      </c>
      <c r="B14" s="138"/>
    </row>
  </sheetData>
  <mergeCells count="7">
    <mergeCell ref="A14:B14"/>
    <mergeCell ref="A1:H1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F19" sqref="F19"/>
    </sheetView>
  </sheetViews>
  <sheetFormatPr defaultRowHeight="15" x14ac:dyDescent="0.25"/>
  <cols>
    <col min="1" max="1" width="11.140625" customWidth="1"/>
    <col min="2" max="2" width="10.140625" customWidth="1"/>
    <col min="3" max="3" width="16.85546875" customWidth="1"/>
    <col min="4" max="4" width="14" customWidth="1"/>
    <col min="5" max="5" width="13.7109375" bestFit="1" customWidth="1"/>
    <col min="6" max="6" width="14.7109375" bestFit="1" customWidth="1"/>
  </cols>
  <sheetData>
    <row r="1" spans="1:6" ht="17.25" x14ac:dyDescent="0.3">
      <c r="A1" s="140" t="s">
        <v>113</v>
      </c>
      <c r="B1" s="140"/>
      <c r="C1" s="140"/>
      <c r="D1" s="140"/>
      <c r="E1" s="140"/>
      <c r="F1" s="140"/>
    </row>
    <row r="2" spans="1:6" ht="17.25" x14ac:dyDescent="0.3">
      <c r="A2" s="140" t="s">
        <v>114</v>
      </c>
      <c r="B2" s="140"/>
      <c r="C2" s="140"/>
      <c r="D2" s="140"/>
      <c r="E2" s="140"/>
      <c r="F2" s="140"/>
    </row>
    <row r="3" spans="1:6" ht="17.25" x14ac:dyDescent="0.3">
      <c r="A3" s="34" t="s">
        <v>0</v>
      </c>
      <c r="B3" s="34" t="s">
        <v>115</v>
      </c>
      <c r="C3" s="34" t="s">
        <v>116</v>
      </c>
      <c r="D3" s="34" t="s">
        <v>117</v>
      </c>
      <c r="E3" s="34" t="s">
        <v>118</v>
      </c>
      <c r="F3" s="34" t="s">
        <v>36</v>
      </c>
    </row>
    <row r="4" spans="1:6" x14ac:dyDescent="0.25">
      <c r="A4" s="36" t="s">
        <v>119</v>
      </c>
      <c r="B4" s="35">
        <v>45592</v>
      </c>
      <c r="C4" s="36">
        <v>4</v>
      </c>
      <c r="D4" s="36" t="s">
        <v>123</v>
      </c>
      <c r="E4" s="36">
        <v>100</v>
      </c>
      <c r="F4" s="36">
        <f t="shared" ref="F4:F12" si="0">(E4*C4)</f>
        <v>400</v>
      </c>
    </row>
    <row r="5" spans="1:6" x14ac:dyDescent="0.25">
      <c r="A5" s="36" t="s">
        <v>119</v>
      </c>
      <c r="B5" s="35">
        <v>45604</v>
      </c>
      <c r="C5" s="36">
        <v>3</v>
      </c>
      <c r="D5" s="36" t="s">
        <v>124</v>
      </c>
      <c r="E5" s="36">
        <v>50</v>
      </c>
      <c r="F5" s="36">
        <f t="shared" si="0"/>
        <v>150</v>
      </c>
    </row>
    <row r="6" spans="1:6" x14ac:dyDescent="0.25">
      <c r="A6" s="36" t="s">
        <v>119</v>
      </c>
      <c r="B6" s="35">
        <v>45605</v>
      </c>
      <c r="C6" s="36">
        <v>4</v>
      </c>
      <c r="D6" s="36" t="s">
        <v>126</v>
      </c>
      <c r="E6" s="36">
        <v>50</v>
      </c>
      <c r="F6" s="36">
        <f t="shared" si="0"/>
        <v>200</v>
      </c>
    </row>
    <row r="7" spans="1:6" x14ac:dyDescent="0.25">
      <c r="A7" s="36" t="s">
        <v>119</v>
      </c>
      <c r="B7" s="35">
        <v>45608</v>
      </c>
      <c r="C7" s="36">
        <v>3</v>
      </c>
      <c r="D7" s="36" t="s">
        <v>127</v>
      </c>
      <c r="E7" s="36">
        <v>50</v>
      </c>
      <c r="F7" s="36">
        <f t="shared" si="0"/>
        <v>150</v>
      </c>
    </row>
    <row r="8" spans="1:6" x14ac:dyDescent="0.25">
      <c r="A8" s="36" t="s">
        <v>119</v>
      </c>
      <c r="B8" s="35">
        <v>45611</v>
      </c>
      <c r="C8" s="36">
        <v>4</v>
      </c>
      <c r="D8" s="36" t="s">
        <v>124</v>
      </c>
      <c r="E8" s="36">
        <v>50</v>
      </c>
      <c r="F8" s="36">
        <f t="shared" si="0"/>
        <v>200</v>
      </c>
    </row>
    <row r="9" spans="1:6" x14ac:dyDescent="0.25">
      <c r="A9" s="36" t="s">
        <v>119</v>
      </c>
      <c r="B9" s="35">
        <v>45615</v>
      </c>
      <c r="C9" s="36">
        <v>1</v>
      </c>
      <c r="D9" s="36" t="s">
        <v>127</v>
      </c>
      <c r="E9" s="36">
        <v>50</v>
      </c>
      <c r="F9" s="36">
        <f t="shared" si="0"/>
        <v>50</v>
      </c>
    </row>
    <row r="10" spans="1:6" x14ac:dyDescent="0.25">
      <c r="A10" s="36" t="s">
        <v>119</v>
      </c>
      <c r="B10" s="35">
        <v>45615</v>
      </c>
      <c r="C10" s="36">
        <v>4</v>
      </c>
      <c r="D10" s="36" t="s">
        <v>127</v>
      </c>
      <c r="E10" s="36">
        <v>50</v>
      </c>
      <c r="F10" s="36">
        <f t="shared" si="0"/>
        <v>200</v>
      </c>
    </row>
    <row r="11" spans="1:6" x14ac:dyDescent="0.25">
      <c r="A11" s="36" t="s">
        <v>119</v>
      </c>
      <c r="B11" s="35">
        <v>45616</v>
      </c>
      <c r="C11" s="36">
        <v>2</v>
      </c>
      <c r="D11" s="36" t="s">
        <v>129</v>
      </c>
      <c r="E11" s="36">
        <v>50</v>
      </c>
      <c r="F11" s="36">
        <f t="shared" si="0"/>
        <v>100</v>
      </c>
    </row>
    <row r="12" spans="1:6" x14ac:dyDescent="0.25">
      <c r="A12" s="36" t="s">
        <v>119</v>
      </c>
      <c r="B12" s="35">
        <v>45617</v>
      </c>
      <c r="C12" s="36">
        <v>4</v>
      </c>
      <c r="D12" s="36" t="s">
        <v>128</v>
      </c>
      <c r="E12" s="36">
        <v>50</v>
      </c>
      <c r="F12" s="36">
        <f t="shared" si="0"/>
        <v>200</v>
      </c>
    </row>
    <row r="13" spans="1:6" ht="17.25" x14ac:dyDescent="0.3">
      <c r="A13" s="38"/>
      <c r="B13" s="36"/>
      <c r="C13" s="39"/>
      <c r="D13" s="39"/>
      <c r="E13" s="37" t="s">
        <v>18</v>
      </c>
      <c r="F13" s="39">
        <f>SUM(F4:F12)</f>
        <v>1650</v>
      </c>
    </row>
    <row r="14" spans="1:6" ht="17.25" x14ac:dyDescent="0.3">
      <c r="A14" s="38"/>
      <c r="B14" s="36"/>
      <c r="C14" s="40"/>
      <c r="D14" s="40"/>
      <c r="E14" s="37" t="s">
        <v>130</v>
      </c>
      <c r="F14" s="40">
        <f>AVERAGE(F4:F12)</f>
        <v>183.33333333333334</v>
      </c>
    </row>
    <row r="15" spans="1:6" ht="17.25" x14ac:dyDescent="0.3">
      <c r="A15" s="38"/>
      <c r="B15" s="36"/>
      <c r="C15" s="39"/>
      <c r="D15" s="39"/>
      <c r="E15" s="37" t="s">
        <v>131</v>
      </c>
      <c r="F15" s="39">
        <f>MAX(F4:F12)</f>
        <v>400</v>
      </c>
    </row>
    <row r="16" spans="1:6" x14ac:dyDescent="0.25">
      <c r="A16" s="36" t="s">
        <v>122</v>
      </c>
      <c r="B16" s="35">
        <v>45601</v>
      </c>
      <c r="C16" s="36">
        <v>4</v>
      </c>
      <c r="D16" s="36" t="s">
        <v>127</v>
      </c>
      <c r="E16" s="36">
        <v>50</v>
      </c>
      <c r="F16" s="36">
        <f t="shared" ref="F16:F23" si="1">(E16*C16)</f>
        <v>200</v>
      </c>
    </row>
    <row r="17" spans="1:6" x14ac:dyDescent="0.25">
      <c r="A17" s="36" t="s">
        <v>122</v>
      </c>
      <c r="B17" s="35">
        <v>45603</v>
      </c>
      <c r="C17" s="36">
        <v>5</v>
      </c>
      <c r="D17" s="36" t="s">
        <v>128</v>
      </c>
      <c r="E17" s="36">
        <v>50</v>
      </c>
      <c r="F17" s="36">
        <f t="shared" si="1"/>
        <v>250</v>
      </c>
    </row>
    <row r="18" spans="1:6" x14ac:dyDescent="0.25">
      <c r="A18" s="36" t="s">
        <v>122</v>
      </c>
      <c r="B18" s="35">
        <v>45591</v>
      </c>
      <c r="C18" s="36">
        <v>2</v>
      </c>
      <c r="D18" s="36" t="s">
        <v>126</v>
      </c>
      <c r="E18" s="36">
        <v>50</v>
      </c>
      <c r="F18" s="36">
        <f t="shared" si="1"/>
        <v>100</v>
      </c>
    </row>
    <row r="19" spans="1:6" x14ac:dyDescent="0.25">
      <c r="A19" s="36" t="s">
        <v>122</v>
      </c>
      <c r="B19" s="35">
        <v>45593</v>
      </c>
      <c r="C19" s="36">
        <v>4</v>
      </c>
      <c r="D19" s="36" t="s">
        <v>125</v>
      </c>
      <c r="E19" s="36">
        <v>50</v>
      </c>
      <c r="F19" s="36">
        <f t="shared" si="1"/>
        <v>200</v>
      </c>
    </row>
    <row r="20" spans="1:6" x14ac:dyDescent="0.25">
      <c r="A20" s="36" t="s">
        <v>122</v>
      </c>
      <c r="B20" s="35">
        <v>45595</v>
      </c>
      <c r="C20" s="36">
        <v>3</v>
      </c>
      <c r="D20" s="36" t="s">
        <v>129</v>
      </c>
      <c r="E20" s="36">
        <v>50</v>
      </c>
      <c r="F20" s="36">
        <f t="shared" si="1"/>
        <v>150</v>
      </c>
    </row>
    <row r="21" spans="1:6" x14ac:dyDescent="0.25">
      <c r="A21" s="36" t="s">
        <v>122</v>
      </c>
      <c r="B21" s="35">
        <v>45598</v>
      </c>
      <c r="C21" s="36">
        <v>1</v>
      </c>
      <c r="D21" s="36" t="s">
        <v>126</v>
      </c>
      <c r="E21" s="36">
        <v>50</v>
      </c>
      <c r="F21" s="36">
        <f t="shared" si="1"/>
        <v>50</v>
      </c>
    </row>
    <row r="22" spans="1:6" x14ac:dyDescent="0.25">
      <c r="A22" s="36" t="s">
        <v>122</v>
      </c>
      <c r="B22" s="35">
        <v>45605</v>
      </c>
      <c r="C22" s="36">
        <v>4</v>
      </c>
      <c r="D22" s="36" t="s">
        <v>126</v>
      </c>
      <c r="E22" s="36">
        <v>50</v>
      </c>
      <c r="F22" s="36">
        <f t="shared" si="1"/>
        <v>200</v>
      </c>
    </row>
    <row r="23" spans="1:6" x14ac:dyDescent="0.25">
      <c r="A23" s="36" t="s">
        <v>122</v>
      </c>
      <c r="B23" s="35">
        <v>45610</v>
      </c>
      <c r="C23" s="36">
        <v>1</v>
      </c>
      <c r="D23" s="36" t="s">
        <v>128</v>
      </c>
      <c r="E23" s="36">
        <v>50</v>
      </c>
      <c r="F23" s="36">
        <f t="shared" si="1"/>
        <v>50</v>
      </c>
    </row>
    <row r="24" spans="1:6" ht="17.25" x14ac:dyDescent="0.3">
      <c r="A24" s="38"/>
      <c r="B24" s="36"/>
      <c r="C24" s="39"/>
      <c r="D24" s="39"/>
      <c r="E24" s="37" t="s">
        <v>18</v>
      </c>
      <c r="F24" s="39">
        <f>SUM(F16:F23)</f>
        <v>1200</v>
      </c>
    </row>
    <row r="25" spans="1:6" ht="17.25" x14ac:dyDescent="0.3">
      <c r="A25" s="38"/>
      <c r="B25" s="36"/>
      <c r="C25" s="39"/>
      <c r="D25" s="39"/>
      <c r="E25" s="37" t="s">
        <v>130</v>
      </c>
      <c r="F25" s="39">
        <f>AVERAGE(F16:F23)</f>
        <v>150</v>
      </c>
    </row>
    <row r="26" spans="1:6" ht="17.25" x14ac:dyDescent="0.3">
      <c r="A26" s="38"/>
      <c r="B26" s="36"/>
      <c r="C26" s="39"/>
      <c r="D26" s="39"/>
      <c r="E26" s="37" t="s">
        <v>131</v>
      </c>
      <c r="F26" s="39">
        <f>MAX(F16:F23)</f>
        <v>250</v>
      </c>
    </row>
    <row r="27" spans="1:6" x14ac:dyDescent="0.25">
      <c r="A27" s="36" t="s">
        <v>121</v>
      </c>
      <c r="B27" s="35">
        <v>45592</v>
      </c>
      <c r="C27" s="36">
        <v>5</v>
      </c>
      <c r="D27" s="36" t="s">
        <v>123</v>
      </c>
      <c r="E27" s="36">
        <v>100</v>
      </c>
      <c r="F27" s="36">
        <f>(E27*C27)</f>
        <v>500</v>
      </c>
    </row>
    <row r="28" spans="1:6" x14ac:dyDescent="0.25">
      <c r="A28" s="36" t="s">
        <v>121</v>
      </c>
      <c r="B28" s="35">
        <v>45593</v>
      </c>
      <c r="C28" s="36">
        <v>3</v>
      </c>
      <c r="D28" s="36" t="s">
        <v>125</v>
      </c>
      <c r="E28" s="36">
        <v>50</v>
      </c>
      <c r="F28" s="36">
        <f>(E28*C28)</f>
        <v>150</v>
      </c>
    </row>
    <row r="29" spans="1:6" ht="17.25" x14ac:dyDescent="0.3">
      <c r="A29" s="39"/>
      <c r="B29" s="36"/>
      <c r="C29" s="39"/>
      <c r="D29" s="39"/>
      <c r="E29" s="37" t="s">
        <v>18</v>
      </c>
      <c r="F29" s="39">
        <f>SUM(F27:F28)</f>
        <v>650</v>
      </c>
    </row>
    <row r="30" spans="1:6" ht="17.25" x14ac:dyDescent="0.3">
      <c r="A30" s="39"/>
      <c r="B30" s="36"/>
      <c r="C30" s="39"/>
      <c r="D30" s="39"/>
      <c r="E30" s="37" t="s">
        <v>130</v>
      </c>
      <c r="F30" s="39">
        <f>AVERAGE(F27:F28)</f>
        <v>325</v>
      </c>
    </row>
    <row r="31" spans="1:6" ht="17.25" x14ac:dyDescent="0.3">
      <c r="A31" s="39"/>
      <c r="B31" s="36"/>
      <c r="C31" s="39"/>
      <c r="D31" s="39"/>
      <c r="E31" s="37" t="s">
        <v>131</v>
      </c>
      <c r="F31" s="39">
        <f>MAX(F27:F28)</f>
        <v>500</v>
      </c>
    </row>
    <row r="32" spans="1:6" x14ac:dyDescent="0.25">
      <c r="A32" s="36" t="s">
        <v>120</v>
      </c>
      <c r="B32" s="35">
        <v>45614</v>
      </c>
      <c r="C32" s="36">
        <v>4</v>
      </c>
      <c r="D32" s="36" t="s">
        <v>125</v>
      </c>
      <c r="E32" s="36">
        <v>50</v>
      </c>
      <c r="F32" s="36">
        <f>(E32*C32)</f>
        <v>200</v>
      </c>
    </row>
    <row r="33" spans="1:6" x14ac:dyDescent="0.25">
      <c r="A33" s="36" t="s">
        <v>120</v>
      </c>
      <c r="B33" s="35">
        <v>45607</v>
      </c>
      <c r="C33" s="36">
        <v>4</v>
      </c>
      <c r="D33" s="36" t="s">
        <v>125</v>
      </c>
      <c r="E33" s="36">
        <v>50</v>
      </c>
      <c r="F33" s="36">
        <f>(E33*C33)</f>
        <v>200</v>
      </c>
    </row>
    <row r="34" spans="1:6" x14ac:dyDescent="0.25">
      <c r="A34" s="36" t="s">
        <v>120</v>
      </c>
      <c r="B34" s="35">
        <v>45618</v>
      </c>
      <c r="C34" s="36">
        <v>2</v>
      </c>
      <c r="D34" s="36" t="s">
        <v>124</v>
      </c>
      <c r="E34" s="36">
        <v>50</v>
      </c>
      <c r="F34" s="36">
        <f>(E34*C34)</f>
        <v>100</v>
      </c>
    </row>
    <row r="35" spans="1:6" ht="17.25" x14ac:dyDescent="0.3">
      <c r="A35" s="39"/>
      <c r="B35" s="36"/>
      <c r="C35" s="39"/>
      <c r="D35" s="39"/>
      <c r="E35" s="37" t="s">
        <v>18</v>
      </c>
      <c r="F35" s="39">
        <f t="shared" ref="F35" si="2">SUM(F32:F34)</f>
        <v>500</v>
      </c>
    </row>
    <row r="36" spans="1:6" ht="17.25" x14ac:dyDescent="0.3">
      <c r="A36" s="39"/>
      <c r="B36" s="36"/>
      <c r="C36" s="40"/>
      <c r="D36" s="40"/>
      <c r="E36" s="37" t="s">
        <v>130</v>
      </c>
      <c r="F36" s="40">
        <f t="shared" ref="F36" si="3">AVERAGE(F32:F34)</f>
        <v>166.66666666666666</v>
      </c>
    </row>
    <row r="37" spans="1:6" ht="17.25" x14ac:dyDescent="0.3">
      <c r="A37" s="39"/>
      <c r="B37" s="36"/>
      <c r="C37" s="39"/>
      <c r="D37" s="39"/>
      <c r="E37" s="37" t="s">
        <v>131</v>
      </c>
      <c r="F37" s="39">
        <f t="shared" ref="F37" si="4">MAX(F32:F34)</f>
        <v>200</v>
      </c>
    </row>
  </sheetData>
  <sortState ref="A4:F25">
    <sortCondition ref="B4:B25"/>
  </sortState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workbookViewId="0">
      <selection activeCell="P7" sqref="P7"/>
    </sheetView>
  </sheetViews>
  <sheetFormatPr defaultRowHeight="15" x14ac:dyDescent="0.25"/>
  <cols>
    <col min="6" max="6" width="15.7109375" customWidth="1"/>
    <col min="9" max="9" width="12.7109375" customWidth="1"/>
    <col min="10" max="10" width="11.85546875" customWidth="1"/>
    <col min="11" max="11" width="9.140625" customWidth="1"/>
    <col min="12" max="13" width="13.5703125" customWidth="1"/>
    <col min="14" max="14" width="13" customWidth="1"/>
  </cols>
  <sheetData>
    <row r="2" spans="1:15" x14ac:dyDescent="0.25">
      <c r="A2" s="1" t="s">
        <v>0</v>
      </c>
      <c r="B2" s="1" t="s">
        <v>25</v>
      </c>
      <c r="C2" s="1" t="s">
        <v>26</v>
      </c>
      <c r="D2" s="1" t="s">
        <v>18</v>
      </c>
      <c r="E2" s="1" t="s">
        <v>27</v>
      </c>
      <c r="F2" s="1" t="s">
        <v>40</v>
      </c>
      <c r="G2" s="1"/>
      <c r="H2" s="1"/>
      <c r="I2" s="1" t="s">
        <v>0</v>
      </c>
      <c r="J2" s="1" t="s">
        <v>33</v>
      </c>
      <c r="K2" s="1" t="s">
        <v>34</v>
      </c>
      <c r="L2" s="1" t="s">
        <v>35</v>
      </c>
      <c r="M2" s="1" t="s">
        <v>42</v>
      </c>
      <c r="N2" s="1" t="s">
        <v>43</v>
      </c>
      <c r="O2" s="1" t="s">
        <v>36</v>
      </c>
    </row>
    <row r="3" spans="1:15" x14ac:dyDescent="0.25">
      <c r="A3" t="s">
        <v>28</v>
      </c>
      <c r="B3" s="7">
        <v>15</v>
      </c>
      <c r="C3" s="7">
        <v>50</v>
      </c>
      <c r="D3">
        <f>SUM(B3:C3)</f>
        <v>65</v>
      </c>
      <c r="E3">
        <v>5</v>
      </c>
      <c r="F3" s="8">
        <f>SUM(D3 + E3)</f>
        <v>70</v>
      </c>
      <c r="I3" t="s">
        <v>37</v>
      </c>
      <c r="J3" s="7">
        <v>1250</v>
      </c>
      <c r="K3" s="7">
        <v>1500</v>
      </c>
      <c r="L3">
        <f>SUM(K3-J3)</f>
        <v>250</v>
      </c>
      <c r="M3">
        <f>(0.06*K3)</f>
        <v>90</v>
      </c>
      <c r="N3">
        <f>SUM(K3-M3)</f>
        <v>1410</v>
      </c>
      <c r="O3">
        <f>(N3*10)</f>
        <v>14100</v>
      </c>
    </row>
    <row r="4" spans="1:15" x14ac:dyDescent="0.25">
      <c r="A4" t="s">
        <v>29</v>
      </c>
      <c r="B4" s="7">
        <v>23</v>
      </c>
      <c r="C4" s="7">
        <v>49</v>
      </c>
      <c r="D4">
        <f t="shared" ref="D4:D8" si="0">SUM(B4:C4)</f>
        <v>72</v>
      </c>
      <c r="E4">
        <v>5</v>
      </c>
      <c r="F4" s="8">
        <f t="shared" ref="F4:F8" si="1">SUM(D4 + E4)</f>
        <v>77</v>
      </c>
      <c r="I4" t="s">
        <v>38</v>
      </c>
      <c r="J4" s="7">
        <v>700</v>
      </c>
      <c r="K4" s="7">
        <v>800</v>
      </c>
      <c r="L4">
        <f t="shared" ref="L4:L6" si="2">SUM(K4-J4)</f>
        <v>100</v>
      </c>
      <c r="M4">
        <f t="shared" ref="M4:M6" si="3">(0.06*K4)</f>
        <v>48</v>
      </c>
      <c r="N4">
        <f t="shared" ref="N4:N6" si="4">SUM(K4-M4)</f>
        <v>752</v>
      </c>
      <c r="O4">
        <f t="shared" ref="O4:O6" si="5">(N4*10)</f>
        <v>7520</v>
      </c>
    </row>
    <row r="5" spans="1:15" x14ac:dyDescent="0.25">
      <c r="A5" t="s">
        <v>30</v>
      </c>
      <c r="B5" s="7">
        <v>13</v>
      </c>
      <c r="C5" s="7">
        <v>45</v>
      </c>
      <c r="D5">
        <f t="shared" si="0"/>
        <v>58</v>
      </c>
      <c r="E5">
        <v>5</v>
      </c>
      <c r="F5" s="8">
        <f t="shared" si="1"/>
        <v>63</v>
      </c>
      <c r="I5" t="s">
        <v>20</v>
      </c>
      <c r="J5" s="7">
        <v>350</v>
      </c>
      <c r="K5" s="7">
        <v>300</v>
      </c>
      <c r="L5">
        <f t="shared" si="2"/>
        <v>-50</v>
      </c>
      <c r="M5">
        <f t="shared" si="3"/>
        <v>18</v>
      </c>
      <c r="N5">
        <f t="shared" si="4"/>
        <v>282</v>
      </c>
      <c r="O5">
        <f t="shared" si="5"/>
        <v>2820</v>
      </c>
    </row>
    <row r="6" spans="1:15" x14ac:dyDescent="0.25">
      <c r="A6" t="s">
        <v>31</v>
      </c>
      <c r="B6" s="7">
        <v>10</v>
      </c>
      <c r="C6" s="7">
        <v>34</v>
      </c>
      <c r="D6">
        <f t="shared" si="0"/>
        <v>44</v>
      </c>
      <c r="E6">
        <v>5</v>
      </c>
      <c r="F6" s="8">
        <f t="shared" si="1"/>
        <v>49</v>
      </c>
      <c r="I6" t="s">
        <v>39</v>
      </c>
      <c r="J6" s="7">
        <v>90</v>
      </c>
      <c r="K6" s="7">
        <v>120</v>
      </c>
      <c r="L6">
        <f t="shared" si="2"/>
        <v>30</v>
      </c>
      <c r="M6">
        <f t="shared" si="3"/>
        <v>7.1999999999999993</v>
      </c>
      <c r="N6">
        <f t="shared" si="4"/>
        <v>112.8</v>
      </c>
      <c r="O6">
        <f t="shared" si="5"/>
        <v>1128</v>
      </c>
    </row>
    <row r="7" spans="1:15" x14ac:dyDescent="0.25">
      <c r="A7" t="s">
        <v>32</v>
      </c>
      <c r="B7" s="7">
        <v>20</v>
      </c>
      <c r="C7" s="7">
        <v>68</v>
      </c>
      <c r="D7">
        <f t="shared" si="0"/>
        <v>88</v>
      </c>
      <c r="E7">
        <v>5</v>
      </c>
      <c r="F7" s="8">
        <f t="shared" si="1"/>
        <v>93</v>
      </c>
      <c r="M7" s="1"/>
      <c r="N7" s="3" t="s">
        <v>41</v>
      </c>
      <c r="O7" s="3">
        <f>SUM(O3:O6)</f>
        <v>25568</v>
      </c>
    </row>
    <row r="8" spans="1:15" x14ac:dyDescent="0.25">
      <c r="A8" t="s">
        <v>17</v>
      </c>
      <c r="B8" s="7">
        <v>18</v>
      </c>
      <c r="C8" s="7">
        <v>51</v>
      </c>
      <c r="D8">
        <f t="shared" si="0"/>
        <v>69</v>
      </c>
      <c r="E8">
        <v>5</v>
      </c>
      <c r="F8" s="8">
        <f t="shared" si="1"/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E15" sqref="E15"/>
    </sheetView>
  </sheetViews>
  <sheetFormatPr defaultRowHeight="15" x14ac:dyDescent="0.25"/>
  <cols>
    <col min="2" max="2" width="11.7109375" customWidth="1"/>
    <col min="3" max="3" width="10.5703125" customWidth="1"/>
    <col min="4" max="4" width="14.28515625" customWidth="1"/>
    <col min="5" max="5" width="13.7109375" customWidth="1"/>
    <col min="6" max="6" width="13" customWidth="1"/>
    <col min="7" max="7" width="10.140625" customWidth="1"/>
    <col min="8" max="8" width="12.85546875" customWidth="1"/>
    <col min="9" max="9" width="14.5703125" customWidth="1"/>
  </cols>
  <sheetData>
    <row r="1" spans="1:9" ht="18.75" thickTop="1" x14ac:dyDescent="0.25">
      <c r="A1" s="114" t="s">
        <v>44</v>
      </c>
      <c r="B1" s="115"/>
      <c r="C1" s="115"/>
      <c r="D1" s="115"/>
      <c r="E1" s="115"/>
      <c r="F1" s="115"/>
      <c r="G1" s="115"/>
      <c r="H1" s="115"/>
      <c r="I1" s="116"/>
    </row>
    <row r="2" spans="1:9" ht="18" x14ac:dyDescent="0.25">
      <c r="A2" s="117" t="s">
        <v>45</v>
      </c>
      <c r="B2" s="118"/>
      <c r="C2" s="118"/>
      <c r="D2" s="118"/>
      <c r="E2" s="118"/>
      <c r="F2" s="118"/>
      <c r="G2" s="118"/>
      <c r="H2" s="118"/>
      <c r="I2" s="119"/>
    </row>
    <row r="3" spans="1:9" ht="31.5" x14ac:dyDescent="0.25">
      <c r="A3" s="9" t="s">
        <v>46</v>
      </c>
      <c r="B3" s="10" t="s">
        <v>51</v>
      </c>
      <c r="C3" s="10" t="s">
        <v>47</v>
      </c>
      <c r="D3" s="10" t="s">
        <v>48</v>
      </c>
      <c r="E3" s="10" t="s">
        <v>43</v>
      </c>
      <c r="F3" s="10" t="s">
        <v>35</v>
      </c>
      <c r="G3" s="10" t="s">
        <v>42</v>
      </c>
      <c r="H3" s="10" t="s">
        <v>49</v>
      </c>
      <c r="I3" s="11" t="s">
        <v>50</v>
      </c>
    </row>
    <row r="4" spans="1:9" x14ac:dyDescent="0.25">
      <c r="A4" s="12">
        <v>1001</v>
      </c>
      <c r="B4" s="13" t="s">
        <v>52</v>
      </c>
      <c r="C4" s="13">
        <v>30</v>
      </c>
      <c r="D4" s="13">
        <v>1750</v>
      </c>
      <c r="E4" s="13">
        <v>2000</v>
      </c>
      <c r="F4" s="13">
        <f>SUM(E4-D4)</f>
        <v>250</v>
      </c>
      <c r="G4" s="13">
        <f>(E4*6%)</f>
        <v>120</v>
      </c>
      <c r="H4" s="13">
        <f>SUM(E4-G4)</f>
        <v>1880</v>
      </c>
      <c r="I4" s="14">
        <f>(H4*C4)</f>
        <v>56400</v>
      </c>
    </row>
    <row r="5" spans="1:9" x14ac:dyDescent="0.25">
      <c r="A5" s="12">
        <v>1002</v>
      </c>
      <c r="B5" s="13" t="s">
        <v>53</v>
      </c>
      <c r="C5" s="13">
        <v>15</v>
      </c>
      <c r="D5" s="13">
        <v>1830</v>
      </c>
      <c r="E5" s="13">
        <v>1500</v>
      </c>
      <c r="F5" s="13">
        <f>SUM(E5-D5)</f>
        <v>-330</v>
      </c>
      <c r="G5" s="13">
        <f t="shared" ref="G5:G11" si="0">(E5*6%)</f>
        <v>90</v>
      </c>
      <c r="H5" s="13">
        <f t="shared" ref="H5:H11" si="1">SUM(E5-G5)</f>
        <v>1410</v>
      </c>
      <c r="I5" s="14">
        <f t="shared" ref="I5:I11" si="2">(H5*C5)</f>
        <v>21150</v>
      </c>
    </row>
    <row r="6" spans="1:9" x14ac:dyDescent="0.25">
      <c r="A6" s="12">
        <v>1003</v>
      </c>
      <c r="B6" s="13" t="s">
        <v>54</v>
      </c>
      <c r="C6" s="13">
        <v>17</v>
      </c>
      <c r="D6" s="13">
        <v>3200</v>
      </c>
      <c r="E6" s="13">
        <v>3500</v>
      </c>
      <c r="F6" s="13">
        <f t="shared" ref="F6:F11" si="3">SUM(E6-D6)</f>
        <v>300</v>
      </c>
      <c r="G6" s="13">
        <f t="shared" si="0"/>
        <v>210</v>
      </c>
      <c r="H6" s="13">
        <f t="shared" si="1"/>
        <v>3290</v>
      </c>
      <c r="I6" s="14">
        <f t="shared" si="2"/>
        <v>55930</v>
      </c>
    </row>
    <row r="7" spans="1:9" x14ac:dyDescent="0.25">
      <c r="A7" s="12">
        <v>1004</v>
      </c>
      <c r="B7" s="13" t="s">
        <v>55</v>
      </c>
      <c r="C7" s="13">
        <v>18</v>
      </c>
      <c r="D7" s="13">
        <v>1700</v>
      </c>
      <c r="E7" s="13">
        <v>1700</v>
      </c>
      <c r="F7" s="13">
        <f t="shared" si="3"/>
        <v>0</v>
      </c>
      <c r="G7" s="13">
        <f t="shared" si="0"/>
        <v>102</v>
      </c>
      <c r="H7" s="13">
        <f t="shared" si="1"/>
        <v>1598</v>
      </c>
      <c r="I7" s="14">
        <f t="shared" si="2"/>
        <v>28764</v>
      </c>
    </row>
    <row r="8" spans="1:9" x14ac:dyDescent="0.25">
      <c r="A8" s="12">
        <v>1005</v>
      </c>
      <c r="B8" s="13" t="s">
        <v>56</v>
      </c>
      <c r="C8" s="13">
        <v>25</v>
      </c>
      <c r="D8" s="13">
        <v>2000</v>
      </c>
      <c r="E8" s="13">
        <v>2100</v>
      </c>
      <c r="F8" s="13">
        <f t="shared" si="3"/>
        <v>100</v>
      </c>
      <c r="G8" s="13">
        <f t="shared" si="0"/>
        <v>126</v>
      </c>
      <c r="H8" s="13">
        <f t="shared" si="1"/>
        <v>1974</v>
      </c>
      <c r="I8" s="14">
        <f t="shared" si="2"/>
        <v>49350</v>
      </c>
    </row>
    <row r="9" spans="1:9" x14ac:dyDescent="0.25">
      <c r="A9" s="12">
        <v>1006</v>
      </c>
      <c r="B9" s="13" t="s">
        <v>57</v>
      </c>
      <c r="C9" s="13">
        <v>33</v>
      </c>
      <c r="D9" s="13">
        <v>3100</v>
      </c>
      <c r="E9" s="13">
        <v>3200</v>
      </c>
      <c r="F9" s="13">
        <f t="shared" si="3"/>
        <v>100</v>
      </c>
      <c r="G9" s="13">
        <f t="shared" si="0"/>
        <v>192</v>
      </c>
      <c r="H9" s="13">
        <f>SUM(E9-G9)</f>
        <v>3008</v>
      </c>
      <c r="I9" s="14">
        <f t="shared" si="2"/>
        <v>99264</v>
      </c>
    </row>
    <row r="10" spans="1:9" x14ac:dyDescent="0.25">
      <c r="A10" s="12">
        <v>1007</v>
      </c>
      <c r="B10" s="13" t="s">
        <v>37</v>
      </c>
      <c r="C10" s="13">
        <v>40</v>
      </c>
      <c r="D10" s="13">
        <v>2000</v>
      </c>
      <c r="E10" s="13">
        <v>2000</v>
      </c>
      <c r="F10" s="13">
        <f t="shared" si="3"/>
        <v>0</v>
      </c>
      <c r="G10" s="13">
        <f t="shared" si="0"/>
        <v>120</v>
      </c>
      <c r="H10" s="13">
        <f t="shared" si="1"/>
        <v>1880</v>
      </c>
      <c r="I10" s="14">
        <f t="shared" si="2"/>
        <v>75200</v>
      </c>
    </row>
    <row r="11" spans="1:9" x14ac:dyDescent="0.25">
      <c r="A11" s="12">
        <v>1008</v>
      </c>
      <c r="B11" s="13" t="s">
        <v>20</v>
      </c>
      <c r="C11" s="13">
        <v>35</v>
      </c>
      <c r="D11" s="13">
        <v>2800</v>
      </c>
      <c r="E11" s="13">
        <v>3000</v>
      </c>
      <c r="F11" s="13">
        <f t="shared" si="3"/>
        <v>200</v>
      </c>
      <c r="G11" s="13">
        <f t="shared" si="0"/>
        <v>180</v>
      </c>
      <c r="H11" s="13">
        <f t="shared" si="1"/>
        <v>2820</v>
      </c>
      <c r="I11" s="14">
        <f t="shared" si="2"/>
        <v>98700</v>
      </c>
    </row>
    <row r="12" spans="1:9" ht="19.5" thickBot="1" x14ac:dyDescent="0.45">
      <c r="A12" s="15"/>
      <c r="B12" s="16" t="s">
        <v>18</v>
      </c>
      <c r="C12" s="16">
        <f>SUM(C4:C11)</f>
        <v>213</v>
      </c>
      <c r="D12" s="16"/>
      <c r="E12" s="16"/>
      <c r="F12" s="16"/>
      <c r="G12" s="16"/>
      <c r="H12" s="16"/>
      <c r="I12" s="17">
        <f>SUM(I4:I11)</f>
        <v>484758</v>
      </c>
    </row>
    <row r="13" spans="1:9" ht="15.75" thickTop="1" x14ac:dyDescent="0.25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8"/>
    </sheetView>
  </sheetViews>
  <sheetFormatPr defaultRowHeight="15" x14ac:dyDescent="0.25"/>
  <cols>
    <col min="5" max="5" width="13.7109375" customWidth="1"/>
    <col min="6" max="6" width="12.5703125" customWidth="1"/>
    <col min="7" max="7" width="14.85546875" customWidth="1"/>
    <col min="8" max="8" width="10.28515625" customWidth="1"/>
    <col min="10" max="10" width="13.28515625" customWidth="1"/>
  </cols>
  <sheetData>
    <row r="1" spans="1:10" ht="18" x14ac:dyDescent="0.25">
      <c r="A1" s="120" t="s">
        <v>58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ht="15.75" x14ac:dyDescent="0.25">
      <c r="A2" s="121" t="s">
        <v>59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15.75" x14ac:dyDescent="0.25">
      <c r="A3" s="121" t="s">
        <v>60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0" ht="25.5" x14ac:dyDescent="0.25">
      <c r="A4" s="122" t="s">
        <v>61</v>
      </c>
      <c r="B4" s="122" t="s">
        <v>62</v>
      </c>
      <c r="C4" s="122"/>
      <c r="D4" s="122"/>
      <c r="E4" s="19" t="s">
        <v>63</v>
      </c>
      <c r="F4" s="19" t="s">
        <v>64</v>
      </c>
      <c r="G4" s="19" t="s">
        <v>65</v>
      </c>
      <c r="H4" s="122" t="s">
        <v>66</v>
      </c>
      <c r="I4" s="122" t="s">
        <v>67</v>
      </c>
      <c r="J4" s="122" t="s">
        <v>68</v>
      </c>
    </row>
    <row r="5" spans="1:10" ht="25.5" x14ac:dyDescent="0.25">
      <c r="A5" s="122"/>
      <c r="B5" s="20" t="s">
        <v>69</v>
      </c>
      <c r="C5" s="20" t="s">
        <v>70</v>
      </c>
      <c r="D5" s="20" t="s">
        <v>71</v>
      </c>
      <c r="E5" s="20" t="s">
        <v>72</v>
      </c>
      <c r="F5" s="20" t="s">
        <v>73</v>
      </c>
      <c r="G5" s="20" t="s">
        <v>74</v>
      </c>
      <c r="H5" s="122"/>
      <c r="I5" s="122"/>
      <c r="J5" s="122"/>
    </row>
    <row r="6" spans="1:10" x14ac:dyDescent="0.25">
      <c r="A6" s="18" t="s">
        <v>75</v>
      </c>
      <c r="B6" s="18">
        <v>15</v>
      </c>
      <c r="C6" s="18">
        <v>15</v>
      </c>
      <c r="D6" s="21">
        <f>(B6+C6)/2</f>
        <v>15</v>
      </c>
      <c r="E6" s="18">
        <v>9</v>
      </c>
      <c r="F6" s="18">
        <v>40</v>
      </c>
      <c r="G6" s="21">
        <f>SUM(F6+E6+D6)</f>
        <v>64</v>
      </c>
      <c r="H6" s="18" t="str">
        <f>IF(G6&gt;50,"Pass","Fail")</f>
        <v>Pass</v>
      </c>
      <c r="I6" s="18" t="str">
        <f t="shared" ref="I6:I18" si="0">IF(G6&gt;=80,"A",IF(G6&gt;=70,"B",IF(G6&gt;=60,"C",IF(G6&gt;=50,"D",IF(G6&gt;=40,"E",IF(G6&gt;=0,"F"))))))</f>
        <v>C</v>
      </c>
      <c r="J6" s="18" t="str">
        <f>IF(G6&gt;=80,"EXCELLENt",IF(G6&gt;=70,"VERY GOOD",IF(G6&gt;=60,"GOOD",IF(G6&gt;=50,"FAIR",IF(G6&gt;=40,"PASS",IF(G6&gt;=0,"FAIL"))))))</f>
        <v>GOOD</v>
      </c>
    </row>
    <row r="7" spans="1:10" x14ac:dyDescent="0.25">
      <c r="A7" s="18" t="s">
        <v>6</v>
      </c>
      <c r="B7" s="18">
        <v>15</v>
      </c>
      <c r="C7" s="18">
        <v>15</v>
      </c>
      <c r="D7" s="21">
        <f t="shared" ref="D7:D18" si="1">(B7+C7)/2</f>
        <v>15</v>
      </c>
      <c r="E7" s="18">
        <v>8</v>
      </c>
      <c r="F7" s="18">
        <v>40</v>
      </c>
      <c r="G7" s="21">
        <f t="shared" ref="G7:G18" si="2">SUM(F7+E7+D7)</f>
        <v>63</v>
      </c>
      <c r="H7" s="18" t="str">
        <f t="shared" ref="H7:H18" si="3">IF(G7&gt;50,"Pass","Fail")</f>
        <v>Pass</v>
      </c>
      <c r="I7" s="18" t="str">
        <f t="shared" si="0"/>
        <v>C</v>
      </c>
      <c r="J7" s="18" t="str">
        <f t="shared" ref="J7:J18" si="4">IF(G7&gt;=80,"EXCELLENt",IF(G7&gt;=70,"VERY GOOD",IF(G7&gt;=60,"GOOD",IF(G7&gt;=50,"FAIR",IF(G7&gt;=40,"PASS",IF(G7&gt;=0,"FAIL"))))))</f>
        <v>GOOD</v>
      </c>
    </row>
    <row r="8" spans="1:10" x14ac:dyDescent="0.25">
      <c r="A8" s="18" t="s">
        <v>76</v>
      </c>
      <c r="B8" s="18">
        <v>12</v>
      </c>
      <c r="C8" s="18">
        <v>14</v>
      </c>
      <c r="D8" s="21">
        <f t="shared" si="1"/>
        <v>13</v>
      </c>
      <c r="E8" s="18">
        <v>9</v>
      </c>
      <c r="F8" s="18">
        <v>52</v>
      </c>
      <c r="G8" s="21">
        <f t="shared" si="2"/>
        <v>74</v>
      </c>
      <c r="H8" s="18" t="str">
        <f t="shared" si="3"/>
        <v>Pass</v>
      </c>
      <c r="I8" s="18" t="str">
        <f t="shared" si="0"/>
        <v>B</v>
      </c>
      <c r="J8" s="18" t="str">
        <f t="shared" si="4"/>
        <v>VERY GOOD</v>
      </c>
    </row>
    <row r="9" spans="1:10" x14ac:dyDescent="0.25">
      <c r="A9" s="18" t="s">
        <v>77</v>
      </c>
      <c r="B9" s="18">
        <v>16</v>
      </c>
      <c r="C9" s="18">
        <v>10</v>
      </c>
      <c r="D9" s="21">
        <f t="shared" si="1"/>
        <v>13</v>
      </c>
      <c r="E9" s="18">
        <v>9</v>
      </c>
      <c r="F9" s="18">
        <v>54</v>
      </c>
      <c r="G9" s="21">
        <f t="shared" si="2"/>
        <v>76</v>
      </c>
      <c r="H9" s="18" t="str">
        <f t="shared" si="3"/>
        <v>Pass</v>
      </c>
      <c r="I9" s="18" t="str">
        <f t="shared" si="0"/>
        <v>B</v>
      </c>
      <c r="J9" s="18" t="str">
        <f t="shared" si="4"/>
        <v>VERY GOOD</v>
      </c>
    </row>
    <row r="10" spans="1:10" x14ac:dyDescent="0.25">
      <c r="A10" s="18" t="s">
        <v>78</v>
      </c>
      <c r="B10" s="18">
        <v>11</v>
      </c>
      <c r="C10" s="18">
        <v>11</v>
      </c>
      <c r="D10" s="21">
        <f t="shared" si="1"/>
        <v>11</v>
      </c>
      <c r="E10" s="18">
        <v>8</v>
      </c>
      <c r="F10" s="18">
        <v>35</v>
      </c>
      <c r="G10" s="21">
        <f t="shared" si="2"/>
        <v>54</v>
      </c>
      <c r="H10" s="18" t="str">
        <f t="shared" si="3"/>
        <v>Pass</v>
      </c>
      <c r="I10" s="18" t="str">
        <f t="shared" si="0"/>
        <v>D</v>
      </c>
      <c r="J10" s="18" t="str">
        <f t="shared" si="4"/>
        <v>FAIR</v>
      </c>
    </row>
    <row r="11" spans="1:10" x14ac:dyDescent="0.25">
      <c r="A11" s="18" t="s">
        <v>79</v>
      </c>
      <c r="B11" s="18">
        <v>11</v>
      </c>
      <c r="C11" s="18">
        <v>15</v>
      </c>
      <c r="D11" s="21">
        <f t="shared" si="1"/>
        <v>13</v>
      </c>
      <c r="E11" s="18">
        <v>6</v>
      </c>
      <c r="F11" s="18">
        <v>47</v>
      </c>
      <c r="G11" s="21">
        <f t="shared" si="2"/>
        <v>66</v>
      </c>
      <c r="H11" s="18" t="str">
        <f t="shared" si="3"/>
        <v>Pass</v>
      </c>
      <c r="I11" s="18" t="str">
        <f t="shared" si="0"/>
        <v>C</v>
      </c>
      <c r="J11" s="18" t="str">
        <f t="shared" si="4"/>
        <v>GOOD</v>
      </c>
    </row>
    <row r="12" spans="1:10" x14ac:dyDescent="0.25">
      <c r="A12" s="18" t="s">
        <v>80</v>
      </c>
      <c r="B12" s="18">
        <v>17</v>
      </c>
      <c r="C12" s="18">
        <v>13</v>
      </c>
      <c r="D12" s="21">
        <f t="shared" si="1"/>
        <v>15</v>
      </c>
      <c r="E12" s="18">
        <v>9</v>
      </c>
      <c r="F12" s="18">
        <v>50</v>
      </c>
      <c r="G12" s="21">
        <f t="shared" si="2"/>
        <v>74</v>
      </c>
      <c r="H12" s="18" t="str">
        <f t="shared" si="3"/>
        <v>Pass</v>
      </c>
      <c r="I12" s="18" t="str">
        <f t="shared" si="0"/>
        <v>B</v>
      </c>
      <c r="J12" s="18" t="str">
        <f t="shared" si="4"/>
        <v>VERY GOOD</v>
      </c>
    </row>
    <row r="13" spans="1:10" x14ac:dyDescent="0.25">
      <c r="A13" s="18" t="s">
        <v>81</v>
      </c>
      <c r="B13" s="18">
        <v>11</v>
      </c>
      <c r="C13" s="18">
        <v>11</v>
      </c>
      <c r="D13" s="21">
        <f t="shared" si="1"/>
        <v>11</v>
      </c>
      <c r="E13" s="18">
        <v>5</v>
      </c>
      <c r="F13" s="18">
        <v>20</v>
      </c>
      <c r="G13" s="21">
        <f t="shared" si="2"/>
        <v>36</v>
      </c>
      <c r="H13" s="18" t="str">
        <f t="shared" si="3"/>
        <v>Fail</v>
      </c>
      <c r="I13" s="18" t="str">
        <f t="shared" si="0"/>
        <v>F</v>
      </c>
      <c r="J13" s="18" t="str">
        <f t="shared" si="4"/>
        <v>FAIL</v>
      </c>
    </row>
    <row r="14" spans="1:10" x14ac:dyDescent="0.25">
      <c r="A14" s="18" t="s">
        <v>82</v>
      </c>
      <c r="B14" s="18">
        <v>15</v>
      </c>
      <c r="C14" s="18">
        <v>11</v>
      </c>
      <c r="D14" s="21">
        <f t="shared" si="1"/>
        <v>13</v>
      </c>
      <c r="E14" s="18">
        <v>8</v>
      </c>
      <c r="F14" s="18">
        <v>53</v>
      </c>
      <c r="G14" s="21">
        <f t="shared" si="2"/>
        <v>74</v>
      </c>
      <c r="H14" s="18" t="str">
        <f t="shared" si="3"/>
        <v>Pass</v>
      </c>
      <c r="I14" s="18" t="str">
        <f t="shared" si="0"/>
        <v>B</v>
      </c>
      <c r="J14" s="18" t="str">
        <f t="shared" si="4"/>
        <v>VERY GOOD</v>
      </c>
    </row>
    <row r="15" spans="1:10" x14ac:dyDescent="0.25">
      <c r="A15" s="18" t="s">
        <v>83</v>
      </c>
      <c r="B15" s="18">
        <v>12</v>
      </c>
      <c r="C15" s="18">
        <v>14</v>
      </c>
      <c r="D15" s="21">
        <f t="shared" si="1"/>
        <v>13</v>
      </c>
      <c r="E15" s="18">
        <v>6</v>
      </c>
      <c r="F15" s="18">
        <v>48</v>
      </c>
      <c r="G15" s="21">
        <f t="shared" si="2"/>
        <v>67</v>
      </c>
      <c r="H15" s="18" t="str">
        <f t="shared" si="3"/>
        <v>Pass</v>
      </c>
      <c r="I15" s="18" t="str">
        <f t="shared" si="0"/>
        <v>C</v>
      </c>
      <c r="J15" s="18" t="str">
        <f t="shared" si="4"/>
        <v>GOOD</v>
      </c>
    </row>
    <row r="16" spans="1:10" x14ac:dyDescent="0.25">
      <c r="A16" s="18" t="s">
        <v>84</v>
      </c>
      <c r="B16" s="18">
        <v>12</v>
      </c>
      <c r="C16" s="18">
        <v>14</v>
      </c>
      <c r="D16" s="21">
        <f t="shared" si="1"/>
        <v>13</v>
      </c>
      <c r="E16" s="18">
        <v>8</v>
      </c>
      <c r="F16" s="18">
        <v>44</v>
      </c>
      <c r="G16" s="21">
        <f t="shared" si="2"/>
        <v>65</v>
      </c>
      <c r="H16" s="18" t="str">
        <f t="shared" si="3"/>
        <v>Pass</v>
      </c>
      <c r="I16" s="18" t="str">
        <f t="shared" si="0"/>
        <v>C</v>
      </c>
      <c r="J16" s="18" t="str">
        <f t="shared" si="4"/>
        <v>GOOD</v>
      </c>
    </row>
    <row r="17" spans="1:10" x14ac:dyDescent="0.25">
      <c r="A17" s="18" t="s">
        <v>85</v>
      </c>
      <c r="B17" s="18">
        <v>8</v>
      </c>
      <c r="C17" s="18">
        <v>7</v>
      </c>
      <c r="D17" s="21">
        <f t="shared" si="1"/>
        <v>7.5</v>
      </c>
      <c r="E17" s="18">
        <v>8</v>
      </c>
      <c r="F17" s="18">
        <v>28</v>
      </c>
      <c r="G17" s="21">
        <f t="shared" si="2"/>
        <v>43.5</v>
      </c>
      <c r="H17" s="18" t="str">
        <f t="shared" si="3"/>
        <v>Fail</v>
      </c>
      <c r="I17" s="18" t="str">
        <f t="shared" si="0"/>
        <v>E</v>
      </c>
      <c r="J17" s="18" t="str">
        <f t="shared" si="4"/>
        <v>PASS</v>
      </c>
    </row>
    <row r="18" spans="1:10" x14ac:dyDescent="0.25">
      <c r="A18" s="18" t="s">
        <v>86</v>
      </c>
      <c r="B18" s="18">
        <v>10</v>
      </c>
      <c r="C18" s="18">
        <v>20</v>
      </c>
      <c r="D18" s="21">
        <f t="shared" si="1"/>
        <v>15</v>
      </c>
      <c r="E18" s="18">
        <v>9</v>
      </c>
      <c r="F18" s="18">
        <v>54</v>
      </c>
      <c r="G18" s="21">
        <f t="shared" si="2"/>
        <v>78</v>
      </c>
      <c r="H18" s="18" t="str">
        <f t="shared" si="3"/>
        <v>Pass</v>
      </c>
      <c r="I18" s="18" t="str">
        <f t="shared" si="0"/>
        <v>B</v>
      </c>
      <c r="J18" s="18" t="str">
        <f t="shared" si="4"/>
        <v>VERY GOOD</v>
      </c>
    </row>
  </sheetData>
  <mergeCells count="8">
    <mergeCell ref="A1:J1"/>
    <mergeCell ref="A2:J2"/>
    <mergeCell ref="A3:J3"/>
    <mergeCell ref="A4:A5"/>
    <mergeCell ref="B4:D4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4" sqref="J4"/>
    </sheetView>
  </sheetViews>
  <sheetFormatPr defaultRowHeight="15" x14ac:dyDescent="0.25"/>
  <cols>
    <col min="1" max="1" width="8.42578125" customWidth="1"/>
    <col min="3" max="3" width="13.85546875" customWidth="1"/>
    <col min="4" max="4" width="14.85546875" customWidth="1"/>
    <col min="5" max="5" width="15.5703125" customWidth="1"/>
    <col min="9" max="9" width="7.5703125" customWidth="1"/>
    <col min="10" max="10" width="16" customWidth="1"/>
  </cols>
  <sheetData>
    <row r="1" spans="1:10" ht="22.5" x14ac:dyDescent="0.3">
      <c r="A1" s="123" t="s">
        <v>87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8" x14ac:dyDescent="0.25">
      <c r="A2" s="124" t="s">
        <v>88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57" x14ac:dyDescent="0.25">
      <c r="A3" s="22" t="s">
        <v>89</v>
      </c>
      <c r="B3" s="22" t="s">
        <v>90</v>
      </c>
      <c r="C3" s="22" t="s">
        <v>91</v>
      </c>
      <c r="D3" s="22" t="s">
        <v>92</v>
      </c>
      <c r="E3" s="22" t="s">
        <v>93</v>
      </c>
      <c r="F3" s="22" t="s">
        <v>94</v>
      </c>
      <c r="G3" s="22" t="s">
        <v>95</v>
      </c>
      <c r="H3" s="22" t="s">
        <v>96</v>
      </c>
      <c r="I3" s="22" t="s">
        <v>97</v>
      </c>
      <c r="J3" s="22" t="s">
        <v>66</v>
      </c>
    </row>
    <row r="4" spans="1:10" x14ac:dyDescent="0.25">
      <c r="A4" t="s">
        <v>98</v>
      </c>
      <c r="B4">
        <v>45000</v>
      </c>
      <c r="C4">
        <f>(B4*0.07)</f>
        <v>3150.0000000000005</v>
      </c>
      <c r="D4">
        <f>(B4*0.15)</f>
        <v>6750</v>
      </c>
      <c r="E4">
        <f>(B4*0.05)</f>
        <v>2250</v>
      </c>
      <c r="F4">
        <f>(B4*0.1)</f>
        <v>4500</v>
      </c>
      <c r="G4">
        <v>12500</v>
      </c>
      <c r="H4">
        <f>SUM(B4:E4)</f>
        <v>57150</v>
      </c>
      <c r="I4">
        <f>(H4-(G4+F4))</f>
        <v>40150</v>
      </c>
      <c r="J4" t="str">
        <f>IF(I4&gt;70000,"Senior Worker",IF(I4&gt;40000,"Intermidiate","JuniorWorker"))</f>
        <v>Intermidiate</v>
      </c>
    </row>
    <row r="5" spans="1:10" x14ac:dyDescent="0.25">
      <c r="A5" t="s">
        <v>99</v>
      </c>
      <c r="B5">
        <v>35000</v>
      </c>
      <c r="C5">
        <f t="shared" ref="C5:C12" si="0">(B5*0.07)</f>
        <v>2450.0000000000005</v>
      </c>
      <c r="D5">
        <f t="shared" ref="D5:D12" si="1">(B5*0.15)</f>
        <v>5250</v>
      </c>
      <c r="E5">
        <f t="shared" ref="E5:E12" si="2">(B5*0.05)</f>
        <v>1750</v>
      </c>
      <c r="F5">
        <f t="shared" ref="F5:F12" si="3">(B5*0.1)</f>
        <v>3500</v>
      </c>
      <c r="G5">
        <v>7500</v>
      </c>
      <c r="H5">
        <f t="shared" ref="H5:H12" si="4">SUM(B5:E5)</f>
        <v>44450</v>
      </c>
      <c r="I5">
        <f t="shared" ref="I5:I12" si="5">(H5-(G5+F5))</f>
        <v>33450</v>
      </c>
      <c r="J5" t="str">
        <f t="shared" ref="J5:J12" si="6">IF(I5&gt;70000,"Senior Worker",IF(I5&gt;40000,"Intermidiate","JuniorWorker"))</f>
        <v>JuniorWorker</v>
      </c>
    </row>
    <row r="6" spans="1:10" x14ac:dyDescent="0.25">
      <c r="A6" t="s">
        <v>100</v>
      </c>
      <c r="B6">
        <v>45000</v>
      </c>
      <c r="C6">
        <f t="shared" si="0"/>
        <v>3150.0000000000005</v>
      </c>
      <c r="D6">
        <f t="shared" si="1"/>
        <v>6750</v>
      </c>
      <c r="E6">
        <f t="shared" si="2"/>
        <v>2250</v>
      </c>
      <c r="F6">
        <f t="shared" si="3"/>
        <v>4500</v>
      </c>
      <c r="G6">
        <v>8000</v>
      </c>
      <c r="H6">
        <f t="shared" si="4"/>
        <v>57150</v>
      </c>
      <c r="I6">
        <f t="shared" si="5"/>
        <v>44650</v>
      </c>
      <c r="J6" t="str">
        <f t="shared" si="6"/>
        <v>Intermidiate</v>
      </c>
    </row>
    <row r="7" spans="1:10" x14ac:dyDescent="0.25">
      <c r="A7" t="s">
        <v>101</v>
      </c>
      <c r="B7">
        <v>10000</v>
      </c>
      <c r="C7">
        <f t="shared" si="0"/>
        <v>700.00000000000011</v>
      </c>
      <c r="D7">
        <f t="shared" si="1"/>
        <v>1500</v>
      </c>
      <c r="E7">
        <f t="shared" si="2"/>
        <v>500</v>
      </c>
      <c r="F7">
        <f t="shared" si="3"/>
        <v>1000</v>
      </c>
      <c r="G7">
        <v>2500</v>
      </c>
      <c r="H7">
        <f t="shared" si="4"/>
        <v>12700</v>
      </c>
      <c r="I7">
        <f t="shared" si="5"/>
        <v>9200</v>
      </c>
      <c r="J7" t="str">
        <f t="shared" si="6"/>
        <v>JuniorWorker</v>
      </c>
    </row>
    <row r="8" spans="1:10" x14ac:dyDescent="0.25">
      <c r="A8" t="s">
        <v>102</v>
      </c>
      <c r="B8">
        <v>100000</v>
      </c>
      <c r="C8">
        <f t="shared" si="0"/>
        <v>7000.0000000000009</v>
      </c>
      <c r="D8">
        <f t="shared" si="1"/>
        <v>15000</v>
      </c>
      <c r="E8">
        <f t="shared" si="2"/>
        <v>5000</v>
      </c>
      <c r="F8">
        <f t="shared" si="3"/>
        <v>10000</v>
      </c>
      <c r="G8">
        <v>15000</v>
      </c>
      <c r="H8">
        <f t="shared" si="4"/>
        <v>127000</v>
      </c>
      <c r="I8">
        <f t="shared" si="5"/>
        <v>102000</v>
      </c>
      <c r="J8" t="str">
        <f t="shared" si="6"/>
        <v>Senior Worker</v>
      </c>
    </row>
    <row r="9" spans="1:10" x14ac:dyDescent="0.25">
      <c r="A9" t="s">
        <v>103</v>
      </c>
      <c r="B9">
        <v>60000</v>
      </c>
      <c r="C9">
        <f t="shared" si="0"/>
        <v>4200</v>
      </c>
      <c r="D9">
        <f t="shared" si="1"/>
        <v>9000</v>
      </c>
      <c r="E9">
        <f t="shared" si="2"/>
        <v>3000</v>
      </c>
      <c r="F9">
        <f t="shared" si="3"/>
        <v>6000</v>
      </c>
      <c r="G9">
        <v>12500</v>
      </c>
      <c r="H9">
        <f t="shared" si="4"/>
        <v>76200</v>
      </c>
      <c r="I9">
        <f t="shared" si="5"/>
        <v>57700</v>
      </c>
      <c r="J9" t="str">
        <f t="shared" si="6"/>
        <v>Intermidiate</v>
      </c>
    </row>
    <row r="10" spans="1:10" x14ac:dyDescent="0.25">
      <c r="A10" t="s">
        <v>29</v>
      </c>
      <c r="B10">
        <v>45000</v>
      </c>
      <c r="C10">
        <f t="shared" si="0"/>
        <v>3150.0000000000005</v>
      </c>
      <c r="D10">
        <f t="shared" si="1"/>
        <v>6750</v>
      </c>
      <c r="E10">
        <f t="shared" si="2"/>
        <v>2250</v>
      </c>
      <c r="F10">
        <f t="shared" si="3"/>
        <v>4500</v>
      </c>
      <c r="G10">
        <v>8000</v>
      </c>
      <c r="H10">
        <f t="shared" si="4"/>
        <v>57150</v>
      </c>
      <c r="I10">
        <f t="shared" si="5"/>
        <v>44650</v>
      </c>
      <c r="J10" t="str">
        <f t="shared" si="6"/>
        <v>Intermidiate</v>
      </c>
    </row>
    <row r="11" spans="1:10" x14ac:dyDescent="0.25">
      <c r="A11" t="s">
        <v>104</v>
      </c>
      <c r="B11">
        <v>35000</v>
      </c>
      <c r="C11">
        <f t="shared" si="0"/>
        <v>2450.0000000000005</v>
      </c>
      <c r="D11">
        <f t="shared" si="1"/>
        <v>5250</v>
      </c>
      <c r="E11">
        <f t="shared" si="2"/>
        <v>1750</v>
      </c>
      <c r="F11">
        <f t="shared" si="3"/>
        <v>3500</v>
      </c>
      <c r="G11">
        <v>5500</v>
      </c>
      <c r="H11">
        <f t="shared" si="4"/>
        <v>44450</v>
      </c>
      <c r="I11">
        <f t="shared" si="5"/>
        <v>35450</v>
      </c>
      <c r="J11" t="str">
        <f t="shared" si="6"/>
        <v>JuniorWorker</v>
      </c>
    </row>
    <row r="12" spans="1:10" x14ac:dyDescent="0.25">
      <c r="A12" t="s">
        <v>105</v>
      </c>
      <c r="B12">
        <v>45000</v>
      </c>
      <c r="C12">
        <f t="shared" si="0"/>
        <v>3150.0000000000005</v>
      </c>
      <c r="D12">
        <f t="shared" si="1"/>
        <v>6750</v>
      </c>
      <c r="E12">
        <f t="shared" si="2"/>
        <v>2250</v>
      </c>
      <c r="F12">
        <f t="shared" si="3"/>
        <v>4500</v>
      </c>
      <c r="G12">
        <v>6250</v>
      </c>
      <c r="H12">
        <f t="shared" si="4"/>
        <v>57150</v>
      </c>
      <c r="I12">
        <f t="shared" si="5"/>
        <v>46400</v>
      </c>
      <c r="J12" t="str">
        <f t="shared" si="6"/>
        <v>Intermidiate</v>
      </c>
    </row>
    <row r="31" spans="3:5" ht="15.75" thickBot="1" x14ac:dyDescent="0.3"/>
    <row r="32" spans="3:5" x14ac:dyDescent="0.25">
      <c r="C32" s="23" t="s">
        <v>106</v>
      </c>
      <c r="D32" s="24" t="s">
        <v>2</v>
      </c>
      <c r="E32" s="25" t="s">
        <v>107</v>
      </c>
    </row>
    <row r="33" spans="3:5" x14ac:dyDescent="0.25">
      <c r="C33" s="26" t="s">
        <v>108</v>
      </c>
      <c r="D33" s="27">
        <v>30</v>
      </c>
      <c r="E33" s="28" t="str">
        <f>IF(D33&gt;=18,"Adult",IF(D33&gt;=13,"Teen","Child"))</f>
        <v>Adult</v>
      </c>
    </row>
    <row r="34" spans="3:5" x14ac:dyDescent="0.25">
      <c r="C34" s="26" t="s">
        <v>109</v>
      </c>
      <c r="D34" s="27">
        <v>10</v>
      </c>
      <c r="E34" s="28" t="str">
        <f t="shared" ref="E34:E37" si="7">IF(D34&gt;=18,"Adult",IF(D34&gt;=13,"Teen","Child"))</f>
        <v>Child</v>
      </c>
    </row>
    <row r="35" spans="3:5" x14ac:dyDescent="0.25">
      <c r="C35" s="26" t="s">
        <v>110</v>
      </c>
      <c r="D35" s="27">
        <v>18</v>
      </c>
      <c r="E35" s="28" t="str">
        <f t="shared" si="7"/>
        <v>Adult</v>
      </c>
    </row>
    <row r="36" spans="3:5" x14ac:dyDescent="0.25">
      <c r="C36" s="26" t="s">
        <v>111</v>
      </c>
      <c r="D36" s="27">
        <v>25</v>
      </c>
      <c r="E36" s="28" t="str">
        <f t="shared" si="7"/>
        <v>Adult</v>
      </c>
    </row>
    <row r="37" spans="3:5" ht="15.75" thickBot="1" x14ac:dyDescent="0.3">
      <c r="C37" s="29" t="s">
        <v>112</v>
      </c>
      <c r="D37" s="30">
        <v>15</v>
      </c>
      <c r="E37" s="31" t="str">
        <f t="shared" si="7"/>
        <v>Teen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15" sqref="M15"/>
    </sheetView>
  </sheetViews>
  <sheetFormatPr defaultRowHeight="15" x14ac:dyDescent="0.25"/>
  <cols>
    <col min="8" max="8" width="16.85546875" customWidth="1"/>
    <col min="9" max="9" width="14.5703125" customWidth="1"/>
    <col min="10" max="10" width="14.7109375" customWidth="1"/>
    <col min="11" max="11" width="16.140625" customWidth="1"/>
    <col min="13" max="14" width="14" customWidth="1"/>
    <col min="15" max="15" width="16.42578125" customWidth="1"/>
    <col min="16" max="16" width="15.140625" customWidth="1"/>
  </cols>
  <sheetData>
    <row r="1" spans="1:16" x14ac:dyDescent="0.25">
      <c r="A1" s="125" t="s">
        <v>133</v>
      </c>
      <c r="B1" s="125"/>
      <c r="C1" s="125"/>
      <c r="D1" s="125"/>
      <c r="E1" s="125"/>
      <c r="F1" s="125"/>
      <c r="G1" s="125"/>
    </row>
    <row r="2" spans="1:16" x14ac:dyDescent="0.25">
      <c r="A2" s="3" t="s">
        <v>132</v>
      </c>
      <c r="B2" s="3" t="s">
        <v>134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156</v>
      </c>
      <c r="I2" s="3" t="s">
        <v>153</v>
      </c>
      <c r="J2" s="3" t="s">
        <v>154</v>
      </c>
      <c r="K2" s="3" t="s">
        <v>155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 s="3">
        <f>SUM(A3:G3)</f>
        <v>130</v>
      </c>
      <c r="I3" s="3">
        <f>MIN(A3:G3)</f>
        <v>0</v>
      </c>
      <c r="J3" s="3">
        <f>MAX(A3:G3)</f>
        <v>50</v>
      </c>
      <c r="K3" s="33">
        <f>AVERAGE(A3:G3)</f>
        <v>18.571428571428573</v>
      </c>
    </row>
    <row r="11" spans="1:16" x14ac:dyDescent="0.25">
      <c r="A11" s="125" t="s">
        <v>152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6" x14ac:dyDescent="0.25">
      <c r="A12" s="3" t="s">
        <v>140</v>
      </c>
      <c r="B12" s="3" t="s">
        <v>141</v>
      </c>
      <c r="C12" s="3" t="s">
        <v>142</v>
      </c>
      <c r="D12" s="3" t="s">
        <v>143</v>
      </c>
      <c r="E12" s="3" t="s">
        <v>144</v>
      </c>
      <c r="F12" s="3" t="s">
        <v>145</v>
      </c>
      <c r="G12" s="3" t="s">
        <v>146</v>
      </c>
      <c r="H12" s="3" t="s">
        <v>147</v>
      </c>
      <c r="I12" s="3" t="s">
        <v>148</v>
      </c>
      <c r="J12" s="3" t="s">
        <v>149</v>
      </c>
      <c r="K12" s="3" t="s">
        <v>150</v>
      </c>
      <c r="L12" s="3" t="s">
        <v>151</v>
      </c>
      <c r="M12" s="3" t="s">
        <v>156</v>
      </c>
      <c r="N12" s="3" t="s">
        <v>153</v>
      </c>
      <c r="O12" s="3" t="s">
        <v>154</v>
      </c>
      <c r="P12" s="3" t="s">
        <v>155</v>
      </c>
    </row>
    <row r="13" spans="1:16" x14ac:dyDescent="0.25">
      <c r="A13">
        <v>30</v>
      </c>
      <c r="B13">
        <v>25</v>
      </c>
      <c r="C13">
        <v>55</v>
      </c>
      <c r="D13">
        <v>100</v>
      </c>
      <c r="E13">
        <v>60</v>
      </c>
      <c r="F13">
        <v>40</v>
      </c>
      <c r="G13">
        <v>35</v>
      </c>
      <c r="H13">
        <v>60</v>
      </c>
      <c r="I13">
        <v>35</v>
      </c>
      <c r="J13">
        <v>25</v>
      </c>
      <c r="K13">
        <v>20</v>
      </c>
      <c r="L13">
        <v>10</v>
      </c>
      <c r="M13" s="3">
        <f>SUM(A13:L13)</f>
        <v>495</v>
      </c>
      <c r="N13" s="3">
        <f>MIN(A13:L13)</f>
        <v>10</v>
      </c>
      <c r="O13" s="3">
        <f>MAX(A13:L13)</f>
        <v>100</v>
      </c>
      <c r="P13" s="33">
        <f>AVERAGE(A13:L13)</f>
        <v>41.25</v>
      </c>
    </row>
  </sheetData>
  <mergeCells count="2">
    <mergeCell ref="A1:G1"/>
    <mergeCell ref="A11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Basic</vt:lpstr>
      <vt:lpstr>Classwork 1</vt:lpstr>
      <vt:lpstr>Sheet3</vt:lpstr>
      <vt:lpstr>Classwork 2</vt:lpstr>
      <vt:lpstr>DANGOTE INDUSTRIES</vt:lpstr>
      <vt:lpstr>PRIMETIME ACADEMY</vt:lpstr>
      <vt:lpstr>SETRACO NIGERIA LIMITED</vt:lpstr>
      <vt:lpstr>CHARTS OF KING CITY</vt:lpstr>
      <vt:lpstr>KING CITY</vt:lpstr>
      <vt:lpstr>AUDIT 1</vt:lpstr>
      <vt:lpstr>Weather</vt:lpstr>
      <vt:lpstr>CHARTS OF WEATHER</vt:lpstr>
      <vt:lpstr>Salary Details (Reviwed Copy)</vt:lpstr>
      <vt:lpstr>Projections</vt:lpstr>
      <vt:lpstr>Classwork 3, SUMIF</vt:lpstr>
      <vt:lpstr>Classwork 4, COUNTIF</vt:lpstr>
      <vt:lpstr>Income and Expenditure</vt:lpstr>
      <vt:lpstr>OSCAR</vt:lpstr>
      <vt:lpstr>NTU</vt:lpstr>
      <vt:lpstr>Grades</vt:lpstr>
      <vt:lpstr>Overtime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User's PC</cp:lastModifiedBy>
  <dcterms:created xsi:type="dcterms:W3CDTF">2024-10-14T08:27:25Z</dcterms:created>
  <dcterms:modified xsi:type="dcterms:W3CDTF">2024-11-26T09:21:49Z</dcterms:modified>
</cp:coreProperties>
</file>