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Nicholas Mitchell\Documents\Cubesat\Github documents\CubeSat\Space Segment\OBC\OBC -- Capstone2019\Comms Interface\Ax25 Protocol\"/>
    </mc:Choice>
  </mc:AlternateContent>
  <xr:revisionPtr revIDLastSave="0" documentId="13_ncr:1_{44F0646B-B757-42EB-82CE-FE5FD369947A}" xr6:coauthVersionLast="45" xr6:coauthVersionMax="45" xr10:uidLastSave="{00000000-0000-0000-0000-000000000000}"/>
  <bookViews>
    <workbookView xWindow="1068" yWindow="-108" windowWidth="22080" windowHeight="13176" tabRatio="850" firstSheet="1" activeTab="10" xr2:uid="{293003C9-1163-4E50-8A98-C049B95988DD}"/>
  </bookViews>
  <sheets>
    <sheet name="Inputs" sheetId="1" r:id="rId1"/>
    <sheet name="Orbit" sheetId="24" r:id="rId2"/>
    <sheet name="Ground Station Hardware" sheetId="29" r:id="rId3"/>
    <sheet name="Transmitters" sheetId="4" r:id="rId4"/>
    <sheet name="Antennas" sheetId="28" r:id="rId5"/>
    <sheet name="Receivers" sheetId="5" r:id="rId6"/>
    <sheet name="Modulation" sheetId="8" r:id="rId7"/>
    <sheet name="Losses" sheetId="23" r:id="rId8"/>
    <sheet name="Uplink Budget" sheetId="19" r:id="rId9"/>
    <sheet name="Downlink Budget" sheetId="20" r:id="rId10"/>
    <sheet name="AX.25 Protocol Information" sheetId="30" r:id="rId11"/>
    <sheet name="Backend Data" sheetId="13" r:id="rId12"/>
  </sheets>
  <externalReferences>
    <externalReference r:id="rId13"/>
  </externalReferences>
  <definedNames>
    <definedName name="Downlink">'Backend Data'!$N$47:$X$52</definedName>
    <definedName name="Uplink">'Backend Data'!$N$40:$X$45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9" i="19" l="1"/>
  <c r="E39" i="19"/>
  <c r="E6" i="19"/>
  <c r="V81" i="5"/>
  <c r="T68" i="5"/>
  <c r="Y65" i="5"/>
  <c r="T66" i="5"/>
  <c r="V38" i="5"/>
  <c r="V42" i="5"/>
  <c r="V36" i="5"/>
  <c r="E25" i="20"/>
  <c r="E23" i="20"/>
  <c r="E22" i="20"/>
  <c r="E47" i="19"/>
  <c r="E44" i="20"/>
  <c r="X15" i="8"/>
  <c r="E43" i="19" s="1"/>
  <c r="X16" i="8"/>
  <c r="E40" i="20" s="1"/>
  <c r="X52" i="13"/>
  <c r="N52" i="13"/>
  <c r="X51" i="13"/>
  <c r="N51" i="13"/>
  <c r="N50" i="13"/>
  <c r="N49" i="13"/>
  <c r="X44" i="13"/>
  <c r="X45" i="13"/>
  <c r="N45" i="13"/>
  <c r="E39" i="20"/>
  <c r="E36" i="20"/>
  <c r="E10" i="20"/>
  <c r="N44" i="13"/>
  <c r="N43" i="13"/>
  <c r="N42" i="13"/>
  <c r="E27" i="20" l="1"/>
  <c r="W33" i="28" l="1"/>
  <c r="T16" i="4"/>
  <c r="E27" i="19"/>
  <c r="B10" i="30"/>
  <c r="B15" i="30" s="1"/>
  <c r="B7" i="30"/>
  <c r="B11" i="30"/>
  <c r="B14" i="30" s="1"/>
  <c r="B16" i="30"/>
  <c r="B18" i="30" s="1"/>
  <c r="B13" i="30" l="1"/>
  <c r="B19" i="30" s="1"/>
  <c r="B20" i="30" s="1"/>
  <c r="B21" i="30" s="1"/>
  <c r="B12" i="30"/>
  <c r="Y20" i="4" l="1"/>
  <c r="T21" i="4"/>
  <c r="V31" i="4" s="1"/>
  <c r="V40" i="5" l="1"/>
  <c r="E42" i="19"/>
  <c r="E13" i="19"/>
  <c r="E21" i="19" l="1"/>
  <c r="Y36" i="23" l="1"/>
  <c r="Y38" i="23"/>
  <c r="Y81" i="23"/>
  <c r="E13" i="20"/>
  <c r="W9" i="23"/>
  <c r="T32" i="24"/>
  <c r="V26" i="1" l="1"/>
  <c r="T54" i="4"/>
  <c r="Y53" i="4"/>
  <c r="T50" i="4"/>
  <c r="W32" i="28"/>
  <c r="T8" i="28"/>
  <c r="T17" i="28"/>
  <c r="W39" i="28"/>
  <c r="D33" i="13"/>
  <c r="C73" i="13" l="1"/>
  <c r="D73" i="13"/>
  <c r="V32" i="5"/>
  <c r="V35" i="5"/>
  <c r="V77" i="5"/>
  <c r="V80" i="5" s="1"/>
  <c r="V87" i="5" s="1"/>
  <c r="V85" i="5"/>
  <c r="T31" i="28"/>
  <c r="T27" i="24"/>
  <c r="V27" i="24" s="1"/>
  <c r="T28" i="24"/>
  <c r="V28" i="24" s="1"/>
  <c r="T31" i="24"/>
  <c r="T33" i="24" s="1"/>
  <c r="T35" i="24" s="1"/>
  <c r="T30" i="24"/>
  <c r="E35" i="19"/>
  <c r="E34" i="19"/>
  <c r="E40" i="19"/>
  <c r="D51" i="20"/>
  <c r="D50" i="20"/>
  <c r="E37" i="20"/>
  <c r="E21" i="20"/>
  <c r="E22" i="19"/>
  <c r="E10" i="19"/>
  <c r="D37" i="13"/>
  <c r="E30" i="20" s="1"/>
  <c r="D30" i="13"/>
  <c r="T38" i="28"/>
  <c r="W40" i="28"/>
  <c r="W31" i="28"/>
  <c r="E31" i="20"/>
  <c r="E32" i="20"/>
  <c r="E33" i="19"/>
  <c r="T49" i="4"/>
  <c r="E17" i="19"/>
  <c r="D40" i="13"/>
  <c r="D39" i="13"/>
  <c r="D38" i="13"/>
  <c r="D32" i="13"/>
  <c r="D31" i="13"/>
  <c r="E6" i="20"/>
  <c r="E7" i="20"/>
  <c r="E8" i="20"/>
  <c r="E17" i="20"/>
  <c r="V64" i="4"/>
  <c r="E9" i="20" s="1"/>
  <c r="R26" i="1"/>
  <c r="Y23" i="5"/>
  <c r="T17" i="4"/>
  <c r="E8" i="19" s="1"/>
  <c r="E23" i="19"/>
  <c r="E33" i="20" l="1"/>
  <c r="E34" i="20" s="1"/>
  <c r="G85" i="13"/>
  <c r="H85" i="13" s="1"/>
  <c r="G83" i="13"/>
  <c r="H83" i="13" s="1"/>
  <c r="G82" i="13"/>
  <c r="H82" i="13" s="1"/>
  <c r="G81" i="13"/>
  <c r="H81" i="13" s="1"/>
  <c r="G80" i="13"/>
  <c r="H80" i="13" s="1"/>
  <c r="G79" i="13"/>
  <c r="H79" i="13" s="1"/>
  <c r="G84" i="13"/>
  <c r="H84" i="13" s="1"/>
  <c r="G78" i="13"/>
  <c r="H78" i="13" s="1"/>
  <c r="D41" i="13"/>
  <c r="U103" i="23" s="1"/>
  <c r="V32" i="4"/>
  <c r="E7" i="19"/>
  <c r="E11" i="19" s="1"/>
  <c r="T9" i="28"/>
  <c r="T32" i="28"/>
  <c r="T18" i="28"/>
  <c r="T39" i="28"/>
  <c r="E36" i="19" s="1"/>
  <c r="E37" i="19" s="1"/>
  <c r="T36" i="24"/>
  <c r="E15" i="20" s="1"/>
  <c r="D34" i="13"/>
  <c r="U60" i="23" s="1"/>
  <c r="V65" i="4"/>
  <c r="E11" i="20"/>
  <c r="E15" i="19"/>
  <c r="G77" i="13"/>
  <c r="H77" i="13" s="1"/>
  <c r="G76" i="13"/>
  <c r="H76" i="13" s="1"/>
  <c r="G75" i="13"/>
  <c r="H75" i="13" s="1"/>
  <c r="G74" i="13"/>
  <c r="W10" i="23" s="1"/>
  <c r="G73" i="13"/>
  <c r="H73" i="13" s="1"/>
  <c r="E30" i="19" l="1"/>
  <c r="E16" i="19"/>
  <c r="E16" i="20"/>
  <c r="U100" i="23"/>
  <c r="U104" i="23" s="1"/>
  <c r="E24" i="19"/>
  <c r="E25" i="19" s="1"/>
  <c r="U57" i="23"/>
  <c r="E14" i="19" s="1"/>
  <c r="E19" i="19" s="1"/>
  <c r="E38" i="19" s="1"/>
  <c r="E41" i="19" s="1"/>
  <c r="H74" i="13"/>
  <c r="E14" i="20" l="1"/>
  <c r="E24" i="20" s="1"/>
  <c r="E26" i="20" s="1"/>
  <c r="E28" i="20" s="1"/>
  <c r="E28" i="19"/>
  <c r="U61" i="23"/>
  <c r="E44" i="19"/>
  <c r="E26" i="19"/>
  <c r="E19" i="20" l="1"/>
  <c r="E35" i="20" s="1"/>
  <c r="E38" i="20" s="1"/>
  <c r="E41" i="20" s="1"/>
  <c r="E46" i="20" s="1"/>
  <c r="E29" i="19"/>
  <c r="G44" i="19"/>
  <c r="E46" i="19"/>
  <c r="G28" i="20"/>
  <c r="E43" i="20"/>
  <c r="E31" i="19" l="1"/>
  <c r="G31" i="19" s="1"/>
  <c r="E45" i="20"/>
  <c r="E47" i="20" s="1"/>
  <c r="E48" i="20" s="1"/>
  <c r="G41" i="20"/>
  <c r="E53" i="20" l="1"/>
  <c r="E49" i="20"/>
  <c r="E50" i="20"/>
  <c r="E52" i="20"/>
  <c r="E51"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W26" authorId="0" shapeId="0" xr:uid="{5A476792-FCE6-40FB-860C-2A9EA7E3E9F4}">
      <text>
        <r>
          <rPr>
            <b/>
            <sz val="9"/>
            <color indexed="81"/>
            <rFont val="Tahoma"/>
            <family val="2"/>
          </rPr>
          <t>Nicholas Mitchell:</t>
        </r>
        <r>
          <rPr>
            <sz val="9"/>
            <color indexed="81"/>
            <rFont val="Tahoma"/>
            <family val="2"/>
          </rPr>
          <t xml:space="preserve">
at 15 fps of imaging
</t>
        </r>
      </text>
    </comment>
    <comment ref="W31" authorId="0" shapeId="0" xr:uid="{126DC7EB-ACBC-437C-8FE3-4B568D4005AC}">
      <text>
        <r>
          <rPr>
            <b/>
            <sz val="9"/>
            <color indexed="81"/>
            <rFont val="Tahoma"/>
            <charset val="1"/>
          </rPr>
          <t xml:space="preserve">Nicholas Mitchell
</t>
        </r>
        <r>
          <rPr>
            <sz val="9"/>
            <color indexed="81"/>
            <rFont val="Tahoma"/>
            <family val="2"/>
          </rPr>
          <t xml:space="preserve">Example bandwidth given by endurosat for the transceiver (roughly needed for GFSK modulation 9.6Kbps data rate)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U32" authorId="0" shapeId="0" xr:uid="{5A4E32C0-B1D0-4D86-9C76-69D248464DCB}">
      <text>
        <r>
          <rPr>
            <b/>
            <sz val="9"/>
            <color indexed="81"/>
            <rFont val="Tahoma"/>
            <charset val="1"/>
          </rPr>
          <t>Nicholas Mitchell:</t>
        </r>
        <r>
          <rPr>
            <sz val="9"/>
            <color indexed="81"/>
            <rFont val="Tahoma"/>
            <charset val="1"/>
          </rPr>
          <t xml:space="preserve">
Will affect atmospheric attenuation as shown in backend data 
</t>
        </r>
      </text>
    </comment>
    <comment ref="U35" authorId="0" shapeId="0" xr:uid="{34B94533-9DC7-438F-8A6A-288279C95725}">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Nicholas Mitchell</author>
    <author>tc={06644EBF-E1F5-4BA4-B358-009E60BCA4F6}</author>
    <author>tc={F2B92AC7-23F1-4387-995C-6A111280BE6B}</author>
    <author>tc={AA3BDE40-712E-49FC-854A-2623EE77DDFE}</author>
  </authors>
  <commentList>
    <comment ref="U15" authorId="0" shapeId="0" xr:uid="{8519C641-C8BB-4D93-8092-FF024D277CCC}">
      <text>
        <r>
          <rPr>
            <b/>
            <sz val="9"/>
            <color indexed="81"/>
            <rFont val="Tahoma"/>
            <charset val="1"/>
          </rPr>
          <t>Nicholas Mitchell:</t>
        </r>
        <r>
          <rPr>
            <sz val="9"/>
            <color indexed="81"/>
            <rFont val="Tahoma"/>
            <charset val="1"/>
          </rPr>
          <t xml:space="preserve">
Initial guess at what might kind of power might be transmitted
</t>
        </r>
      </text>
    </comment>
    <comment ref="T20" authorId="1" shapeId="0" xr:uid="{06644EBF-E1F5-4BA4-B358-009E60BCA4F6}">
      <text>
        <r>
          <rPr>
            <sz val="11"/>
            <color theme="1"/>
            <rFont val="Calibri"/>
            <family val="2"/>
            <scheme val="minor"/>
          </rPr>
          <t xml:space="preserve">LM-400 has 8.9dB of loss per 100m  at 450 MHz. 
LM-400 has a 2.7dB loss per 30.5m at 450MHz. 
Assuming linear loss of dB from 100m to 30.5m with a 0 attenuation loss at 0m you can calculate a slope of 0.0891dB/m
(8.9-2.7dB)/(100-30.5m) = 0.08918dB/m
0.089dB/m *100m = 8.9dB 
0.089dB/m*30.5m = 2.7dB 
</t>
        </r>
      </text>
    </comment>
    <comment ref="Y50" authorId="0" shapeId="0" xr:uid="{9814FF33-AC8F-4CD8-823F-8F90CE8BA65C}">
      <text>
        <r>
          <rPr>
            <b/>
            <sz val="9"/>
            <color indexed="81"/>
            <rFont val="Tahoma"/>
            <family val="2"/>
          </rPr>
          <t>Nicholas Mitchell:</t>
        </r>
        <r>
          <rPr>
            <sz val="9"/>
            <color indexed="81"/>
            <rFont val="Tahoma"/>
            <family val="2"/>
          </rPr>
          <t xml:space="preserve">
Assuming that the cable length is 10 cm right now
</t>
        </r>
      </text>
    </comment>
    <comment ref="T53" authorId="2" shapeId="0" xr:uid="{F2B92AC7-23F1-4387-995C-6A111280BE6B}">
      <text>
        <r>
          <rPr>
            <sz val="11"/>
            <color theme="1"/>
            <rFont val="Calibri"/>
            <family val="2"/>
            <scheme val="minor"/>
          </rPr>
          <t xml:space="preserve">Comment:
    This is specific to the type of cable used &amp; frequency.
   Initial guess made by Nick Mitchell assuming 0.1 dB/m loss 
</t>
        </r>
      </text>
    </comment>
    <comment ref="T54" authorId="0" shapeId="0" xr:uid="{2D1708A3-C0C0-4D45-9EE6-59F63DC9ADAD}">
      <text>
        <r>
          <rPr>
            <b/>
            <sz val="9"/>
            <color indexed="81"/>
            <rFont val="Tahoma"/>
            <family val="2"/>
          </rPr>
          <t>Nicholas Mitchell:</t>
        </r>
        <r>
          <rPr>
            <sz val="9"/>
            <color indexed="81"/>
            <rFont val="Tahoma"/>
            <family val="2"/>
          </rPr>
          <t xml:space="preserve">
Space rated SMA connectors (coax cables)
https://www.radiall.com/products/space-qualified-components/space-coaxial-flexible-cable-assemblies.html
1) 2.91dB/m
2) 1.19dB/m
3) 0.68dB/m
Price will increase with better signal propagation</t>
        </r>
      </text>
    </comment>
    <comment ref="V58" authorId="3" shapeId="0" xr:uid="{AA3BDE40-712E-49FC-854A-2623EE77DDFE}">
      <text>
        <r>
          <rPr>
            <sz val="11"/>
            <color theme="1"/>
            <rFont val="Calibri"/>
            <family val="2"/>
            <scheme val="minor"/>
          </rPr>
          <t>Comment:
    Connectors  X  0.05 dB/Con.</t>
        </r>
      </text>
    </comment>
    <comment ref="V61" authorId="0" shapeId="0" xr:uid="{BDCC60D2-B062-4148-9463-C2862DF3EFED}">
      <text>
        <r>
          <rPr>
            <b/>
            <sz val="9"/>
            <color indexed="81"/>
            <rFont val="Tahoma"/>
            <family val="2"/>
          </rPr>
          <t>Nicholas Mitchell:</t>
        </r>
        <r>
          <rPr>
            <sz val="9"/>
            <color indexed="81"/>
            <rFont val="Tahoma"/>
            <family val="2"/>
          </rPr>
          <t xml:space="preserve">
Maximum VSWR = 1.3
equivalent of missmatch of : 0.075 dB
Equivalent of return loss of 17.69dB 
https://www.allaboutcircuits.com/tools/vswr-return-loss-calculator/
for more info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Nicholas Mitchell</author>
    <author>tc={21EDF527-C63E-46CC-A8A9-D78C05713C6B}</author>
  </authors>
  <commentList>
    <comment ref="X12" authorId="0" shapeId="0" xr:uid="{95A818A2-8E99-4407-A88D-2876B7326965}">
      <text>
        <r>
          <rPr>
            <b/>
            <sz val="9"/>
            <color indexed="81"/>
            <rFont val="Tahoma"/>
            <charset val="1"/>
          </rPr>
          <t>Nicholas Mitchell:</t>
        </r>
        <r>
          <rPr>
            <sz val="9"/>
            <color indexed="81"/>
            <rFont val="Tahoma"/>
            <charset val="1"/>
          </rPr>
          <t xml:space="preserve">
Taken from proposed antenna data sheet:
https://www.m2inc.com/FG436CP16</t>
        </r>
      </text>
    </comment>
    <comment ref="W21" authorId="1" shapeId="0" xr:uid="{21EDF527-C63E-46CC-A8A9-D78C05713C6B}">
      <text>
        <r>
          <rPr>
            <sz val="11"/>
            <color theme="1"/>
            <rFont val="Calibri"/>
            <family val="2"/>
            <scheme val="minor"/>
          </rPr>
          <t>Current guess when operating at 435 MHz
GOMSpace 435 Mhz antenna
https://gomspace.com/shop/subsystems/communication-(1)/nanocom-ant430.aspx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tc={29AB711D-40D4-4098-8F56-32EE5AC3499F}</author>
    <author>tc={924103A3-1E75-49C6-B4D0-265F67831FD1}</author>
    <author>Nicholas Mitchell</author>
    <author>tc={F906572A-7D01-46E1-80EA-B3029D468BD7}</author>
    <author>tc={7D00511A-C340-4AD3-B022-F83C2CEE5FF7}</author>
    <author>tc={A82AE0B7-9255-42F5-9759-AED98780337C}</author>
    <author>tc={B8E7810C-BCD1-4F12-9843-D9716682542E}</author>
    <author>tc={A60F4093-4EFA-4A99-AFC8-5694D46BE29F}</author>
  </authors>
  <commentList>
    <comment ref="T20" authorId="0" shapeId="0" xr:uid="{29AB711D-40D4-4098-8F56-32EE5AC3499F}">
      <text>
        <r>
          <rPr>
            <sz val="11"/>
            <color theme="1"/>
            <rFont val="Calibri"/>
            <family val="2"/>
            <scheme val="minor"/>
          </rPr>
          <t xml:space="preserve">Comment:
    This is specific to the type of cable used &amp; frequency, initial guess given
</t>
        </r>
      </text>
    </comment>
    <comment ref="V27" authorId="1" shapeId="0" xr:uid="{924103A3-1E75-49C6-B4D0-265F67831FD1}">
      <text>
        <r>
          <rPr>
            <sz val="11"/>
            <color theme="1"/>
            <rFont val="Calibri"/>
            <family val="2"/>
            <scheme val="minor"/>
          </rPr>
          <t xml:space="preserve">Comment:
   Safety margin of 0.2 connector loss
</t>
        </r>
      </text>
    </comment>
    <comment ref="V28" authorId="2" shapeId="0" xr:uid="{94CAA7DC-4943-4881-B95A-F53020F98BD2}">
      <text>
        <r>
          <rPr>
            <b/>
            <sz val="9"/>
            <color indexed="81"/>
            <rFont val="Tahoma"/>
            <family val="2"/>
          </rPr>
          <t>Nicholas Mitchell:</t>
        </r>
        <r>
          <rPr>
            <sz val="9"/>
            <color indexed="81"/>
            <rFont val="Tahoma"/>
            <family val="2"/>
          </rPr>
          <t xml:space="preserve">
Bandpass filter loss included in NF figure below
</t>
        </r>
      </text>
    </comment>
    <comment ref="V29" authorId="2" shapeId="0" xr:uid="{6CCBE535-DCEA-4241-93BD-D7DB82DC18D4}">
      <text>
        <r>
          <rPr>
            <b/>
            <sz val="9"/>
            <color indexed="81"/>
            <rFont val="Tahoma"/>
            <family val="2"/>
          </rPr>
          <t>Nicholas Mitchell:</t>
        </r>
        <r>
          <rPr>
            <sz val="9"/>
            <color indexed="81"/>
            <rFont val="Tahoma"/>
            <family val="2"/>
          </rPr>
          <t xml:space="preserve">
Endurosat unwilling to disclose </t>
        </r>
      </text>
    </comment>
    <comment ref="V36" authorId="3" shapeId="0" xr:uid="{F906572A-7D01-46E1-80EA-B3029D468BD7}">
      <text>
        <r>
          <rPr>
            <sz val="11"/>
            <color theme="1"/>
            <rFont val="Calibri"/>
            <family val="2"/>
            <scheme val="minor"/>
          </rPr>
          <t xml:space="preserve">Comment:
 Gain weighted average used here by recommendation of CSA as a rough estimate. 
Assumptions: 
-Earth takes up half the unit sphere, (300k)
-
</t>
        </r>
      </text>
    </comment>
    <comment ref="V37" authorId="4" shapeId="0" xr:uid="{7D00511A-C340-4AD3-B022-F83C2CEE5FF7}">
      <text>
        <r>
          <rPr>
            <sz val="11"/>
            <color theme="1"/>
            <rFont val="Calibri"/>
            <family val="2"/>
            <scheme val="minor"/>
          </rPr>
          <t>Comment:
    Value taken from ITU presentation
https://www.itu.int/en/ITU-R/space/workshops/2016-small-sat/Documents/Link_budget_uvigo.pdf</t>
        </r>
      </text>
    </comment>
    <comment ref="V38" authorId="5" shapeId="0" xr:uid="{A82AE0B7-9255-42F5-9759-AED98780337C}">
      <text>
        <r>
          <rPr>
            <sz val="11"/>
            <color theme="1"/>
            <rFont val="Calibri"/>
            <family val="2"/>
            <scheme val="minor"/>
          </rPr>
          <t xml:space="preserve">Comment:
    Noise figure of the LNA is 1.5 including filter losses
</t>
        </r>
      </text>
    </comment>
    <comment ref="V39" authorId="6" shapeId="0" xr:uid="{B8E7810C-BCD1-4F12-9843-D9716682542E}">
      <text>
        <r>
          <rPr>
            <sz val="11"/>
            <color theme="1"/>
            <rFont val="Calibri"/>
            <family val="2"/>
            <scheme val="minor"/>
          </rPr>
          <t>Comment:
    No clue where this information was obtained</t>
        </r>
      </text>
    </comment>
    <comment ref="Y65" authorId="2" shapeId="0" xr:uid="{45D01977-FE23-47C1-9693-6D67B242B53A}">
      <text>
        <r>
          <rPr>
            <b/>
            <sz val="9"/>
            <color indexed="81"/>
            <rFont val="Tahoma"/>
            <family val="2"/>
          </rPr>
          <t>Nicholas Mitchell:</t>
        </r>
        <r>
          <rPr>
            <sz val="9"/>
            <color indexed="81"/>
            <rFont val="Tahoma"/>
            <family val="2"/>
          </rPr>
          <t xml:space="preserve">
Initial guess at a worst case scenario
</t>
        </r>
      </text>
    </comment>
    <comment ref="T66" authorId="2" shapeId="0" xr:uid="{76D5BB2C-B5BB-4482-9E93-0B2523126F12}">
      <text>
        <r>
          <rPr>
            <b/>
            <sz val="9"/>
            <color indexed="81"/>
            <rFont val="Tahoma"/>
            <family val="2"/>
          </rPr>
          <t>Nicholas Mitchell:</t>
        </r>
        <r>
          <rPr>
            <sz val="9"/>
            <color indexed="81"/>
            <rFont val="Tahoma"/>
            <family val="2"/>
          </rPr>
          <t xml:space="preserve">
Same as transmitter on the ground 
</t>
        </r>
      </text>
    </comment>
    <comment ref="V72" authorId="7" shapeId="0" xr:uid="{A60F4093-4EFA-4A99-AFC8-5694D46BE29F}">
      <text>
        <r>
          <rPr>
            <sz val="11"/>
            <color theme="1"/>
            <rFont val="Calibri"/>
            <family val="2"/>
            <scheme val="minor"/>
          </rPr>
          <t xml:space="preserve">
Comment:
    Connectors  X  0.1 dB/Con, initial guess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tc={E2AFC99D-A20C-4E24-BF8D-7D9E7E86132E}</author>
    <author>Nicholas Mitchell</author>
    <author>tc={D6B0170A-2AB0-424C-AB7E-6F9ADB212ED2}</author>
  </authors>
  <commentList>
    <comment ref="Y10" authorId="0" shapeId="0" xr:uid="{E2AFC99D-A20C-4E24-BF8D-7D9E7E86132E}">
      <text>
        <r>
          <rPr>
            <sz val="11"/>
            <color theme="1"/>
            <rFont val="Calibri"/>
            <family val="2"/>
            <scheme val="minor"/>
          </rPr>
          <t xml:space="preserve">Rain attenuation will need to be looked at further in depth. </t>
        </r>
      </text>
    </comment>
    <comment ref="X16" authorId="1" shapeId="0" xr:uid="{0E1E6DBA-9F16-4BC1-AD87-2A8049A1B7B0}">
      <text>
        <r>
          <rPr>
            <b/>
            <sz val="9"/>
            <color indexed="81"/>
            <rFont val="Tahoma"/>
            <charset val="1"/>
          </rPr>
          <t>Nicholas Mitchell:</t>
        </r>
        <r>
          <rPr>
            <sz val="9"/>
            <color indexed="81"/>
            <rFont val="Tahoma"/>
            <charset val="1"/>
          </rPr>
          <t xml:space="preserve">
Ionospheric losses need to be looked at as well. Since we are operating in circular polarized type of transmission faraday rotation is insignificant. 
Ionospheric scintillation effects are more serious and can go up to 27dB </t>
        </r>
      </text>
    </comment>
    <comment ref="Z37" authorId="1" shapeId="0" xr:uid="{DBBC0C55-362F-426F-9203-1E11C7E01660}">
      <text>
        <r>
          <rPr>
            <b/>
            <sz val="9"/>
            <color indexed="81"/>
            <rFont val="Tahoma"/>
            <charset val="1"/>
          </rPr>
          <t>Nicholas Mitchell:</t>
        </r>
        <r>
          <rPr>
            <sz val="9"/>
            <color indexed="81"/>
            <rFont val="Tahoma"/>
            <charset val="1"/>
          </rPr>
          <t xml:space="preserve">
Less certain on this angle
</t>
        </r>
      </text>
    </comment>
    <comment ref="R54" authorId="2" shapeId="0" xr:uid="{D6B0170A-2AB0-424C-AB7E-6F9ADB212ED2}">
      <text>
        <r>
          <rPr>
            <sz val="11"/>
            <color theme="1"/>
            <rFont val="Calibri"/>
            <family val="2"/>
            <scheme val="minor"/>
          </rPr>
          <t xml:space="preserve">Information from: https://www.mtiwe.com/?CategoryID=353&amp;ArticleID=163
initial guess at the axial ratios of the antenna </t>
        </r>
      </text>
    </comment>
    <comment ref="Z79" authorId="1" shapeId="0" xr:uid="{A23566E2-58D3-436D-8B74-220699045D82}">
      <text>
        <r>
          <rPr>
            <b/>
            <sz val="9"/>
            <color indexed="81"/>
            <rFont val="Tahoma"/>
            <family val="2"/>
          </rPr>
          <t>Nicholas Mitchell:</t>
        </r>
        <r>
          <rPr>
            <sz val="9"/>
            <color indexed="81"/>
            <rFont val="Tahoma"/>
            <family val="2"/>
          </rPr>
          <t xml:space="preserve">
Taken from antenna data sheet as it has less than 3 dB drop in any direction
</t>
        </r>
      </text>
    </comment>
    <comment ref="Z81" authorId="1" shapeId="0" xr:uid="{B810A518-0814-4812-8992-E38075AC303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F6" authorId="0" shapeId="0" xr:uid="{E1E30AD5-0C19-41E8-B6D9-207FA54DC442}">
      <text>
        <r>
          <rPr>
            <b/>
            <sz val="9"/>
            <color indexed="81"/>
            <rFont val="Tahoma"/>
            <charset val="1"/>
          </rPr>
          <t>Nicholas Mitchell:</t>
        </r>
        <r>
          <rPr>
            <sz val="9"/>
            <color indexed="81"/>
            <rFont val="Tahoma"/>
            <charset val="1"/>
          </rPr>
          <t xml:space="preserve">
Maximum DC transmission power allowed by amateur radio band is 250W DC </t>
        </r>
      </text>
    </comment>
    <comment ref="F9" authorId="0" shapeId="0" xr:uid="{7EC47E4C-FFE7-4714-973C-183CC0D2D161}">
      <text>
        <r>
          <rPr>
            <b/>
            <sz val="9"/>
            <color indexed="81"/>
            <rFont val="Tahoma"/>
            <charset val="1"/>
          </rPr>
          <t>Nicholas Mitchell:</t>
        </r>
        <r>
          <rPr>
            <sz val="9"/>
            <color indexed="81"/>
            <rFont val="Tahoma"/>
            <charset val="1"/>
          </rPr>
          <t xml:space="preserve">
Rough Estimate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Nicholas Mitchell</author>
    <author>tc={55D5A880-3829-4B5F-B051-F7BA1872011F}</author>
  </authors>
  <commentList>
    <comment ref="J11" authorId="0" shapeId="0" xr:uid="{5C29FF0A-0949-494D-AA59-B69035B5016C}">
      <text>
        <r>
          <rPr>
            <b/>
            <sz val="9"/>
            <color indexed="81"/>
            <rFont val="Tahoma"/>
            <family val="2"/>
          </rPr>
          <t>Nicholas Mitchell:</t>
        </r>
        <r>
          <rPr>
            <sz val="9"/>
            <color indexed="81"/>
            <rFont val="Tahoma"/>
            <family val="2"/>
          </rPr>
          <t xml:space="preserve">
Questionable where this table came from current best estimate however needs to be redone based on elevation angle
</t>
        </r>
      </text>
    </comment>
    <comment ref="G15" authorId="0" shapeId="0" xr:uid="{090EE343-4B1F-448A-90D4-AD44E84FAF28}">
      <text>
        <r>
          <rPr>
            <b/>
            <sz val="9"/>
            <color indexed="81"/>
            <rFont val="Tahoma"/>
            <charset val="1"/>
          </rPr>
          <t>Nicholas Mitchell:</t>
        </r>
        <r>
          <rPr>
            <sz val="9"/>
            <color indexed="81"/>
            <rFont val="Tahoma"/>
            <charset val="1"/>
          </rPr>
          <t xml:space="preserve">
Compression of the camera could be anywhere between 1x and 15x, Canadensys will continue to update us on size of image + possible compresssion configurations 
</t>
        </r>
      </text>
    </comment>
    <comment ref="B71" authorId="1" shapeId="0" xr:uid="{55D5A880-3829-4B5F-B051-F7BA1872011F}">
      <text>
        <r>
          <rPr>
            <sz val="11"/>
            <color theme="1"/>
            <rFont val="Calibri"/>
            <family val="2"/>
            <scheme val="minor"/>
          </rPr>
          <t xml:space="preserve">Comment:
    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 remeber that CSC calculates the number in radians, so you need to convert from degrees
</t>
        </r>
      </text>
    </comment>
  </commentList>
</comments>
</file>

<file path=xl/sharedStrings.xml><?xml version="1.0" encoding="utf-8"?>
<sst xmlns="http://schemas.openxmlformats.org/spreadsheetml/2006/main" count="898" uniqueCount="470">
  <si>
    <t>Password to unprotect sheets: 123</t>
  </si>
  <si>
    <t>Constants</t>
  </si>
  <si>
    <t>Value</t>
  </si>
  <si>
    <t>Unit</t>
  </si>
  <si>
    <t>Speed of light</t>
  </si>
  <si>
    <t>m/s</t>
  </si>
  <si>
    <t>Boltzmann constant</t>
  </si>
  <si>
    <t>dBW/K/Hz</t>
  </si>
  <si>
    <t>Radius of earth</t>
  </si>
  <si>
    <t>km</t>
  </si>
  <si>
    <t>Operating Frequencies</t>
  </si>
  <si>
    <t>Uplink Frequency</t>
  </si>
  <si>
    <t>MHz</t>
  </si>
  <si>
    <t>Downlink Frequency</t>
  </si>
  <si>
    <t>Orbital &amp; Payload Information</t>
  </si>
  <si>
    <t>Satellite Altitude</t>
  </si>
  <si>
    <t>Time per pass (transmission duration)</t>
  </si>
  <si>
    <t>s</t>
  </si>
  <si>
    <t>Complete passes per day</t>
  </si>
  <si>
    <t>passes</t>
  </si>
  <si>
    <t>Payload size (per image)</t>
  </si>
  <si>
    <t>kb</t>
  </si>
  <si>
    <t>Image compression (max 15x)</t>
  </si>
  <si>
    <t>Length of video desired to send</t>
  </si>
  <si>
    <t>Mb</t>
  </si>
  <si>
    <t>GS Antenna Parameters</t>
  </si>
  <si>
    <t>Worst case antenna elevation angle</t>
  </si>
  <si>
    <t>°</t>
  </si>
  <si>
    <t>Satellite receiver bandwidth</t>
  </si>
  <si>
    <t>kHz</t>
  </si>
  <si>
    <t>Orbit &amp; Free-Space Path Losses</t>
  </si>
  <si>
    <t>Uplink frequency &amp; ideal wavelength</t>
  </si>
  <si>
    <t>m</t>
  </si>
  <si>
    <t>Downlink frequency &amp; ideal wavelength</t>
  </si>
  <si>
    <t>Satellite altitude</t>
  </si>
  <si>
    <t>Radius of Earth</t>
  </si>
  <si>
    <t>Slant Range (worst case distance)</t>
  </si>
  <si>
    <t>Uplink free-space path loss</t>
  </si>
  <si>
    <t>dB</t>
  </si>
  <si>
    <t>Downlink free-space path loss</t>
  </si>
  <si>
    <t>Uplink Transmitter (Ground Station)</t>
  </si>
  <si>
    <t>Power</t>
  </si>
  <si>
    <t xml:space="preserve">Transmitter Power </t>
  </si>
  <si>
    <t>W</t>
  </si>
  <si>
    <t>dBW</t>
  </si>
  <si>
    <t>Lengths</t>
  </si>
  <si>
    <t>dBm</t>
  </si>
  <si>
    <t>Line A length</t>
  </si>
  <si>
    <t>Line B length</t>
  </si>
  <si>
    <t>Cable Losses</t>
  </si>
  <si>
    <t>Line C length</t>
  </si>
  <si>
    <t>Cable loss/m</t>
  </si>
  <si>
    <t>dB/m</t>
  </si>
  <si>
    <t>Total line lengths</t>
  </si>
  <si>
    <t>Total cable losses</t>
  </si>
  <si>
    <t>Other Components</t>
  </si>
  <si>
    <t>No. of In-Line Connectors</t>
  </si>
  <si>
    <t>No.</t>
  </si>
  <si>
    <t>Connector Losses</t>
  </si>
  <si>
    <t>Filter Insertion Losses</t>
  </si>
  <si>
    <t>Insertion Loss of Other In-Line Devices</t>
  </si>
  <si>
    <t>Antenna Mismatch Losses</t>
  </si>
  <si>
    <t>Losses and Power Delivered to Antenna</t>
  </si>
  <si>
    <t>Total Losses</t>
  </si>
  <si>
    <t>Power Delivered</t>
  </si>
  <si>
    <t>https://www.isispace.nl/product/vhf-downlink-uhf-uplink-full-duplex-transceiver/</t>
  </si>
  <si>
    <t>Downlink Transmitter (Satellite)</t>
  </si>
  <si>
    <t xml:space="preserve"> </t>
  </si>
  <si>
    <t>Uplink Antenna (Ground Station)</t>
  </si>
  <si>
    <t>Wavelength</t>
  </si>
  <si>
    <t>Antenna Type</t>
  </si>
  <si>
    <t>Yagi-Uda</t>
  </si>
  <si>
    <t>Polarization</t>
  </si>
  <si>
    <t>LHCP</t>
  </si>
  <si>
    <t>Gain</t>
  </si>
  <si>
    <t>dBi</t>
  </si>
  <si>
    <r>
      <t>Boom Length (</t>
    </r>
    <r>
      <rPr>
        <sz val="11"/>
        <color theme="1"/>
        <rFont val="Symbol"/>
        <family val="1"/>
        <charset val="2"/>
      </rPr>
      <t>l</t>
    </r>
    <r>
      <rPr>
        <sz val="11"/>
        <color theme="1"/>
        <rFont val="Calibri"/>
        <family val="2"/>
        <scheme val="minor"/>
      </rPr>
      <t>)</t>
    </r>
  </si>
  <si>
    <t>Beamwidth</t>
  </si>
  <si>
    <t>Uplink Antenna (Satellite)</t>
  </si>
  <si>
    <t>Quad Monopole</t>
  </si>
  <si>
    <t>Downlink Antenna (Ground Station)</t>
  </si>
  <si>
    <t>Downlink Antenna (Satellite)</t>
  </si>
  <si>
    <t>Downlink Frequency:</t>
  </si>
  <si>
    <t>Wavelength:</t>
  </si>
  <si>
    <t>Uplink Receiver (Satellite)</t>
  </si>
  <si>
    <t>Cable Losses (A, B, C)</t>
  </si>
  <si>
    <t>Line Lengths (A, B, C)</t>
  </si>
  <si>
    <t>Bandpass Filter Insertion Loss</t>
  </si>
  <si>
    <t>Total In-Line Losses from Antenna to LNA</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</si>
  <si>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</si>
  <si>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</si>
  <si>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</si>
  <si>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</si>
  <si>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</si>
  <si>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</si>
  <si>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</si>
  <si>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</si>
  <si>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Low Noise Amp. Temperature</t>
  </si>
  <si>
    <r>
      <t>T</t>
    </r>
    <r>
      <rPr>
        <vertAlign val="subscript"/>
        <sz val="11"/>
        <color theme="1"/>
        <rFont val="Calibri"/>
        <family val="2"/>
        <scheme val="minor"/>
      </rPr>
      <t>LNA</t>
    </r>
  </si>
  <si>
    <t>Low Noise Amp.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</si>
  <si>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</si>
  <si>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</si>
  <si>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</si>
  <si>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</si>
  <si>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t>
  </si>
  <si>
    <r>
      <t>T</t>
    </r>
    <r>
      <rPr>
        <vertAlign val="subscript"/>
        <sz val="11"/>
        <color theme="1"/>
        <rFont val="Calibri"/>
        <family val="2"/>
        <scheme val="minor"/>
      </rPr>
      <t>sys</t>
    </r>
  </si>
  <si>
    <t>Downlink Receiver (Ground Station)</t>
  </si>
  <si>
    <t>Cable Losses (D)</t>
  </si>
  <si>
    <t>Line D length</t>
  </si>
  <si>
    <t>Antenna or "Sky" Temp.</t>
  </si>
  <si>
    <t>Ground Station Feedline Temp.</t>
  </si>
  <si>
    <t>LNA Temperature</t>
  </si>
  <si>
    <t>LNA Gain</t>
  </si>
  <si>
    <t>Comms. Rcvr Front End Temp.</t>
  </si>
  <si>
    <r>
      <t>T</t>
    </r>
    <r>
      <rPr>
        <vertAlign val="subscript"/>
        <sz val="11"/>
        <color theme="1"/>
        <rFont val="Calibri"/>
        <family val="2"/>
        <scheme val="minor"/>
      </rPr>
      <t>ComRcvr</t>
    </r>
  </si>
  <si>
    <t>Modulation</t>
  </si>
  <si>
    <t>Downlink data rate</t>
  </si>
  <si>
    <t>bps</t>
  </si>
  <si>
    <t>Uplink data rate</t>
  </si>
  <si>
    <t>Modulation levels (M-ary)</t>
  </si>
  <si>
    <t>Modulation scheme</t>
  </si>
  <si>
    <t>Up &amp; Downlink Atmospheric Losses</t>
  </si>
  <si>
    <t>Losses</t>
  </si>
  <si>
    <t>Elevation Angle</t>
  </si>
  <si>
    <t>d</t>
  </si>
  <si>
    <t>Uplink Loss &amp; Downlink Loss</t>
  </si>
  <si>
    <r>
      <t>L</t>
    </r>
    <r>
      <rPr>
        <vertAlign val="subscript"/>
        <sz val="11"/>
        <color theme="1"/>
        <rFont val="Calibri"/>
        <family val="2"/>
        <scheme val="minor"/>
      </rPr>
      <t>ATM</t>
    </r>
  </si>
  <si>
    <t xml:space="preserve">Rain Attenuation </t>
  </si>
  <si>
    <t>L_rain</t>
  </si>
  <si>
    <t>Up &amp; Downlink Ionespheric Losses</t>
  </si>
  <si>
    <t>Uplink Loss</t>
  </si>
  <si>
    <r>
      <t>L</t>
    </r>
    <r>
      <rPr>
        <vertAlign val="subscript"/>
        <sz val="11"/>
        <color theme="1"/>
        <rFont val="Calibri"/>
        <family val="2"/>
        <scheme val="minor"/>
      </rPr>
      <t>Ion.</t>
    </r>
  </si>
  <si>
    <t>Downlink Loss</t>
  </si>
  <si>
    <t>Uplink Antenna Pointing Losses</t>
  </si>
  <si>
    <t>Spacecraft</t>
  </si>
  <si>
    <t>Antenna</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</si>
  <si>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</si>
  <si>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</si>
  <si>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</si>
  <si>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</si>
  <si>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</si>
  <si>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</si>
  <si>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</si>
  <si>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</si>
  <si>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</si>
  <si>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</si>
  <si>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</si>
  <si>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</si>
  <si>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</si>
  <si>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</si>
  <si>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</si>
  <si>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</si>
  <si>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</si>
  <si>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</si>
  <si>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</si>
  <si>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</si>
  <si>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Uplink Budget</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</si>
  <si>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</si>
  <si>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</si>
  <si>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</si>
  <si>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</si>
  <si>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</si>
  <si>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</si>
  <si>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</si>
  <si>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</si>
  <si>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</si>
  <si>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</si>
  <si>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</si>
  <si>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</si>
  <si>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</si>
  <si>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</si>
  <si>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</si>
  <si>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</si>
  <si>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</si>
  <si>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</si>
  <si>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</si>
  <si>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</si>
  <si>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</si>
  <si>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Satellite figure of merrit (G/T)</t>
  </si>
  <si>
    <t>dB/K</t>
  </si>
  <si>
    <t>Signal Power at satellite LNA Input</t>
  </si>
  <si>
    <t>Satellite Receiver Bandwidth</t>
  </si>
  <si>
    <t>Hz</t>
  </si>
  <si>
    <t>Satellite Receiver Noise Power</t>
  </si>
  <si>
    <t>Signal-to-Noise Power Ratio at G.S. Rcvr:</t>
  </si>
  <si>
    <t>Digital System Required S/N:</t>
  </si>
  <si>
    <t>System Link Margin</t>
  </si>
  <si>
    <t>Satellite (Eb/No Method)</t>
  </si>
  <si>
    <t>Satellite total transmission line loss</t>
  </si>
  <si>
    <t>Satellite figure of merit (G/T)</t>
  </si>
  <si>
    <t>Satellite signal-to-noise power density (S/No)</t>
  </si>
  <si>
    <t>dBHz</t>
  </si>
  <si>
    <t>System desired data rate</t>
  </si>
  <si>
    <t>Telemetry system Eb/No for the downlink</t>
  </si>
  <si>
    <t>System allowed BER</t>
  </si>
  <si>
    <t>Eb/No threshold</t>
  </si>
  <si>
    <t>System link margin</t>
  </si>
  <si>
    <t>Data Rates</t>
  </si>
  <si>
    <r>
      <rPr>
        <b/>
        <sz val="11"/>
        <color theme="1"/>
        <rFont val="Calibri"/>
        <family val="2"/>
        <scheme val="minor"/>
      </rPr>
      <t>Theoretical</t>
    </r>
    <r>
      <rPr>
        <sz val="11"/>
        <color theme="1"/>
        <rFont val="Calibri"/>
        <family val="2"/>
        <scheme val="minor"/>
      </rPr>
      <t xml:space="preserve"> channel capacity</t>
    </r>
  </si>
  <si>
    <t>Theoretical maximum using Shannon-Hartley eq.</t>
  </si>
  <si>
    <r>
      <rPr>
        <b/>
        <sz val="11"/>
        <color theme="1"/>
        <rFont val="Calibri"/>
        <family val="2"/>
        <scheme val="minor"/>
      </rPr>
      <t>Actual</t>
    </r>
    <r>
      <rPr>
        <sz val="11"/>
        <color theme="1"/>
        <rFont val="Calibri"/>
        <family val="2"/>
        <scheme val="minor"/>
      </rPr>
      <t xml:space="preserve"> data rate</t>
    </r>
  </si>
  <si>
    <t>Downlink Budget</t>
  </si>
  <si>
    <t>Satellite</t>
  </si>
  <si>
    <t>Sat. antenna Gain</t>
  </si>
  <si>
    <t>Downlink Path</t>
  </si>
  <si>
    <t>Satellite antenna pointing losses</t>
  </si>
  <si>
    <t>Sat.-to-GS antenna polarization losses</t>
  </si>
  <si>
    <t>Free-Space Path losses</t>
  </si>
  <si>
    <t>Estimated by operator, 0 for UHF band</t>
  </si>
  <si>
    <t>Isotropic signal level at GS</t>
  </si>
  <si>
    <t>Ground Station (SNR Method)</t>
  </si>
  <si>
    <t>GS antenna gain</t>
  </si>
  <si>
    <t>GS receiver bandwidth</t>
  </si>
  <si>
    <r>
      <rPr>
        <b/>
        <sz val="11"/>
        <color theme="1"/>
        <rFont val="Calibri"/>
        <family val="2"/>
        <scheme val="minor"/>
      </rPr>
      <t>Theoretical</t>
    </r>
    <r>
      <rPr>
        <sz val="11"/>
        <color theme="1"/>
        <rFont val="Calibri"/>
        <family val="2"/>
        <scheme val="minor"/>
      </rPr>
      <t xml:space="preserve"> received signal power at GS</t>
    </r>
  </si>
  <si>
    <t>Using Friis Transmission Formula [maximum]</t>
  </si>
  <si>
    <r>
      <rPr>
        <b/>
        <sz val="11"/>
        <color theme="1"/>
        <rFont val="Calibri"/>
        <family val="2"/>
        <scheme val="minor"/>
      </rPr>
      <t>Actual</t>
    </r>
    <r>
      <rPr>
        <sz val="11"/>
        <color theme="1"/>
        <rFont val="Calibri"/>
        <family val="2"/>
        <scheme val="minor"/>
      </rPr>
      <t xml:space="preserve"> received signal power at GS</t>
    </r>
  </si>
  <si>
    <t>dbm</t>
  </si>
  <si>
    <t>Using Friis Transmission Formula [w/ losses]</t>
  </si>
  <si>
    <t>Received noise power at GS</t>
  </si>
  <si>
    <t>Formula in CSA presentation</t>
  </si>
  <si>
    <r>
      <rPr>
        <b/>
        <sz val="11"/>
        <color theme="1"/>
        <rFont val="Calibri"/>
        <family val="2"/>
        <scheme val="minor"/>
      </rPr>
      <t>Actual</t>
    </r>
    <r>
      <rPr>
        <sz val="11"/>
        <color theme="1"/>
        <rFont val="Calibri"/>
        <family val="2"/>
        <scheme val="minor"/>
      </rPr>
      <t xml:space="preserve"> signal-to-noise ratio</t>
    </r>
  </si>
  <si>
    <t>Required signal-to-noise ratio</t>
  </si>
  <si>
    <t>Ground Station (Eb/No Method)</t>
  </si>
  <si>
    <t>GS antenna pointing loss</t>
  </si>
  <si>
    <t>GS total transmission line loss</t>
  </si>
  <si>
    <t>GS effective noise temperature</t>
  </si>
  <si>
    <t>GS figure of merit (G/T)</t>
  </si>
  <si>
    <t>GS signal-to-noise power density (S/No)</t>
  </si>
  <si>
    <t>Transmission duration (per pass)</t>
  </si>
  <si>
    <t>Passes per day</t>
  </si>
  <si>
    <t>Data transmission (per pass)</t>
  </si>
  <si>
    <t>Images (/pass) - (no compression)</t>
  </si>
  <si>
    <t>Images (/day) - (no compression)</t>
  </si>
  <si>
    <t>Videos (/pass)</t>
  </si>
  <si>
    <t>Videos (/day)</t>
  </si>
  <si>
    <t>Uplink</t>
  </si>
  <si>
    <t>Ionespheric Losses</t>
  </si>
  <si>
    <t>Loss</t>
  </si>
  <si>
    <t>Frequency</t>
  </si>
  <si>
    <t>RHCP</t>
  </si>
  <si>
    <t>Downlink</t>
  </si>
  <si>
    <t>Antenna Polarization</t>
  </si>
  <si>
    <t>Compression</t>
  </si>
  <si>
    <t>Bit Error Rate</t>
  </si>
  <si>
    <t>DL data rate</t>
  </si>
  <si>
    <t>UL data rate</t>
  </si>
  <si>
    <t>Uplink Antenna Losses</t>
  </si>
  <si>
    <t>Intermediate Value</t>
  </si>
  <si>
    <t>Polarization Loss (do not edit)</t>
  </si>
  <si>
    <t>Downlink Antenna Losses</t>
  </si>
  <si>
    <t>BER</t>
  </si>
  <si>
    <t>Scheme</t>
  </si>
  <si>
    <t>Atmospheric Attenuation</t>
  </si>
  <si>
    <t>Frequency (GHz)</t>
  </si>
  <si>
    <t>absorption coeff oxygen [ dB/km ]</t>
  </si>
  <si>
    <t>absorption coeff water [dB/km]</t>
  </si>
  <si>
    <t>h_s (km)</t>
  </si>
  <si>
    <t>Elevation angle</t>
  </si>
  <si>
    <t>Aa: Total Attenuation for slanted links [dB]</t>
  </si>
  <si>
    <t>Attenuation Linear[W]</t>
  </si>
  <si>
    <t>M-Levels</t>
  </si>
  <si>
    <t>GMSK</t>
  </si>
  <si>
    <t>Theoretical Bandwidth Efficiency[bps/Hz]</t>
  </si>
  <si>
    <t>Bandwidth-Time Product</t>
  </si>
  <si>
    <t>NA</t>
  </si>
  <si>
    <t>Data Rate [kbps]</t>
  </si>
  <si>
    <t>Bandwidth (KHz)</t>
  </si>
  <si>
    <t>GS antenna elevation angle</t>
  </si>
  <si>
    <t>System Noise Temperature (calc)</t>
  </si>
  <si>
    <t>Taken from BER analysis in backend, needs to be updated with GMSK</t>
  </si>
  <si>
    <t>Information per pass =  (Bits_InformationTotal - BitsOverhead) *7frames per cycle*Number of cycles</t>
  </si>
  <si>
    <t>Equation 1.2</t>
  </si>
  <si>
    <t>*Note receiver is modulo 8 which allows 7 frames per acknowledgement</t>
  </si>
  <si>
    <t>Tinformation was broken down into the number cycles times the time it takes for 7 image packets to be sent, processed, acknowledge and propagate</t>
  </si>
  <si>
    <t>Tstart_end was broken down into time to transmit start + end packets, time radiowave takes to reach desitination and time to process the information</t>
  </si>
  <si>
    <r>
      <t>Taccess =</t>
    </r>
    <r>
      <rPr>
        <sz val="11"/>
        <color theme="5"/>
        <rFont val="Calibri"/>
        <family val="2"/>
        <scheme val="minor"/>
      </rPr>
      <t xml:space="preserve"> Tstart + Tend +2*Tprop +2Tproc</t>
    </r>
    <r>
      <rPr>
        <sz val="11"/>
        <color theme="1"/>
        <rFont val="Calibri"/>
        <family val="2"/>
        <scheme val="minor"/>
      </rPr>
      <t xml:space="preserve"> + </t>
    </r>
    <r>
      <rPr>
        <sz val="11"/>
        <color rgb="FFFF0000"/>
        <rFont val="Calibri"/>
        <family val="2"/>
        <scheme val="minor"/>
      </rPr>
      <t>N*(Tcubeproc+Tgroundproc+Tack+7*Tinfo+2Tprop)</t>
    </r>
  </si>
  <si>
    <t>access time = time to start link + time to end link + time to send info</t>
  </si>
  <si>
    <r>
      <t xml:space="preserve">Taccess = </t>
    </r>
    <r>
      <rPr>
        <sz val="11"/>
        <color theme="5"/>
        <rFont val="Calibri"/>
        <family val="2"/>
        <scheme val="minor"/>
      </rPr>
      <t>Tstart_end</t>
    </r>
    <r>
      <rPr>
        <sz val="11"/>
        <color theme="1"/>
        <rFont val="Calibri"/>
        <family val="2"/>
        <scheme val="minor"/>
      </rPr>
      <t xml:space="preserve"> + </t>
    </r>
    <r>
      <rPr>
        <sz val="11"/>
        <color rgb="FFFF0000"/>
        <rFont val="Calibri"/>
        <family val="2"/>
        <scheme val="minor"/>
      </rPr>
      <t>Tinformation</t>
    </r>
  </si>
  <si>
    <t>Equation 1.1</t>
  </si>
  <si>
    <t>Camera Data able to send</t>
  </si>
  <si>
    <t>Nick Estimate from Vidushi files</t>
  </si>
  <si>
    <t>bits</t>
  </si>
  <si>
    <t>Housekeeping Data</t>
  </si>
  <si>
    <t>information per pass / access time * 1000</t>
  </si>
  <si>
    <t>Kbps</t>
  </si>
  <si>
    <t>Information Rate</t>
  </si>
  <si>
    <t>See equation 1.2 for details</t>
  </si>
  <si>
    <t>MB</t>
  </si>
  <si>
    <t>Information per pass</t>
  </si>
  <si>
    <t>see equation 1.1 for details</t>
  </si>
  <si>
    <t>Infromation Cycles to be able to receive information</t>
  </si>
  <si>
    <t>Used for work</t>
  </si>
  <si>
    <t>Mean Duration Final</t>
  </si>
  <si>
    <t xml:space="preserve">Safety </t>
  </si>
  <si>
    <t>%</t>
  </si>
  <si>
    <t>Margin</t>
  </si>
  <si>
    <t xml:space="preserve">Danlei Work, assumption on slant angle unclear </t>
  </si>
  <si>
    <t>Mean Duration Access</t>
  </si>
  <si>
    <t xml:space="preserve">Note I have modified TT&amp;C frame to be 7x before acknowledgement </t>
  </si>
  <si>
    <t>time to send one information packet (assuming 1 frame of 920 bits)</t>
  </si>
  <si>
    <t>Tinfo</t>
  </si>
  <si>
    <t>time to send end packet (assuming 1 frame of 920 bits)</t>
  </si>
  <si>
    <t>Tend</t>
  </si>
  <si>
    <t>time to send start packet (assuming 1 frame of 920 bits)</t>
  </si>
  <si>
    <t>Tstart</t>
  </si>
  <si>
    <t>time to send acknowledge supervisory packet</t>
  </si>
  <si>
    <t>Tack</t>
  </si>
  <si>
    <t xml:space="preserve">Maximum for transceiver </t>
  </si>
  <si>
    <t>Bitrate uplink</t>
  </si>
  <si>
    <t>Designed for</t>
  </si>
  <si>
    <t>Bitrate downlink</t>
  </si>
  <si>
    <t>Initial guess</t>
  </si>
  <si>
    <t>Processing Time Cubesat</t>
  </si>
  <si>
    <t>Processing Time Ground</t>
  </si>
  <si>
    <t>straight line of sight directly overhead</t>
  </si>
  <si>
    <t>Propagation Delay</t>
  </si>
  <si>
    <t>Data</t>
  </si>
  <si>
    <t>Name</t>
  </si>
  <si>
    <t xml:space="preserve">U/Supervisory </t>
  </si>
  <si>
    <t>Information</t>
  </si>
  <si>
    <t>Total (bits)</t>
  </si>
  <si>
    <t>Information (%)</t>
  </si>
  <si>
    <t>Information (bits)</t>
  </si>
  <si>
    <t>Overhead (%)</t>
  </si>
  <si>
    <t>Overhead (bits)</t>
  </si>
  <si>
    <t xml:space="preserve">Frame </t>
  </si>
  <si>
    <t>Packet Structure Ax.25</t>
  </si>
  <si>
    <t xml:space="preserve">432-440 MHz </t>
  </si>
  <si>
    <t xml:space="preserve">13.3dBic </t>
  </si>
  <si>
    <t>beamwidth</t>
  </si>
  <si>
    <t>42 degrees</t>
  </si>
  <si>
    <t>Feed Impedance</t>
  </si>
  <si>
    <t>50 ohm</t>
  </si>
  <si>
    <t>maximum VSWR</t>
  </si>
  <si>
    <t xml:space="preserve">1.5:1 </t>
  </si>
  <si>
    <t>Input Connector</t>
  </si>
  <si>
    <t xml:space="preserve">N female </t>
  </si>
  <si>
    <t>Max power</t>
  </si>
  <si>
    <t xml:space="preserve">1 kW </t>
  </si>
  <si>
    <t>Weight</t>
  </si>
  <si>
    <t xml:space="preserve">4 lbs </t>
  </si>
  <si>
    <t>Other</t>
  </si>
  <si>
    <t xml:space="preserve">Weather sealed antenna, good for outdoors LEO sattelite comms </t>
  </si>
  <si>
    <t>Surge Protector</t>
  </si>
  <si>
    <t>Info</t>
  </si>
  <si>
    <t>M2 Antenna Systems, Inc.</t>
  </si>
  <si>
    <t>Model No: 436CP16</t>
  </si>
  <si>
    <t>Price</t>
  </si>
  <si>
    <t>DC-6GHz</t>
  </si>
  <si>
    <t>Signal Propagation:</t>
  </si>
  <si>
    <t>Bidirectional</t>
  </si>
  <si>
    <t>insertion loss</t>
  </si>
  <si>
    <t>0.1 at 450 MHz or less</t>
  </si>
  <si>
    <t xml:space="preserve">VSWR </t>
  </si>
  <si>
    <t xml:space="preserve">&lt;1.1 </t>
  </si>
  <si>
    <t>Input/Output Connector</t>
  </si>
  <si>
    <t>Bulkhead Female N type</t>
  </si>
  <si>
    <t>Maximum Input Power</t>
  </si>
  <si>
    <t>90W</t>
  </si>
  <si>
    <t>Built for Outdoor RF sensitive equipment</t>
  </si>
  <si>
    <t>Polyphaser.com</t>
  </si>
  <si>
    <t>https://www.polyphaser.com/type-n-surge-protector-6ghz-4ghz-gas-discharge-tube-gt-nff-al</t>
  </si>
  <si>
    <t>Antenna Polarization Switch</t>
  </si>
  <si>
    <t>Isolation</t>
  </si>
  <si>
    <t>40 dB</t>
  </si>
  <si>
    <t>1.2:1 or better</t>
  </si>
  <si>
    <t>0.2 dB</t>
  </si>
  <si>
    <t>switch time</t>
  </si>
  <si>
    <t>20ms</t>
  </si>
  <si>
    <t xml:space="preserve">Power Handling </t>
  </si>
  <si>
    <t>150W</t>
  </si>
  <si>
    <t>Installation:</t>
  </si>
  <si>
    <t>Must be directly mounted on antenna</t>
  </si>
  <si>
    <t>M2 Antenna Systems Inc</t>
  </si>
  <si>
    <t>PS-70CM, 70CM POLARITY SWITCH</t>
  </si>
  <si>
    <t>SDR Transceiver</t>
  </si>
  <si>
    <t>Transmitter</t>
  </si>
  <si>
    <t>Receiver</t>
  </si>
  <si>
    <t>Power Output</t>
  </si>
  <si>
    <t>17dbm max</t>
  </si>
  <si>
    <t>Number of outputs</t>
  </si>
  <si>
    <t>Half duplex or full duplex?</t>
  </si>
  <si>
    <t>Both</t>
  </si>
  <si>
    <t>Wired connection to Comp:</t>
  </si>
  <si>
    <t>USB 3.0</t>
  </si>
  <si>
    <t>Coherency:</t>
  </si>
  <si>
    <t>Coherent detection</t>
  </si>
  <si>
    <t>Maximum bandwith:</t>
  </si>
  <si>
    <t>56 MHz in 1x1, 30MHz in 2x2</t>
  </si>
  <si>
    <t>ADC resolution</t>
  </si>
  <si>
    <t>12 bits</t>
  </si>
  <si>
    <t xml:space="preserve">Frequency accuracy </t>
  </si>
  <si>
    <t>12ppm</t>
  </si>
  <si>
    <t>ADC sample rate</t>
  </si>
  <si>
    <t xml:space="preserve">61.44 MS/s </t>
  </si>
  <si>
    <t>DAC sample rate</t>
  </si>
  <si>
    <t>Receive Noise Figure</t>
  </si>
  <si>
    <t>5 dBm</t>
  </si>
  <si>
    <t>Price:</t>
  </si>
  <si>
    <t>1,830 $ CAD</t>
  </si>
  <si>
    <t>Price Enclosure:</t>
  </si>
  <si>
    <t>125 $ CAD</t>
  </si>
  <si>
    <t>Dual Junction Circulator</t>
  </si>
  <si>
    <t>Frequency Range</t>
  </si>
  <si>
    <t xml:space="preserve">400 - 470 MHz </t>
  </si>
  <si>
    <t>Insertion Loss</t>
  </si>
  <si>
    <t xml:space="preserve">0.6 dB </t>
  </si>
  <si>
    <t>45dB</t>
  </si>
  <si>
    <t>VSWR</t>
  </si>
  <si>
    <t xml:space="preserve">Forward power </t>
  </si>
  <si>
    <t>400 W</t>
  </si>
  <si>
    <t xml:space="preserve">temp </t>
  </si>
  <si>
    <t>-30 to 70 d celcius</t>
  </si>
  <si>
    <t xml:space="preserve">PN: </t>
  </si>
  <si>
    <t>UIYCDC9648A400T470NF</t>
  </si>
  <si>
    <t>IIP3 (at typical NF)</t>
  </si>
  <si>
    <t>-20dBm</t>
  </si>
  <si>
    <t xml:space="preserve">85 $ </t>
  </si>
  <si>
    <t>Single Junction Circulator</t>
  </si>
  <si>
    <t>431MHz - 441MHz</t>
  </si>
  <si>
    <t>Taken from a close enough data sheet.. Very specific component we would be ordering (not usually offered but they have it !)</t>
  </si>
  <si>
    <t>0.3dB</t>
  </si>
  <si>
    <t>23dB</t>
  </si>
  <si>
    <t>300W</t>
  </si>
  <si>
    <t>Reverse Power</t>
  </si>
  <si>
    <t>45$</t>
  </si>
  <si>
    <t>UIYCC3538A431T441SF</t>
  </si>
  <si>
    <t>Gain 35dB</t>
  </si>
  <si>
    <t>IP3 Point:</t>
  </si>
  <si>
    <t xml:space="preserve">OIP3 Points: </t>
  </si>
  <si>
    <t>-34 dBm</t>
  </si>
  <si>
    <t>Suggested Output Power: (1)</t>
  </si>
  <si>
    <t>-45 dBm ,with only a passband filter in RF chain (LC ladder by students?)</t>
  </si>
  <si>
    <t>17dBm, with passband filter + notch Filters in RF chain for 3rd harmonic suppresion</t>
  </si>
  <si>
    <t>Suggested Output Power: (2)</t>
  </si>
  <si>
    <t>m=0.50</t>
  </si>
  <si>
    <t>Equation for conversion provided by Endurosat (where n = number of bits per packet)</t>
  </si>
  <si>
    <r>
      <t> </t>
    </r>
    <r>
      <rPr>
        <sz val="11"/>
        <color rgb="FF201F1E"/>
        <rFont val="Calibri"/>
        <family val="2"/>
        <scheme val="minor"/>
      </rPr>
      <t>PER = 1 - ( 1 - BER )^n</t>
    </r>
  </si>
  <si>
    <t xml:space="preserve">BER graph was generated by Nick: </t>
  </si>
  <si>
    <t xml:space="preserve">m=0.50 </t>
  </si>
  <si>
    <t xml:space="preserve">In consideration that our uplink is planned </t>
  </si>
  <si>
    <t>SNR required at Cubesat</t>
  </si>
  <si>
    <t>SNR required at GroundStation</t>
  </si>
  <si>
    <t>Margin (KHz)</t>
  </si>
  <si>
    <t>Bandwidth Final(KHz)</t>
  </si>
  <si>
    <t>If data rate is decreased by 1/8 but bandwidth is kept the same: SNR = SNR -10log10(1/8) = SNR-9.03 dB</t>
  </si>
  <si>
    <t xml:space="preserve">Uplink Modulation Information </t>
  </si>
  <si>
    <t>SNR (dB)</t>
  </si>
  <si>
    <t>kbps</t>
  </si>
  <si>
    <t xml:space="preserve">Downlink Modulation Information (Copied from above table to give a start….) </t>
  </si>
  <si>
    <t>ID</t>
  </si>
  <si>
    <t xml:space="preserve">Downlink Specified bit error rate </t>
  </si>
  <si>
    <t>Uplink Specified bit error rate</t>
  </si>
  <si>
    <t>Tsys_Test</t>
  </si>
  <si>
    <t>System Noise Temp. Place Holder</t>
  </si>
  <si>
    <t>Noise Figure</t>
  </si>
  <si>
    <t>180-660</t>
  </si>
  <si>
    <t>Input VSWR</t>
  </si>
  <si>
    <t>LNA amplifier</t>
  </si>
  <si>
    <t>https://rflambda.com/pdf/lownoiseamplifier/R18M66MSA.pdf</t>
  </si>
  <si>
    <t>Pout 1 dB Compression</t>
  </si>
  <si>
    <t>Third Order Intercept</t>
  </si>
  <si>
    <t xml:space="preserve">Wide Band Amplifier </t>
  </si>
  <si>
    <t>10-500</t>
  </si>
  <si>
    <t>?</t>
  </si>
  <si>
    <t xml:space="preserve">Psaturated </t>
  </si>
  <si>
    <t>Pout 1dB Compresssion</t>
  </si>
  <si>
    <t>:1</t>
  </si>
  <si>
    <t>https://rflambda.com/pdf/poweramplifier/RFLUPA01050.pdf</t>
  </si>
  <si>
    <t xml:space="preserve">Information Bits per packet is Given by intrynsic as 776.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</si>
</sst>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0.000"/>
    <numFmt numFmtId="165" formatCode="0.0"/>
    <numFmt numFmtId="166" formatCode="0.0000"/>
    <numFmt numFmtId="167" formatCode="0.0000000"/>
  </numFmts>
  <fonts count="35" x14ac:knownFonts="1">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1"/>
      <name val="Calibri"/>
      <family val="2"/>
      <scheme val="minor"/>
    </font>
    <font>
      <sz val="11"/>
      <color rgb="FF9C5700"/>
      <name val="Calibri"/>
      <family val="2"/>
      <scheme val="minor"/>
    </font>
    <font>
      <b/>
      <sz val="11"/>
      <color theme="0"/>
      <name val="Calibri"/>
      <family val="2"/>
      <scheme val="minor"/>
    </font>
    <font>
      <sz val="8"/>
      <color theme="1"/>
      <name val="Calibri"/>
      <family val="2"/>
      <scheme val="minor"/>
    </font>
    <font>
      <sz val="11"/>
      <color theme="0"/>
      <name val="Calibri"/>
      <family val="2"/>
      <scheme val="minor"/>
    </font>
    <font>
      <sz val="11"/>
      <color theme="5"/>
      <name val="Calibri"/>
      <family val="2"/>
      <scheme val="minor"/>
    </font>
    <font>
      <b/>
      <sz val="10"/>
      <color rgb="FF262425"/>
      <name val="Calibri"/>
      <family val="2"/>
      <scheme val="minor"/>
    </font>
    <font>
      <sz val="9"/>
      <color rgb="FF201F1E"/>
      <name val="Segoe UI"/>
      <family val="2"/>
    </font>
    <font>
      <sz val="11"/>
      <color rgb="FF201F1E"/>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bgColor indexed="64"/>
      </patternFill>
    </fill>
  </fills>
  <borders count="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style="thin">
        <color rgb="FF3F3F3F"/>
      </right>
      <top style="thin">
        <color rgb="FF3F3F3F"/>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uble">
        <color rgb="FF3F3F3F"/>
      </left>
      <right/>
      <top/>
      <bottom style="thin">
        <color indexed="64"/>
      </bottom>
      <diagonal/>
    </border>
    <border>
      <left/>
      <right/>
      <top style="thin">
        <color rgb="FF3F3F3F"/>
      </top>
      <bottom/>
      <diagonal/>
    </border>
    <border>
      <left style="thin">
        <color rgb="FF3F3F3F"/>
      </left>
      <right/>
      <top style="thin">
        <color rgb="FF3F3F3F"/>
      </top>
      <bottom/>
      <diagonal/>
    </border>
    <border>
      <left/>
      <right style="thin">
        <color rgb="FF3F3F3F"/>
      </right>
      <top style="thin">
        <color rgb="FF3F3F3F"/>
      </top>
      <bottom/>
      <diagonal/>
    </border>
  </borders>
  <cellStyleXfs count="7">
    <xf numFmtId="0" fontId="0" fillId="0" borderId="0"/>
    <xf numFmtId="0" fontId="15" fillId="11" borderId="15" applyNumberFormat="0" applyAlignment="0" applyProtection="0"/>
    <xf numFmtId="0" fontId="16" fillId="12" borderId="16" applyNumberFormat="0" applyAlignment="0" applyProtection="0"/>
    <xf numFmtId="0" fontId="21" fillId="0" borderId="0" applyNumberFormat="0" applyFill="0" applyBorder="0" applyAlignment="0" applyProtection="0"/>
    <xf numFmtId="0" fontId="27" fillId="19" borderId="0" applyNumberFormat="0" applyBorder="0" applyAlignment="0" applyProtection="0"/>
    <xf numFmtId="0" fontId="28" fillId="20" borderId="30" applyNumberFormat="0" applyAlignment="0" applyProtection="0"/>
    <xf numFmtId="0" fontId="26" fillId="21" borderId="0" applyNumberFormat="0" applyBorder="0" applyAlignment="0" applyProtection="0"/>
  </cellStyleXfs>
  <cellXfs count="398">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2" borderId="0" xfId="0" applyFill="1" applyBorder="1"/>
    <xf numFmtId="0" fontId="0" fillId="4" borderId="7" xfId="0" applyFill="1" applyBorder="1"/>
    <xf numFmtId="0" fontId="0" fillId="4" borderId="0" xfId="0" applyFill="1" applyBorder="1"/>
    <xf numFmtId="0" fontId="0" fillId="4" borderId="8" xfId="0" applyFill="1" applyBorder="1"/>
    <xf numFmtId="0" fontId="0" fillId="4" borderId="0" xfId="0" applyFill="1" applyBorder="1" applyAlignment="1">
      <alignment horizontal="left"/>
    </xf>
    <xf numFmtId="0" fontId="0" fillId="4" borderId="9" xfId="0" applyFill="1" applyBorder="1"/>
    <xf numFmtId="0" fontId="0" fillId="4" borderId="10" xfId="0" applyFill="1" applyBorder="1"/>
    <xf numFmtId="0" fontId="0" fillId="4" borderId="10" xfId="0" applyFill="1" applyBorder="1" applyAlignment="1">
      <alignment horizontal="center"/>
    </xf>
    <xf numFmtId="0" fontId="0" fillId="4" borderId="11"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0" xfId="0" applyFill="1" applyBorder="1"/>
    <xf numFmtId="0" fontId="0" fillId="6" borderId="8" xfId="0" applyFill="1" applyBorder="1"/>
    <xf numFmtId="0" fontId="0" fillId="5" borderId="9" xfId="0" applyFill="1" applyBorder="1"/>
    <xf numFmtId="0" fontId="0" fillId="5" borderId="11" xfId="0" applyFill="1" applyBorder="1"/>
    <xf numFmtId="0" fontId="0" fillId="6" borderId="9" xfId="0" applyFill="1" applyBorder="1"/>
    <xf numFmtId="0" fontId="0" fillId="6" borderId="10" xfId="0" applyFill="1" applyBorder="1"/>
    <xf numFmtId="0" fontId="0" fillId="6" borderId="11" xfId="0" applyFill="1" applyBorder="1"/>
    <xf numFmtId="0" fontId="0" fillId="7" borderId="4" xfId="0" applyFill="1" applyBorder="1"/>
    <xf numFmtId="0" fontId="0" fillId="7" borderId="5" xfId="0" applyFill="1" applyBorder="1"/>
    <xf numFmtId="0" fontId="0" fillId="7" borderId="6" xfId="0" applyFill="1" applyBorder="1"/>
    <xf numFmtId="0" fontId="0" fillId="2" borderId="7" xfId="0" applyFill="1" applyBorder="1"/>
    <xf numFmtId="0" fontId="0" fillId="7" borderId="7" xfId="0" applyFill="1" applyBorder="1"/>
    <xf numFmtId="0" fontId="0" fillId="7" borderId="0" xfId="0" applyFill="1" applyBorder="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8" borderId="4" xfId="0" applyFill="1" applyBorder="1"/>
    <xf numFmtId="0" fontId="0" fillId="8" borderId="5" xfId="0" applyFill="1" applyBorder="1"/>
    <xf numFmtId="0" fontId="0" fillId="8" borderId="6" xfId="0" applyFill="1" applyBorder="1"/>
    <xf numFmtId="0" fontId="0" fillId="8" borderId="7" xfId="0" applyFill="1" applyBorder="1"/>
    <xf numFmtId="0" fontId="0" fillId="8" borderId="0" xfId="0" applyFill="1" applyBorder="1"/>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0" fillId="7" borderId="0" xfId="0" applyFont="1" applyFill="1" applyBorder="1" applyAlignment="1">
      <alignment horizontal="center"/>
    </xf>
    <xf numFmtId="0" fontId="9" fillId="7" borderId="0" xfId="0" applyFont="1" applyFill="1" applyBorder="1"/>
    <xf numFmtId="0" fontId="9" fillId="8" borderId="0" xfId="0" applyFont="1" applyFill="1" applyBorder="1"/>
    <xf numFmtId="0" fontId="0" fillId="7" borderId="0" xfId="0" applyFill="1" applyBorder="1" applyAlignment="1">
      <alignment vertical="center"/>
    </xf>
    <xf numFmtId="0" fontId="0" fillId="8" borderId="0" xfId="0" applyFill="1" applyBorder="1" applyAlignment="1"/>
    <xf numFmtId="0" fontId="2" fillId="6" borderId="0" xfId="0" applyFont="1" applyFill="1" applyBorder="1" applyAlignment="1"/>
    <xf numFmtId="0" fontId="0" fillId="6" borderId="0" xfId="0" applyFill="1" applyBorder="1" applyAlignment="1">
      <alignment vertical="center"/>
    </xf>
    <xf numFmtId="0" fontId="0" fillId="6" borderId="0" xfId="0" applyFill="1" applyBorder="1" applyAlignment="1"/>
    <xf numFmtId="0" fontId="2" fillId="6" borderId="10" xfId="0" applyFont="1" applyFill="1" applyBorder="1" applyAlignment="1"/>
    <xf numFmtId="0" fontId="0" fillId="6" borderId="10" xfId="0" applyFill="1" applyBorder="1" applyAlignment="1"/>
    <xf numFmtId="0" fontId="1" fillId="2" borderId="5" xfId="0" applyFont="1" applyFill="1" applyBorder="1"/>
    <xf numFmtId="0" fontId="12" fillId="2" borderId="5" xfId="0" applyFont="1" applyFill="1" applyBorder="1" applyAlignment="1"/>
    <xf numFmtId="0" fontId="1" fillId="2" borderId="0" xfId="0" applyFont="1" applyFill="1" applyBorder="1"/>
    <xf numFmtId="0" fontId="12" fillId="2" borderId="0" xfId="0" applyFont="1" applyFill="1" applyBorder="1" applyAlignment="1"/>
    <xf numFmtId="0" fontId="4" fillId="7" borderId="0" xfId="0" applyFont="1" applyFill="1" applyBorder="1" applyAlignment="1">
      <alignment vertical="center"/>
    </xf>
    <xf numFmtId="0" fontId="0" fillId="7" borderId="0" xfId="0" applyFill="1"/>
    <xf numFmtId="0" fontId="0" fillId="7" borderId="0" xfId="0" applyFill="1" applyAlignment="1">
      <alignment horizontal="right"/>
    </xf>
    <xf numFmtId="0" fontId="13" fillId="7" borderId="0" xfId="0" applyFont="1" applyFill="1" applyBorder="1" applyAlignment="1">
      <alignment vertical="center"/>
    </xf>
    <xf numFmtId="0" fontId="0" fillId="7" borderId="0" xfId="0" applyFont="1" applyFill="1" applyBorder="1" applyAlignment="1">
      <alignment vertical="center"/>
    </xf>
    <xf numFmtId="0" fontId="0" fillId="7" borderId="0" xfId="0" applyFill="1" applyAlignment="1">
      <alignment horizontal="left"/>
    </xf>
    <xf numFmtId="2" fontId="0" fillId="7" borderId="0" xfId="0" applyNumberFormat="1" applyFont="1" applyFill="1" applyBorder="1" applyAlignment="1">
      <alignment horizontal="center" vertical="center"/>
    </xf>
    <xf numFmtId="2" fontId="0" fillId="7" borderId="0" xfId="0" applyNumberFormat="1" applyFont="1" applyFill="1" applyBorder="1" applyAlignment="1">
      <alignment horizontal="left" vertical="center"/>
    </xf>
    <xf numFmtId="0" fontId="0" fillId="7" borderId="0" xfId="0" applyFill="1" applyBorder="1" applyAlignment="1"/>
    <xf numFmtId="0" fontId="2" fillId="7" borderId="10" xfId="0" applyFont="1" applyFill="1" applyBorder="1" applyAlignment="1"/>
    <xf numFmtId="0" fontId="0" fillId="7" borderId="10" xfId="0" applyFill="1" applyBorder="1" applyAlignment="1"/>
    <xf numFmtId="0" fontId="4" fillId="2" borderId="5" xfId="0" applyFont="1" applyFill="1" applyBorder="1" applyAlignment="1">
      <alignment vertical="center"/>
    </xf>
    <xf numFmtId="0" fontId="4" fillId="8" borderId="0" xfId="0" applyFont="1" applyFill="1" applyBorder="1" applyAlignment="1">
      <alignment vertical="center"/>
    </xf>
    <xf numFmtId="0" fontId="13" fillId="8" borderId="0" xfId="0" applyFont="1" applyFill="1" applyBorder="1" applyAlignment="1">
      <alignment vertical="center"/>
    </xf>
    <xf numFmtId="0" fontId="0" fillId="8" borderId="0" xfId="0" applyFont="1" applyFill="1" applyBorder="1" applyAlignment="1">
      <alignment vertical="center"/>
    </xf>
    <xf numFmtId="0" fontId="0" fillId="8" borderId="0" xfId="0" applyFill="1"/>
    <xf numFmtId="2" fontId="0" fillId="8" borderId="0" xfId="0" applyNumberFormat="1" applyFont="1" applyFill="1" applyBorder="1" applyAlignment="1">
      <alignment horizontal="center" vertical="center"/>
    </xf>
    <xf numFmtId="2" fontId="0" fillId="8" borderId="0" xfId="0" applyNumberFormat="1" applyFont="1" applyFill="1" applyBorder="1" applyAlignment="1">
      <alignment horizontal="left" vertical="center"/>
    </xf>
    <xf numFmtId="0" fontId="2" fillId="8" borderId="10" xfId="0" applyFont="1" applyFill="1" applyBorder="1" applyAlignment="1"/>
    <xf numFmtId="2" fontId="0" fillId="5" borderId="0" xfId="0" applyNumberFormat="1" applyFill="1" applyAlignment="1">
      <alignment horizontal="center"/>
    </xf>
    <xf numFmtId="0" fontId="0" fillId="5" borderId="0" xfId="0" applyFill="1"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13" xfId="0" applyBorder="1" applyAlignment="1">
      <alignment horizontal="center" vertical="center"/>
    </xf>
    <xf numFmtId="0" fontId="0" fillId="0" borderId="0" xfId="0" applyBorder="1"/>
    <xf numFmtId="0" fontId="0" fillId="0" borderId="8" xfId="0" applyBorder="1"/>
    <xf numFmtId="165" fontId="0" fillId="0" borderId="7" xfId="0" applyNumberFormat="1" applyBorder="1"/>
    <xf numFmtId="0" fontId="0" fillId="0" borderId="14" xfId="0" applyBorder="1" applyAlignment="1">
      <alignment horizontal="center" vertical="center"/>
    </xf>
    <xf numFmtId="0" fontId="0" fillId="0" borderId="7" xfId="0" applyBorder="1"/>
    <xf numFmtId="0" fontId="0" fillId="0" borderId="12" xfId="0"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5" borderId="0" xfId="0" applyFill="1" applyBorder="1"/>
    <xf numFmtId="0" fontId="0" fillId="5" borderId="0" xfId="0" applyFill="1" applyBorder="1" applyAlignment="1"/>
    <xf numFmtId="0" fontId="0" fillId="8" borderId="2" xfId="0" applyFill="1" applyBorder="1" applyAlignment="1">
      <alignment horizontal="center"/>
    </xf>
    <xf numFmtId="0" fontId="0" fillId="9" borderId="2" xfId="0" applyFill="1" applyBorder="1"/>
    <xf numFmtId="0" fontId="14" fillId="9" borderId="2" xfId="0" applyFont="1" applyFill="1" applyBorder="1" applyAlignment="1">
      <alignment horizontal="center"/>
    </xf>
    <xf numFmtId="2" fontId="0" fillId="9" borderId="2" xfId="0" applyNumberFormat="1" applyFill="1" applyBorder="1" applyAlignment="1">
      <alignment horizontal="center"/>
    </xf>
    <xf numFmtId="0" fontId="0" fillId="9" borderId="2" xfId="0" applyFill="1" applyBorder="1" applyAlignment="1"/>
    <xf numFmtId="0" fontId="0" fillId="9"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9" borderId="1" xfId="0" applyFill="1" applyBorder="1"/>
    <xf numFmtId="0" fontId="0" fillId="9" borderId="3" xfId="0" applyFill="1" applyBorder="1"/>
    <xf numFmtId="0" fontId="0" fillId="5" borderId="7" xfId="0" applyFill="1" applyBorder="1"/>
    <xf numFmtId="0" fontId="0" fillId="5" borderId="8" xfId="0" applyFill="1" applyBorder="1"/>
    <xf numFmtId="2" fontId="0" fillId="5" borderId="0" xfId="0" applyNumberFormat="1" applyFill="1" applyBorder="1"/>
    <xf numFmtId="0" fontId="0" fillId="5" borderId="10" xfId="0" applyFill="1" applyBorder="1"/>
    <xf numFmtId="0" fontId="0" fillId="5" borderId="10" xfId="0" applyFill="1" applyBorder="1" applyAlignment="1"/>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2" fontId="0" fillId="5" borderId="0" xfId="0" applyNumberFormat="1" applyFill="1" applyBorder="1" applyAlignment="1">
      <alignment horizontal="center"/>
    </xf>
    <xf numFmtId="0" fontId="0" fillId="5" borderId="1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5" xfId="0" applyFill="1" applyBorder="1" applyAlignment="1"/>
    <xf numFmtId="0" fontId="0" fillId="5" borderId="6" xfId="0" applyFill="1" applyBorder="1"/>
    <xf numFmtId="0" fontId="0" fillId="5" borderId="0" xfId="0" applyFill="1" applyBorder="1" applyAlignment="1">
      <alignment horizontal="center"/>
    </xf>
    <xf numFmtId="0" fontId="4" fillId="5" borderId="3" xfId="0" applyFont="1" applyFill="1" applyBorder="1" applyAlignment="1">
      <alignment vertical="center"/>
    </xf>
    <xf numFmtId="0" fontId="4" fillId="2" borderId="0" xfId="0" applyFont="1" applyFill="1" applyBorder="1" applyAlignment="1">
      <alignment vertical="center"/>
    </xf>
    <xf numFmtId="164" fontId="15" fillId="11" borderId="15" xfId="1" applyNumberFormat="1" applyAlignment="1" applyProtection="1">
      <alignment horizontal="center"/>
      <protection locked="0"/>
    </xf>
    <xf numFmtId="2" fontId="15" fillId="11" borderId="15" xfId="1" applyNumberFormat="1" applyAlignment="1" applyProtection="1">
      <alignment horizontal="center"/>
      <protection locked="0"/>
    </xf>
    <xf numFmtId="1" fontId="15" fillId="11" borderId="15" xfId="1" applyNumberFormat="1" applyAlignment="1" applyProtection="1">
      <alignment horizontal="center"/>
      <protection locked="0"/>
    </xf>
    <xf numFmtId="2" fontId="15" fillId="11" borderId="15" xfId="1" applyNumberFormat="1" applyAlignment="1">
      <alignment horizontal="center"/>
    </xf>
    <xf numFmtId="0" fontId="2" fillId="7" borderId="0" xfId="0" applyFont="1" applyFill="1" applyBorder="1" applyAlignment="1"/>
    <xf numFmtId="0" fontId="0" fillId="13" borderId="7" xfId="0" applyFill="1" applyBorder="1"/>
    <xf numFmtId="0" fontId="0" fillId="13" borderId="4" xfId="0" applyFill="1" applyBorder="1"/>
    <xf numFmtId="0" fontId="0" fillId="13" borderId="5" xfId="0" applyFill="1" applyBorder="1"/>
    <xf numFmtId="0" fontId="0" fillId="13" borderId="6" xfId="0" applyFill="1" applyBorder="1"/>
    <xf numFmtId="0" fontId="0" fillId="13" borderId="0" xfId="0" applyFill="1" applyBorder="1"/>
    <xf numFmtId="0" fontId="0" fillId="13" borderId="8" xfId="0" applyFill="1" applyBorder="1"/>
    <xf numFmtId="0" fontId="0" fillId="13" borderId="9" xfId="0" applyFill="1" applyBorder="1"/>
    <xf numFmtId="0" fontId="0" fillId="13" borderId="10" xfId="0" applyFill="1" applyBorder="1"/>
    <xf numFmtId="0" fontId="8" fillId="13" borderId="0" xfId="0" applyFont="1" applyFill="1" applyBorder="1"/>
    <xf numFmtId="0" fontId="0" fillId="13" borderId="11" xfId="0" applyFill="1" applyBorder="1"/>
    <xf numFmtId="0" fontId="0" fillId="13" borderId="0" xfId="0" applyFill="1" applyBorder="1" applyAlignment="1">
      <alignment horizontal="left"/>
    </xf>
    <xf numFmtId="0" fontId="2" fillId="8" borderId="0" xfId="0" applyFont="1" applyFill="1" applyBorder="1" applyAlignment="1"/>
    <xf numFmtId="164" fontId="15" fillId="11" borderId="15" xfId="1" applyNumberFormat="1" applyBorder="1" applyAlignment="1" applyProtection="1">
      <alignment horizontal="center"/>
      <protection locked="0"/>
    </xf>
    <xf numFmtId="2" fontId="6" fillId="14" borderId="15" xfId="0" applyNumberFormat="1" applyFont="1" applyFill="1" applyBorder="1" applyAlignment="1">
      <alignment horizontal="center"/>
    </xf>
    <xf numFmtId="0" fontId="6" fillId="14" borderId="15" xfId="0" applyFont="1" applyFill="1" applyBorder="1" applyAlignment="1">
      <alignment horizontal="center"/>
    </xf>
    <xf numFmtId="0" fontId="16" fillId="12" borderId="25" xfId="2" applyBorder="1" applyAlignment="1">
      <alignment horizontal="center"/>
    </xf>
    <xf numFmtId="0" fontId="15" fillId="11" borderId="15" xfId="1" applyBorder="1" applyAlignment="1">
      <alignment horizontal="center"/>
    </xf>
    <xf numFmtId="0" fontId="7" fillId="7" borderId="0" xfId="0" applyFont="1" applyFill="1" applyBorder="1" applyAlignment="1">
      <alignment horizontal="center"/>
    </xf>
    <xf numFmtId="0" fontId="10" fillId="7" borderId="0" xfId="0" applyFont="1" applyFill="1" applyBorder="1" applyAlignment="1"/>
    <xf numFmtId="0" fontId="10" fillId="8" borderId="0" xfId="0" applyFont="1" applyFill="1" applyBorder="1" applyAlignment="1"/>
    <xf numFmtId="0" fontId="7" fillId="8" borderId="0" xfId="0" applyFont="1" applyFill="1" applyBorder="1" applyAlignment="1">
      <alignment horizontal="center"/>
    </xf>
    <xf numFmtId="0" fontId="0" fillId="8" borderId="2" xfId="0" applyFill="1" applyBorder="1" applyAlignment="1">
      <alignment horizontal="left"/>
    </xf>
    <xf numFmtId="0" fontId="14" fillId="9" borderId="2" xfId="0" applyFont="1" applyFill="1" applyBorder="1" applyAlignment="1">
      <alignment horizontal="left"/>
    </xf>
    <xf numFmtId="0" fontId="0" fillId="5" borderId="0" xfId="0" applyFill="1" applyBorder="1" applyAlignment="1">
      <alignment horizontal="left"/>
    </xf>
    <xf numFmtId="0" fontId="7" fillId="6" borderId="0" xfId="0" applyFont="1" applyFill="1" applyBorder="1" applyAlignment="1">
      <alignment horizontal="center"/>
    </xf>
    <xf numFmtId="165" fontId="16" fillId="12" borderId="16" xfId="2" applyNumberFormat="1" applyAlignment="1">
      <alignment horizontal="center"/>
    </xf>
    <xf numFmtId="2" fontId="16" fillId="12" borderId="16" xfId="2" applyNumberFormat="1" applyAlignment="1">
      <alignment horizontal="center" vertical="center"/>
    </xf>
    <xf numFmtId="0" fontId="0" fillId="0" borderId="0" xfId="0" applyAlignment="1"/>
    <xf numFmtId="0" fontId="2" fillId="15" borderId="0" xfId="0" applyFont="1" applyFill="1"/>
    <xf numFmtId="0" fontId="0" fillId="9" borderId="2" xfId="0" applyFill="1" applyBorder="1" applyAlignment="1">
      <alignment horizontal="right"/>
    </xf>
    <xf numFmtId="0" fontId="0" fillId="2" borderId="0" xfId="0" applyFill="1" applyAlignment="1">
      <alignment horizontal="right"/>
    </xf>
    <xf numFmtId="0" fontId="19" fillId="5" borderId="0" xfId="0" applyFont="1" applyFill="1" applyBorder="1" applyAlignment="1">
      <alignment horizontal="right"/>
    </xf>
    <xf numFmtId="0" fontId="19" fillId="9" borderId="2" xfId="0" applyFont="1" applyFill="1" applyBorder="1" applyAlignment="1">
      <alignment horizontal="right"/>
    </xf>
    <xf numFmtId="0" fontId="6" fillId="9" borderId="2" xfId="0" applyFont="1" applyFill="1" applyBorder="1" applyAlignment="1">
      <alignment horizontal="right"/>
    </xf>
    <xf numFmtId="0" fontId="19" fillId="5" borderId="5" xfId="0" applyFont="1" applyFill="1" applyBorder="1" applyAlignment="1">
      <alignment horizontal="right"/>
    </xf>
    <xf numFmtId="0" fontId="19" fillId="5" borderId="10" xfId="0" applyFont="1" applyFill="1" applyBorder="1" applyAlignment="1">
      <alignment horizontal="right"/>
    </xf>
    <xf numFmtId="0" fontId="0" fillId="15" borderId="0" xfId="0" applyFill="1"/>
    <xf numFmtId="11" fontId="15" fillId="11" borderId="15" xfId="1" applyNumberFormat="1" applyBorder="1" applyAlignment="1">
      <alignment horizontal="center"/>
    </xf>
    <xf numFmtId="2" fontId="16" fillId="12" borderId="16" xfId="2" applyNumberFormat="1" applyBorder="1" applyAlignment="1">
      <alignment horizontal="center"/>
    </xf>
    <xf numFmtId="11" fontId="0" fillId="0" borderId="13" xfId="0" applyNumberFormat="1" applyBorder="1" applyAlignment="1">
      <alignment horizontal="center"/>
    </xf>
    <xf numFmtId="11" fontId="0" fillId="0" borderId="12" xfId="0" applyNumberFormat="1" applyBorder="1" applyAlignment="1">
      <alignment horizontal="center"/>
    </xf>
    <xf numFmtId="0" fontId="0" fillId="0" borderId="0" xfId="0"/>
    <xf numFmtId="0" fontId="0" fillId="8" borderId="0" xfId="0" applyFill="1" applyBorder="1" applyAlignment="1">
      <alignment horizontal="left"/>
    </xf>
    <xf numFmtId="0" fontId="0" fillId="7" borderId="0" xfId="0" applyFill="1" applyBorder="1" applyAlignment="1">
      <alignment horizontal="left"/>
    </xf>
    <xf numFmtId="0" fontId="0" fillId="0" borderId="0" xfId="0"/>
    <xf numFmtId="0" fontId="0" fillId="7" borderId="0" xfId="0" applyFill="1" applyBorder="1" applyAlignment="1">
      <alignment horizontal="right" vertical="center"/>
    </xf>
    <xf numFmtId="0" fontId="15" fillId="7" borderId="0" xfId="1" applyFill="1" applyBorder="1" applyAlignment="1">
      <alignment horizontal="center"/>
    </xf>
    <xf numFmtId="165" fontId="15" fillId="7" borderId="0" xfId="1" applyNumberFormat="1" applyFill="1" applyBorder="1" applyAlignment="1">
      <alignment horizontal="center"/>
    </xf>
    <xf numFmtId="0" fontId="0" fillId="15" borderId="0" xfId="0" applyFill="1" applyBorder="1"/>
    <xf numFmtId="0" fontId="16" fillId="12" borderId="16" xfId="2" applyBorder="1" applyAlignment="1">
      <alignment horizontal="center"/>
    </xf>
    <xf numFmtId="164" fontId="16" fillId="12" borderId="16" xfId="2" applyNumberFormat="1" applyBorder="1" applyAlignment="1">
      <alignment horizontal="center"/>
    </xf>
    <xf numFmtId="165" fontId="15" fillId="11" borderId="15" xfId="1" applyNumberFormat="1" applyBorder="1" applyAlignment="1">
      <alignment horizontal="center"/>
    </xf>
    <xf numFmtId="166" fontId="16" fillId="12" borderId="16" xfId="2" applyNumberFormat="1" applyBorder="1" applyAlignment="1">
      <alignment horizontal="center"/>
    </xf>
    <xf numFmtId="0" fontId="3" fillId="15" borderId="7" xfId="0" applyFont="1" applyFill="1" applyBorder="1" applyAlignment="1">
      <alignment vertical="center"/>
    </xf>
    <xf numFmtId="0" fontId="3" fillId="15" borderId="0" xfId="0" applyFont="1" applyFill="1" applyBorder="1" applyAlignment="1">
      <alignment vertical="center"/>
    </xf>
    <xf numFmtId="0" fontId="0" fillId="15" borderId="0" xfId="0" applyFill="1" applyBorder="1" applyAlignment="1">
      <alignment horizontal="center"/>
    </xf>
    <xf numFmtId="0" fontId="15" fillId="15" borderId="0" xfId="1" applyFill="1" applyBorder="1" applyAlignment="1">
      <alignment horizontal="center"/>
    </xf>
    <xf numFmtId="0" fontId="0" fillId="15" borderId="0" xfId="0" applyFill="1" applyBorder="1" applyAlignment="1">
      <alignment horizontal="left"/>
    </xf>
    <xf numFmtId="0" fontId="0" fillId="0" borderId="0" xfId="0"/>
    <xf numFmtId="2" fontId="15" fillId="5" borderId="26" xfId="1" applyNumberFormat="1" applyFill="1" applyBorder="1" applyAlignment="1" applyProtection="1">
      <alignment horizontal="center"/>
    </xf>
    <xf numFmtId="2" fontId="16" fillId="12" borderId="27" xfId="2" applyNumberFormat="1" applyBorder="1" applyAlignment="1">
      <alignment horizontal="center"/>
    </xf>
    <xf numFmtId="2" fontId="18" fillId="12" borderId="28" xfId="2" applyNumberFormat="1" applyFont="1" applyBorder="1" applyAlignment="1">
      <alignment horizontal="center"/>
    </xf>
    <xf numFmtId="0" fontId="0" fillId="5" borderId="0" xfId="0" applyFill="1"/>
    <xf numFmtId="11" fontId="0" fillId="5" borderId="0" xfId="0" applyNumberFormat="1" applyFill="1" applyBorder="1" applyAlignment="1">
      <alignment horizontal="center"/>
    </xf>
    <xf numFmtId="2" fontId="18" fillId="5" borderId="29" xfId="2" applyNumberFormat="1" applyFont="1" applyFill="1" applyBorder="1" applyAlignment="1">
      <alignment horizontal="center"/>
    </xf>
    <xf numFmtId="0" fontId="0" fillId="2" borderId="8" xfId="0" applyFill="1" applyBorder="1"/>
    <xf numFmtId="0" fontId="0" fillId="13" borderId="0" xfId="0" applyFill="1"/>
    <xf numFmtId="2" fontId="15" fillId="5" borderId="0" xfId="1" applyNumberFormat="1" applyFill="1" applyBorder="1" applyAlignment="1" applyProtection="1">
      <alignment horizontal="center"/>
      <protection locked="0"/>
    </xf>
    <xf numFmtId="0" fontId="21" fillId="7" borderId="0" xfId="3" applyFill="1" applyBorder="1"/>
    <xf numFmtId="0" fontId="0" fillId="4" borderId="0" xfId="0" applyFill="1" applyBorder="1" applyAlignment="1">
      <alignment horizontal="center"/>
    </xf>
    <xf numFmtId="0" fontId="0" fillId="7" borderId="0" xfId="0" applyFill="1" applyBorder="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0" fontId="16" fillId="12" borderId="16" xfId="2" applyAlignment="1">
      <alignment horizont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7" borderId="0" xfId="0" applyFill="1" applyAlignment="1">
      <alignment horizontal="center"/>
    </xf>
    <xf numFmtId="0" fontId="0" fillId="6" borderId="0" xfId="0" applyFill="1" applyBorder="1" applyAlignment="1">
      <alignment horizontal="center"/>
    </xf>
    <xf numFmtId="0" fontId="0" fillId="0" borderId="0" xfId="0"/>
    <xf numFmtId="0" fontId="0" fillId="0" borderId="0" xfId="0" applyAlignment="1">
      <alignment horizontal="center"/>
    </xf>
    <xf numFmtId="0" fontId="0" fillId="10" borderId="0" xfId="0" applyFill="1" applyAlignment="1">
      <alignment horizontal="center"/>
    </xf>
    <xf numFmtId="0" fontId="0" fillId="0" borderId="0" xfId="0" applyAlignment="1">
      <alignment horizontal="center"/>
    </xf>
    <xf numFmtId="0" fontId="16" fillId="12" borderId="16" xfId="2" applyAlignment="1">
      <alignment horizontal="center"/>
    </xf>
    <xf numFmtId="0" fontId="0" fillId="6" borderId="0" xfId="0" applyFill="1" applyBorder="1" applyAlignment="1">
      <alignment horizontal="center"/>
    </xf>
    <xf numFmtId="0" fontId="0" fillId="0" borderId="31" xfId="0" applyBorder="1" applyAlignment="1">
      <alignment horizontal="center"/>
    </xf>
    <xf numFmtId="0" fontId="26" fillId="21" borderId="31" xfId="6" applyBorder="1" applyAlignment="1">
      <alignment horizontal="center"/>
    </xf>
    <xf numFmtId="0" fontId="27" fillId="19" borderId="31" xfId="4" applyBorder="1" applyAlignment="1">
      <alignment horizontal="center"/>
    </xf>
    <xf numFmtId="0" fontId="27" fillId="19" borderId="31" xfId="4" applyBorder="1"/>
    <xf numFmtId="0" fontId="20" fillId="16" borderId="31" xfId="0" applyFont="1" applyFill="1" applyBorder="1" applyAlignment="1">
      <alignment horizontal="center"/>
    </xf>
    <xf numFmtId="11" fontId="0" fillId="0" borderId="31" xfId="0" applyNumberFormat="1" applyBorder="1" applyAlignment="1">
      <alignment horizontal="center"/>
    </xf>
    <xf numFmtId="0" fontId="16" fillId="6" borderId="32" xfId="2" applyFill="1" applyBorder="1" applyAlignment="1">
      <alignment horizontal="center"/>
    </xf>
    <xf numFmtId="0" fontId="0" fillId="7" borderId="0" xfId="0" applyFill="1" applyBorder="1" applyAlignment="1">
      <alignment horizontal="center"/>
    </xf>
    <xf numFmtId="0" fontId="0" fillId="10" borderId="13" xfId="0" applyFill="1" applyBorder="1" applyAlignment="1">
      <alignment horizontal="center"/>
    </xf>
    <xf numFmtId="0" fontId="29" fillId="7" borderId="0" xfId="0" applyFont="1" applyFill="1" applyBorder="1"/>
    <xf numFmtId="0" fontId="29" fillId="5" borderId="0" xfId="0" applyFont="1" applyFill="1" applyBorder="1"/>
    <xf numFmtId="0" fontId="0" fillId="8" borderId="0"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xf numFmtId="0" fontId="0" fillId="0" borderId="3" xfId="0" applyBorder="1"/>
    <xf numFmtId="0" fontId="0" fillId="0" borderId="1" xfId="0" applyBorder="1"/>
    <xf numFmtId="0" fontId="0" fillId="0" borderId="0" xfId="0" applyAlignment="1">
      <alignment horizontal="center" wrapText="1"/>
    </xf>
    <xf numFmtId="0" fontId="1" fillId="0" borderId="11" xfId="0" applyFont="1" applyBorder="1" applyAlignment="1">
      <alignment horizontal="center" wrapText="1"/>
    </xf>
    <xf numFmtId="0" fontId="31" fillId="0" borderId="8" xfId="0" applyFont="1" applyBorder="1" applyAlignment="1">
      <alignment horizont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23" borderId="31" xfId="0" applyFill="1" applyBorder="1" applyAlignment="1">
      <alignment horizontal="center" vertical="center" wrapText="1"/>
    </xf>
    <xf numFmtId="0" fontId="0" fillId="9" borderId="31" xfId="0" applyFill="1" applyBorder="1" applyAlignment="1">
      <alignment horizontal="center" vertical="center" wrapText="1"/>
    </xf>
    <xf numFmtId="164" fontId="0" fillId="23" borderId="31" xfId="0" applyNumberFormat="1" applyFill="1" applyBorder="1" applyAlignment="1">
      <alignment horizontal="center" vertical="center" wrapText="1"/>
    </xf>
    <xf numFmtId="2" fontId="0" fillId="23" borderId="31" xfId="0" applyNumberFormat="1" applyFill="1" applyBorder="1" applyAlignment="1">
      <alignment horizontal="center" vertical="center" wrapText="1"/>
    </xf>
    <xf numFmtId="1" fontId="0" fillId="23" borderId="31" xfId="0" applyNumberFormat="1" applyFill="1" applyBorder="1" applyAlignment="1">
      <alignment horizontal="center" vertical="center" wrapText="1"/>
    </xf>
    <xf numFmtId="0" fontId="0" fillId="24" borderId="31" xfId="0" applyFill="1" applyBorder="1" applyAlignment="1">
      <alignment horizontal="center" vertical="center" wrapText="1"/>
    </xf>
    <xf numFmtId="0" fontId="0" fillId="17" borderId="31" xfId="0" applyFill="1" applyBorder="1" applyAlignment="1">
      <alignment horizontal="center"/>
    </xf>
    <xf numFmtId="0" fontId="0" fillId="25" borderId="31" xfId="0" applyFill="1" applyBorder="1" applyAlignment="1">
      <alignment horizontal="center"/>
    </xf>
    <xf numFmtId="0" fontId="0" fillId="18" borderId="31" xfId="0" applyFill="1" applyBorder="1" applyAlignment="1">
      <alignment horizontal="center" vertical="center" wrapText="1"/>
    </xf>
    <xf numFmtId="0" fontId="0" fillId="18" borderId="31" xfId="0" applyFill="1" applyBorder="1" applyAlignment="1">
      <alignment horizontal="center" vertical="center"/>
    </xf>
    <xf numFmtId="0" fontId="21" fillId="0" borderId="0" xfId="3"/>
    <xf numFmtId="8" fontId="32" fillId="18" borderId="31" xfId="0" applyNumberFormat="1" applyFont="1" applyFill="1" applyBorder="1" applyAlignment="1">
      <alignment horizontal="center" vertical="center"/>
    </xf>
    <xf numFmtId="0" fontId="0" fillId="17" borderId="31" xfId="0" applyFill="1" applyBorder="1" applyAlignment="1">
      <alignment horizontal="center" vertical="center"/>
    </xf>
    <xf numFmtId="0" fontId="21" fillId="17" borderId="31" xfId="3" applyFill="1" applyBorder="1" applyAlignment="1">
      <alignment horizontal="center"/>
    </xf>
    <xf numFmtId="2" fontId="0" fillId="17" borderId="31" xfId="0" applyNumberFormat="1" applyFill="1" applyBorder="1" applyAlignment="1">
      <alignment horizontal="center"/>
    </xf>
    <xf numFmtId="0" fontId="0" fillId="23" borderId="31" xfId="0" applyFill="1" applyBorder="1" applyAlignment="1">
      <alignment horizontal="center"/>
    </xf>
    <xf numFmtId="0" fontId="0" fillId="23" borderId="40" xfId="0" applyFill="1" applyBorder="1" applyAlignment="1">
      <alignment horizontal="center"/>
    </xf>
    <xf numFmtId="0" fontId="0" fillId="23" borderId="41" xfId="0" applyFill="1" applyBorder="1" applyAlignment="1">
      <alignment horizontal="center"/>
    </xf>
    <xf numFmtId="0" fontId="0" fillId="23" borderId="42" xfId="0" applyFill="1" applyBorder="1" applyAlignment="1">
      <alignment horizontal="center"/>
    </xf>
    <xf numFmtId="0" fontId="0" fillId="23" borderId="43" xfId="0" applyFill="1" applyBorder="1" applyAlignment="1">
      <alignment horizontal="center"/>
    </xf>
    <xf numFmtId="0" fontId="0" fillId="23" borderId="49" xfId="0" applyFill="1" applyBorder="1" applyAlignment="1">
      <alignment horizontal="center"/>
    </xf>
    <xf numFmtId="0" fontId="0" fillId="23" borderId="37" xfId="0" applyFill="1" applyBorder="1" applyAlignment="1">
      <alignment horizontal="center"/>
    </xf>
    <xf numFmtId="0" fontId="0" fillId="23" borderId="50" xfId="0" applyFill="1" applyBorder="1" applyAlignment="1">
      <alignment horizontal="center"/>
    </xf>
    <xf numFmtId="0" fontId="0" fillId="28" borderId="31" xfId="0" applyFill="1" applyBorder="1" applyAlignment="1">
      <alignment horizontal="center"/>
    </xf>
    <xf numFmtId="49" fontId="0" fillId="28" borderId="31" xfId="0" applyNumberFormat="1" applyFill="1" applyBorder="1" applyAlignment="1">
      <alignment horizontal="center"/>
    </xf>
    <xf numFmtId="49" fontId="0" fillId="23" borderId="41" xfId="0" applyNumberFormat="1" applyFill="1" applyBorder="1" applyAlignment="1">
      <alignment horizontal="center"/>
    </xf>
    <xf numFmtId="0" fontId="0" fillId="23" borderId="38" xfId="0" applyFill="1" applyBorder="1" applyAlignment="1">
      <alignment horizontal="center"/>
    </xf>
    <xf numFmtId="49" fontId="0" fillId="23" borderId="52" xfId="0" applyNumberFormat="1" applyFill="1" applyBorder="1" applyAlignment="1">
      <alignment horizontal="center"/>
    </xf>
    <xf numFmtId="49" fontId="0" fillId="23" borderId="39" xfId="0" applyNumberFormat="1" applyFill="1" applyBorder="1" applyAlignment="1">
      <alignment horizontal="center"/>
    </xf>
    <xf numFmtId="49" fontId="0" fillId="23" borderId="31" xfId="0" applyNumberFormat="1" applyFill="1" applyBorder="1" applyAlignment="1">
      <alignment horizontal="center"/>
    </xf>
    <xf numFmtId="0" fontId="33" fillId="0" borderId="0" xfId="0" applyFont="1"/>
    <xf numFmtId="0" fontId="0" fillId="0" borderId="48" xfId="0" applyBorder="1" applyAlignment="1">
      <alignment horizontal="center"/>
    </xf>
    <xf numFmtId="11" fontId="0" fillId="0" borderId="48" xfId="0" applyNumberFormat="1" applyBorder="1" applyAlignment="1">
      <alignment horizontal="center"/>
    </xf>
    <xf numFmtId="0" fontId="0" fillId="0" borderId="41" xfId="0" applyBorder="1" applyAlignment="1">
      <alignment horizontal="center"/>
    </xf>
    <xf numFmtId="0" fontId="0" fillId="0" borderId="43" xfId="0" applyBorder="1" applyAlignment="1">
      <alignment horizontal="center"/>
    </xf>
    <xf numFmtId="0" fontId="0" fillId="0" borderId="0" xfId="0" applyFill="1" applyBorder="1"/>
    <xf numFmtId="11" fontId="20" fillId="0" borderId="0" xfId="0" applyNumberFormat="1" applyFont="1" applyFill="1" applyBorder="1" applyAlignment="1">
      <alignment horizontal="center"/>
    </xf>
    <xf numFmtId="0" fontId="20" fillId="0" borderId="0" xfId="0" applyFont="1" applyFill="1" applyBorder="1" applyAlignment="1">
      <alignment horizontal="center"/>
    </xf>
    <xf numFmtId="11"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xf numFmtId="0" fontId="0" fillId="0" borderId="0" xfId="0" applyAlignment="1">
      <alignment horizontal="center" vertical="center"/>
    </xf>
    <xf numFmtId="0" fontId="0" fillId="10" borderId="0" xfId="0" applyFill="1" applyAlignment="1">
      <alignment horizontal="center" vertical="center"/>
    </xf>
    <xf numFmtId="0" fontId="0" fillId="0" borderId="12" xfId="0" applyFill="1" applyBorder="1" applyAlignment="1">
      <alignment horizontal="center"/>
    </xf>
    <xf numFmtId="167" fontId="0" fillId="0" borderId="40" xfId="0" applyNumberFormat="1" applyBorder="1" applyAlignment="1">
      <alignment horizontal="center"/>
    </xf>
    <xf numFmtId="0" fontId="20" fillId="16" borderId="40" xfId="0" applyFont="1" applyFill="1" applyBorder="1" applyAlignment="1">
      <alignment horizontal="center"/>
    </xf>
    <xf numFmtId="0" fontId="20" fillId="16" borderId="41" xfId="0" applyFont="1" applyFill="1" applyBorder="1" applyAlignment="1">
      <alignment horizontal="center"/>
    </xf>
    <xf numFmtId="167" fontId="0" fillId="0" borderId="42" xfId="0" applyNumberFormat="1" applyBorder="1" applyAlignment="1">
      <alignment horizontal="center"/>
    </xf>
    <xf numFmtId="0" fontId="21" fillId="0" borderId="0" xfId="3"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18" xfId="0" applyFill="1" applyBorder="1" applyAlignment="1">
      <alignment horizontal="center" vertical="center"/>
    </xf>
    <xf numFmtId="0" fontId="0" fillId="4" borderId="0" xfId="0" applyFill="1" applyBorder="1" applyAlignment="1">
      <alignment horizontal="center"/>
    </xf>
    <xf numFmtId="0" fontId="0" fillId="4" borderId="18" xfId="0" applyFill="1" applyBorder="1" applyAlignment="1">
      <alignment horizontal="center"/>
    </xf>
    <xf numFmtId="0" fontId="0" fillId="4" borderId="17" xfId="0" applyFill="1" applyBorder="1" applyAlignment="1">
      <alignment horizontal="center"/>
    </xf>
    <xf numFmtId="0" fontId="0" fillId="13" borderId="0" xfId="0" applyFill="1" applyBorder="1" applyAlignment="1">
      <alignment horizont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18" borderId="35" xfId="0" applyFill="1" applyBorder="1" applyAlignment="1">
      <alignment horizontal="center" vertical="center"/>
    </xf>
    <xf numFmtId="0" fontId="0" fillId="18" borderId="33" xfId="0" applyFill="1" applyBorder="1" applyAlignment="1">
      <alignment horizontal="center" vertical="center"/>
    </xf>
    <xf numFmtId="0" fontId="0" fillId="2" borderId="31" xfId="0" applyFill="1" applyBorder="1" applyAlignment="1">
      <alignment horizontal="center" vertic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0" fillId="27" borderId="31" xfId="0" applyFill="1" applyBorder="1" applyAlignment="1">
      <alignment horizontal="center"/>
    </xf>
    <xf numFmtId="0" fontId="0" fillId="24" borderId="37" xfId="0" applyFill="1" applyBorder="1" applyAlignment="1">
      <alignment horizontal="center" vertical="center"/>
    </xf>
    <xf numFmtId="0" fontId="0" fillId="9" borderId="38" xfId="0" applyFill="1" applyBorder="1" applyAlignment="1">
      <alignment horizontal="center" vertical="center"/>
    </xf>
    <xf numFmtId="0" fontId="0" fillId="9" borderId="39" xfId="0" applyFill="1" applyBorder="1" applyAlignment="1">
      <alignment horizontal="center" vertical="center"/>
    </xf>
    <xf numFmtId="0" fontId="0" fillId="9" borderId="38" xfId="0" applyFill="1" applyBorder="1" applyAlignment="1">
      <alignment horizontal="center"/>
    </xf>
    <xf numFmtId="0" fontId="0" fillId="9" borderId="39" xfId="0" applyFill="1" applyBorder="1" applyAlignment="1">
      <alignment horizontal="center"/>
    </xf>
    <xf numFmtId="0" fontId="0" fillId="23" borderId="45" xfId="0" applyFill="1" applyBorder="1" applyAlignment="1">
      <alignment horizontal="center"/>
    </xf>
    <xf numFmtId="0" fontId="0" fillId="23" borderId="46" xfId="0" applyFill="1" applyBorder="1" applyAlignment="1">
      <alignment horizontal="center"/>
    </xf>
    <xf numFmtId="0" fontId="0" fillId="23" borderId="47" xfId="0" applyFill="1" applyBorder="1" applyAlignment="1">
      <alignment horizontal="center"/>
    </xf>
    <xf numFmtId="0" fontId="0" fillId="28" borderId="37" xfId="0" applyFill="1" applyBorder="1" applyAlignment="1">
      <alignment horizontal="center" vertical="center" wrapText="1"/>
    </xf>
    <xf numFmtId="0" fontId="0" fillId="28" borderId="36" xfId="0" applyFill="1" applyBorder="1" applyAlignment="1">
      <alignment horizontal="center" vertical="center" wrapText="1"/>
    </xf>
    <xf numFmtId="0" fontId="0" fillId="28" borderId="51" xfId="0" applyFill="1" applyBorder="1" applyAlignment="1">
      <alignment horizontal="center" vertical="center" wrapText="1"/>
    </xf>
    <xf numFmtId="49" fontId="0" fillId="23" borderId="35" xfId="0" applyNumberFormat="1" applyFill="1" applyBorder="1" applyAlignment="1">
      <alignment horizontal="center"/>
    </xf>
    <xf numFmtId="49" fontId="0" fillId="23" borderId="34" xfId="0" applyNumberFormat="1" applyFill="1" applyBorder="1" applyAlignment="1">
      <alignment horizontal="center"/>
    </xf>
    <xf numFmtId="49" fontId="0" fillId="23" borderId="53" xfId="0" applyNumberFormat="1" applyFill="1" applyBorder="1" applyAlignment="1">
      <alignment horizontal="center"/>
    </xf>
    <xf numFmtId="49" fontId="0" fillId="23" borderId="54" xfId="0" applyNumberFormat="1" applyFill="1" applyBorder="1" applyAlignment="1">
      <alignment horizontal="center"/>
    </xf>
    <xf numFmtId="49" fontId="0" fillId="23" borderId="55" xfId="0" applyNumberFormat="1" applyFill="1" applyBorder="1" applyAlignment="1">
      <alignment horizontal="center"/>
    </xf>
    <xf numFmtId="49" fontId="0" fillId="23" borderId="56" xfId="0" applyNumberFormat="1" applyFill="1" applyBorder="1" applyAlignment="1">
      <alignment horizontal="center"/>
    </xf>
    <xf numFmtId="0" fontId="0" fillId="7" borderId="0" xfId="0" applyFill="1" applyBorder="1" applyAlignment="1">
      <alignment horizontal="center"/>
    </xf>
    <xf numFmtId="0" fontId="0" fillId="7" borderId="17" xfId="0" applyFill="1" applyBorder="1" applyAlignment="1">
      <alignment horizontal="center"/>
    </xf>
    <xf numFmtId="0" fontId="2" fillId="7" borderId="0" xfId="0" applyFont="1" applyFill="1" applyBorder="1" applyAlignment="1">
      <alignment horizontal="center"/>
    </xf>
    <xf numFmtId="0" fontId="0" fillId="7" borderId="0" xfId="0" applyFill="1" applyBorder="1" applyAlignment="1">
      <alignment horizontal="center" vertical="center"/>
    </xf>
    <xf numFmtId="0" fontId="2" fillId="8" borderId="0" xfId="0" applyFont="1" applyFill="1" applyBorder="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0" fontId="16" fillId="12" borderId="16" xfId="2" applyAlignment="1">
      <alignment horizontal="center"/>
    </xf>
    <xf numFmtId="0" fontId="0" fillId="8" borderId="0" xfId="0" applyFill="1" applyBorder="1" applyAlignment="1">
      <alignment horizontal="center" vertical="center"/>
    </xf>
    <xf numFmtId="0" fontId="6" fillId="14" borderId="19"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0" fontId="16" fillId="12" borderId="22" xfId="2" applyBorder="1" applyAlignment="1">
      <alignment horizontal="center"/>
    </xf>
    <xf numFmtId="0" fontId="16" fillId="12" borderId="23" xfId="2" applyBorder="1" applyAlignment="1">
      <alignment horizontal="center"/>
    </xf>
    <xf numFmtId="0" fontId="16" fillId="12" borderId="24" xfId="2" applyBorder="1" applyAlignment="1">
      <alignment horizontal="center"/>
    </xf>
    <xf numFmtId="2" fontId="16" fillId="12" borderId="22" xfId="2" applyNumberFormat="1" applyBorder="1" applyAlignment="1">
      <alignment horizontal="center"/>
    </xf>
    <xf numFmtId="2" fontId="16" fillId="12" borderId="24" xfId="2" applyNumberFormat="1" applyBorder="1" applyAlignment="1">
      <alignment horizontal="center"/>
    </xf>
    <xf numFmtId="0" fontId="0" fillId="7" borderId="18" xfId="0" applyFill="1" applyBorder="1" applyAlignment="1">
      <alignment horizontal="center"/>
    </xf>
    <xf numFmtId="0" fontId="26" fillId="11" borderId="15" xfId="1" applyFont="1" applyAlignment="1">
      <alignment horizontal="center"/>
    </xf>
    <xf numFmtId="2" fontId="2" fillId="12" borderId="16" xfId="2" applyNumberFormat="1" applyFont="1" applyAlignment="1">
      <alignment horizontal="center"/>
    </xf>
    <xf numFmtId="0" fontId="29" fillId="7" borderId="0" xfId="0" applyFont="1" applyFill="1" applyBorder="1" applyAlignment="1">
      <alignment horizontal="center"/>
    </xf>
    <xf numFmtId="2" fontId="16" fillId="12" borderId="28" xfId="2" applyNumberFormat="1" applyBorder="1" applyAlignment="1">
      <alignment horizontal="center"/>
    </xf>
    <xf numFmtId="0" fontId="10" fillId="7" borderId="0" xfId="0" applyFont="1" applyFill="1" applyBorder="1" applyAlignment="1">
      <alignment horizontal="center"/>
    </xf>
    <xf numFmtId="0" fontId="9" fillId="7" borderId="0" xfId="0" applyFont="1" applyFill="1" applyBorder="1" applyAlignment="1">
      <alignment horizontal="center"/>
    </xf>
    <xf numFmtId="0" fontId="9" fillId="7" borderId="18" xfId="0" applyFont="1" applyFill="1" applyBorder="1" applyAlignment="1">
      <alignment horizontal="center"/>
    </xf>
    <xf numFmtId="2" fontId="16" fillId="12" borderId="59" xfId="2" applyNumberFormat="1" applyBorder="1" applyAlignment="1">
      <alignment horizontal="center"/>
    </xf>
    <xf numFmtId="2" fontId="16" fillId="12" borderId="58" xfId="2" applyNumberFormat="1" applyBorder="1" applyAlignment="1">
      <alignment horizontal="center"/>
    </xf>
    <xf numFmtId="2" fontId="16" fillId="12" borderId="60" xfId="2" applyNumberFormat="1" applyBorder="1" applyAlignment="1">
      <alignment horizontal="center"/>
    </xf>
    <xf numFmtId="2" fontId="16" fillId="12" borderId="23" xfId="2" applyNumberFormat="1" applyBorder="1" applyAlignment="1">
      <alignment horizontal="center"/>
    </xf>
    <xf numFmtId="0" fontId="0" fillId="22" borderId="31" xfId="0" applyFill="1" applyBorder="1" applyAlignment="1">
      <alignment horizontal="center"/>
    </xf>
    <xf numFmtId="0" fontId="0" fillId="22" borderId="31" xfId="0" applyFont="1" applyFill="1" applyBorder="1" applyAlignment="1">
      <alignment horizontal="center"/>
    </xf>
    <xf numFmtId="0" fontId="10" fillId="8" borderId="0" xfId="0" applyFont="1" applyFill="1" applyBorder="1" applyAlignment="1">
      <alignment horizontal="center"/>
    </xf>
    <xf numFmtId="0" fontId="0" fillId="13" borderId="17" xfId="0" applyFill="1" applyBorder="1" applyAlignment="1">
      <alignment horizontal="center"/>
    </xf>
    <xf numFmtId="0" fontId="0" fillId="13" borderId="0" xfId="0" applyFill="1" applyAlignment="1">
      <alignment horizontal="center"/>
    </xf>
    <xf numFmtId="0" fontId="2" fillId="6" borderId="0" xfId="0" applyFont="1" applyFill="1" applyBorder="1" applyAlignment="1">
      <alignment horizontal="center"/>
    </xf>
    <xf numFmtId="0" fontId="0" fillId="6" borderId="0" xfId="0" applyFill="1" applyBorder="1" applyAlignment="1">
      <alignment horizontal="center"/>
    </xf>
    <xf numFmtId="0" fontId="4" fillId="5" borderId="10" xfId="0" applyFont="1" applyFill="1" applyBorder="1" applyAlignment="1">
      <alignment horizontal="center" vertical="center"/>
    </xf>
    <xf numFmtId="0" fontId="0" fillId="6" borderId="10" xfId="0" applyFill="1" applyBorder="1" applyAlignment="1">
      <alignment horizontal="center"/>
    </xf>
    <xf numFmtId="0" fontId="0" fillId="7" borderId="0" xfId="0" applyFont="1" applyFill="1" applyBorder="1" applyAlignment="1">
      <alignment horizontal="center" vertical="center"/>
    </xf>
    <xf numFmtId="0" fontId="2" fillId="7" borderId="0" xfId="0" applyFont="1" applyFill="1" applyBorder="1" applyAlignment="1">
      <alignment horizontal="center" vertical="center"/>
    </xf>
    <xf numFmtId="0" fontId="2" fillId="7" borderId="0" xfId="0" applyFont="1" applyFill="1" applyAlignment="1">
      <alignment horizontal="center"/>
    </xf>
    <xf numFmtId="0" fontId="0" fillId="7" borderId="0" xfId="0" applyFill="1" applyAlignment="1">
      <alignment horizontal="center"/>
    </xf>
    <xf numFmtId="0" fontId="2" fillId="8" borderId="0" xfId="0" applyFont="1" applyFill="1" applyAlignment="1">
      <alignment horizontal="center"/>
    </xf>
    <xf numFmtId="0" fontId="0" fillId="8" borderId="0" xfId="0" applyFill="1" applyAlignment="1">
      <alignment horizontal="center"/>
    </xf>
    <xf numFmtId="0" fontId="2" fillId="8"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5" borderId="0" xfId="0" applyFill="1" applyBorder="1" applyAlignment="1">
      <alignment horizontal="left" vertical="center"/>
    </xf>
    <xf numFmtId="0" fontId="0" fillId="26" borderId="35" xfId="0" applyFill="1" applyBorder="1" applyAlignment="1">
      <alignment horizontal="center"/>
    </xf>
    <xf numFmtId="0" fontId="0" fillId="26" borderId="34" xfId="0" applyFill="1" applyBorder="1" applyAlignment="1">
      <alignment horizontal="center"/>
    </xf>
    <xf numFmtId="0" fontId="0" fillId="26" borderId="33" xfId="0" applyFill="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30" fillId="29" borderId="38" xfId="0" applyFont="1" applyFill="1" applyBorder="1" applyAlignment="1">
      <alignment horizontal="center"/>
    </xf>
    <xf numFmtId="0" fontId="30" fillId="29" borderId="52" xfId="0" applyFont="1" applyFill="1" applyBorder="1" applyAlignment="1">
      <alignment horizontal="center"/>
    </xf>
    <xf numFmtId="0" fontId="30" fillId="29" borderId="39" xfId="0" applyFont="1" applyFill="1" applyBorder="1" applyAlignment="1">
      <alignment horizontal="center"/>
    </xf>
    <xf numFmtId="0" fontId="28" fillId="20" borderId="57" xfId="5" applyBorder="1" applyAlignment="1">
      <alignment horizontal="center"/>
    </xf>
    <xf numFmtId="0" fontId="28" fillId="20" borderId="26" xfId="5" applyBorder="1" applyAlignment="1">
      <alignment horizontal="center"/>
    </xf>
    <xf numFmtId="0" fontId="28" fillId="20" borderId="44" xfId="5" applyBorder="1" applyAlignment="1">
      <alignment horizontal="center"/>
    </xf>
  </cellXfs>
  <cellStyles count="7">
    <cellStyle name="60% - Accent1" xfId="6" builtinId="32"/>
    <cellStyle name="Check Cell" xfId="5" builtinId="23"/>
    <cellStyle name="Hyperlink" xfId="3" builtinId="8"/>
    <cellStyle name="Input" xfId="1" builtinId="20"/>
    <cellStyle name="Neutral" xfId="4" builtinId="28"/>
    <cellStyle name="Normal" xfId="0" builtinId="0"/>
    <cellStyle name="Output" xfId="2" builtinId="21"/>
  </cellStyles>
  <dxfs count="5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s>
  <tableStyles count="0" defaultTableStyle="TableStyleMedium2" defaultPivotStyle="PivotStyleLight16"/>
  <colors>
    <mruColors>
      <color rgb="FFE1CDFF"/>
      <color rgb="FFFFF2CC"/>
      <color rgb="FFC0C0C0"/>
      <color rgb="FFCCFFCC"/>
      <color rgb="FFFFFF99"/>
      <color rgb="FF7F7F7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12</xdr:row>
      <xdr:rowOff>68581</xdr:rowOff>
    </xdr:from>
    <xdr:to>
      <xdr:col>7</xdr:col>
      <xdr:colOff>59077</xdr:colOff>
      <xdr:row>22</xdr:row>
      <xdr:rowOff>60961</xdr:rowOff>
    </xdr:to>
    <xdr:pic>
      <xdr:nvPicPr>
        <xdr:cNvPr id="2" name="Picture 1">
          <a:extLst>
            <a:ext uri="{FF2B5EF4-FFF2-40B4-BE49-F238E27FC236}">
              <a16:creationId xmlns:a16="http://schemas.microsoft.com/office/drawing/2014/main" id="{BC552FE7-ABDD-4E78-B1D0-6FF2CB96421B}"/>
            </a:ext>
          </a:extLst>
        </xdr:cNvPr>
        <xdr:cNvPicPr>
          <a:picLocks noChangeAspect="1"/>
        </xdr:cNvPicPr>
      </xdr:nvPicPr>
      <xdr:blipFill>
        <a:blip xmlns:r="http://schemas.openxmlformats.org/officeDocument/2006/relationships" r:embed="rId1"/>
        <a:stretch>
          <a:fillRect/>
        </a:stretch>
      </xdr:blipFill>
      <xdr:spPr>
        <a:xfrm>
          <a:off x="4907280" y="3360421"/>
          <a:ext cx="3556657" cy="1821180"/>
        </a:xfrm>
        <a:prstGeom prst="rect">
          <a:avLst/>
        </a:prstGeom>
      </xdr:spPr>
    </xdr:pic>
    <xdr:clientData/>
  </xdr:twoCellAnchor>
  <xdr:twoCellAnchor editAs="oneCell">
    <xdr:from>
      <xdr:col>9</xdr:col>
      <xdr:colOff>144780</xdr:colOff>
      <xdr:row>12</xdr:row>
      <xdr:rowOff>114300</xdr:rowOff>
    </xdr:from>
    <xdr:to>
      <xdr:col>15</xdr:col>
      <xdr:colOff>82137</xdr:colOff>
      <xdr:row>22</xdr:row>
      <xdr:rowOff>30479</xdr:rowOff>
    </xdr:to>
    <xdr:pic>
      <xdr:nvPicPr>
        <xdr:cNvPr id="3" name="Picture 2">
          <a:extLst>
            <a:ext uri="{FF2B5EF4-FFF2-40B4-BE49-F238E27FC236}">
              <a16:creationId xmlns:a16="http://schemas.microsoft.com/office/drawing/2014/main" id="{1AD3178C-DCBD-41D4-88E9-A5D51ED3427A}"/>
            </a:ext>
          </a:extLst>
        </xdr:cNvPr>
        <xdr:cNvPicPr>
          <a:picLocks noChangeAspect="1"/>
        </xdr:cNvPicPr>
      </xdr:nvPicPr>
      <xdr:blipFill>
        <a:blip xmlns:r="http://schemas.openxmlformats.org/officeDocument/2006/relationships" r:embed="rId2"/>
        <a:stretch>
          <a:fillRect/>
        </a:stretch>
      </xdr:blipFill>
      <xdr:spPr>
        <a:xfrm>
          <a:off x="8580120" y="3406140"/>
          <a:ext cx="3594957" cy="1744979"/>
        </a:xfrm>
        <a:prstGeom prst="rect">
          <a:avLst/>
        </a:prstGeom>
      </xdr:spPr>
    </xdr:pic>
    <xdr:clientData/>
  </xdr:twoCellAnchor>
  <xdr:twoCellAnchor editAs="oneCell">
    <xdr:from>
      <xdr:col>4</xdr:col>
      <xdr:colOff>419642</xdr:colOff>
      <xdr:row>22</xdr:row>
      <xdr:rowOff>175260</xdr:rowOff>
    </xdr:from>
    <xdr:to>
      <xdr:col>13</xdr:col>
      <xdr:colOff>531631</xdr:colOff>
      <xdr:row>45</xdr:row>
      <xdr:rowOff>114300</xdr:rowOff>
    </xdr:to>
    <xdr:pic>
      <xdr:nvPicPr>
        <xdr:cNvPr id="4" name="Picture 3">
          <a:extLst>
            <a:ext uri="{FF2B5EF4-FFF2-40B4-BE49-F238E27FC236}">
              <a16:creationId xmlns:a16="http://schemas.microsoft.com/office/drawing/2014/main" id="{1E5F2ABE-5710-404C-97FC-5935F9FD4C02}"/>
            </a:ext>
          </a:extLst>
        </xdr:cNvPr>
        <xdr:cNvPicPr>
          <a:picLocks noChangeAspect="1"/>
        </xdr:cNvPicPr>
      </xdr:nvPicPr>
      <xdr:blipFill>
        <a:blip xmlns:r="http://schemas.openxmlformats.org/officeDocument/2006/relationships" r:embed="rId3"/>
        <a:stretch>
          <a:fillRect/>
        </a:stretch>
      </xdr:blipFill>
      <xdr:spPr>
        <a:xfrm>
          <a:off x="7612922" y="5295900"/>
          <a:ext cx="5598389" cy="4343400"/>
        </a:xfrm>
        <a:prstGeom prst="rect">
          <a:avLst/>
        </a:prstGeom>
      </xdr:spPr>
    </xdr:pic>
    <xdr:clientData/>
  </xdr:twoCellAnchor>
  <xdr:twoCellAnchor editAs="oneCell">
    <xdr:from>
      <xdr:col>13</xdr:col>
      <xdr:colOff>525780</xdr:colOff>
      <xdr:row>23</xdr:row>
      <xdr:rowOff>37777</xdr:rowOff>
    </xdr:from>
    <xdr:to>
      <xdr:col>23</xdr:col>
      <xdr:colOff>65414</xdr:colOff>
      <xdr:row>46</xdr:row>
      <xdr:rowOff>23783</xdr:rowOff>
    </xdr:to>
    <xdr:pic>
      <xdr:nvPicPr>
        <xdr:cNvPr id="5" name="Picture 4">
          <a:extLst>
            <a:ext uri="{FF2B5EF4-FFF2-40B4-BE49-F238E27FC236}">
              <a16:creationId xmlns:a16="http://schemas.microsoft.com/office/drawing/2014/main" id="{F688998D-FA42-4811-935A-DE04F70134CA}"/>
            </a:ext>
          </a:extLst>
        </xdr:cNvPr>
        <xdr:cNvPicPr>
          <a:picLocks noChangeAspect="1"/>
        </xdr:cNvPicPr>
      </xdr:nvPicPr>
      <xdr:blipFill>
        <a:blip xmlns:r="http://schemas.openxmlformats.org/officeDocument/2006/relationships" r:embed="rId4"/>
        <a:stretch>
          <a:fillRect/>
        </a:stretch>
      </xdr:blipFill>
      <xdr:spPr>
        <a:xfrm>
          <a:off x="13205460" y="5341297"/>
          <a:ext cx="5635634" cy="43903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1</xdr:colOff>
      <xdr:row>40</xdr:row>
      <xdr:rowOff>0</xdr:rowOff>
    </xdr:from>
    <xdr:ext cx="5970700" cy="1064033"/>
    <xdr:pic>
      <xdr:nvPicPr>
        <xdr:cNvPr id="3" name="Picture 2">
          <a:extLst>
            <a:ext uri="{FF2B5EF4-FFF2-40B4-BE49-F238E27FC236}">
              <a16:creationId xmlns:a16="http://schemas.microsoft.com/office/drawing/2014/main" id="{D150B2A8-0755-4A17-8163-5999677BA3B5}"/>
            </a:ext>
          </a:extLst>
        </xdr:cNvPr>
        <xdr:cNvPicPr>
          <a:picLocks noChangeAspect="1"/>
        </xdr:cNvPicPr>
      </xdr:nvPicPr>
      <xdr:blipFill>
        <a:blip xmlns:r="http://schemas.openxmlformats.org/officeDocument/2006/relationships" r:embed="rId2"/>
        <a:stretch>
          <a:fillRect/>
        </a:stretch>
      </xdr:blipFill>
      <xdr:spPr>
        <a:xfrm>
          <a:off x="3832226" y="8048625"/>
          <a:ext cx="5970700" cy="106403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17</xdr:col>
      <xdr:colOff>1</xdr:colOff>
      <xdr:row>7</xdr:row>
      <xdr:rowOff>0</xdr:rowOff>
    </xdr:from>
    <xdr:to>
      <xdr:col>25</xdr:col>
      <xdr:colOff>601786</xdr:colOff>
      <xdr:row>17</xdr:row>
      <xdr:rowOff>117154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32226" y="1162050"/>
          <a:ext cx="5478585" cy="1990404"/>
        </a:xfrm>
        <a:prstGeom prst="rect">
          <a:avLst/>
        </a:prstGeom>
      </xdr:spPr>
    </xdr:pic>
    <xdr:clientData/>
  </xdr:twoCellAnchor>
  <xdr:oneCellAnchor>
    <xdr:from>
      <xdr:col>17</xdr:col>
      <xdr:colOff>965</xdr:colOff>
      <xdr:row>50</xdr:row>
      <xdr:rowOff>0</xdr:rowOff>
    </xdr:from>
    <xdr:ext cx="5485435" cy="1818537"/>
    <xdr:pic>
      <xdr:nvPicPr>
        <xdr:cNvPr id="3" name="Picture 2">
          <a:extLst>
            <a:ext uri="{FF2B5EF4-FFF2-40B4-BE49-F238E27FC236}">
              <a16:creationId xmlns:a16="http://schemas.microsoft.com/office/drawing/2014/main" id="{C1C5A451-5C2D-4700-B16E-C983CE4FC151}"/>
            </a:ext>
          </a:extLst>
        </xdr:cNvPr>
        <xdr:cNvPicPr>
          <a:picLocks noChangeAspect="1"/>
        </xdr:cNvPicPr>
      </xdr:nvPicPr>
      <xdr:blipFill>
        <a:blip xmlns:r="http://schemas.openxmlformats.org/officeDocument/2006/relationships" r:embed="rId2"/>
        <a:stretch>
          <a:fillRect/>
        </a:stretch>
      </xdr:blipFill>
      <xdr:spPr>
        <a:xfrm>
          <a:off x="3833190" y="9677400"/>
          <a:ext cx="5485435" cy="181853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20" name="Line 2">
          <a:extLst>
            <a:ext uri="{FF2B5EF4-FFF2-40B4-BE49-F238E27FC236}">
              <a16:creationId xmlns:a16="http://schemas.microsoft.com/office/drawing/2014/main" id="{663741D6-0950-4A94-86DD-E421CF1D5396}"/>
            </a:ext>
          </a:extLst>
        </xdr:cNvPr>
        <xdr:cNvSpPr>
          <a:spLocks noChangeShapeType="1"/>
        </xdr:cNvSpPr>
      </xdr:nvSpPr>
      <xdr:spPr bwMode="auto">
        <a:xfrm rot="-1651313">
          <a:off x="4733925" y="5610225"/>
          <a:ext cx="0" cy="2063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Lst>
        </xdr:cNvPr>
        <xdr:cNvSpPr txBox="1">
          <a:spLocks noChangeArrowheads="1"/>
        </xdr:cNvSpPr>
      </xdr:nvSpPr>
      <xdr:spPr bwMode="auto">
        <a:xfrm>
          <a:off x="4508500" y="5591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659A5A8-530D-4343-BD65-9BA1B16900D1}"/>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13C8A0DF-C2B2-4578-8517-1460DDA12724}"/>
            </a:ext>
          </a:extLst>
        </xdr:cNvPr>
        <xdr:cNvSpPr/>
      </xdr:nvSpPr>
      <xdr:spPr>
        <a:xfrm>
          <a:off x="3209925" y="641350"/>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35</xdr:row>
      <xdr:rowOff>6350</xdr:rowOff>
    </xdr:from>
    <xdr:to>
      <xdr:col>4</xdr:col>
      <xdr:colOff>285750</xdr:colOff>
      <xdr:row>37</xdr:row>
      <xdr:rowOff>3175</xdr:rowOff>
    </xdr:to>
    <xdr:sp macro="" textlink="">
      <xdr:nvSpPr>
        <xdr:cNvPr id="3" name="Left Brace 2">
          <a:extLst>
            <a:ext uri="{FF2B5EF4-FFF2-40B4-BE49-F238E27FC236}">
              <a16:creationId xmlns:a16="http://schemas.microsoft.com/office/drawing/2014/main" id="{6E9BA0B2-E992-4336-ABC4-B5FADB28A463}"/>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4</xdr:col>
      <xdr:colOff>1173481</xdr:colOff>
      <xdr:row>22</xdr:row>
      <xdr:rowOff>205740</xdr:rowOff>
    </xdr:from>
    <xdr:ext cx="7755392" cy="2238375"/>
    <xdr:pic>
      <xdr:nvPicPr>
        <xdr:cNvPr id="2" name="Picture 1">
          <a:extLst>
            <a:ext uri="{FF2B5EF4-FFF2-40B4-BE49-F238E27FC236}">
              <a16:creationId xmlns:a16="http://schemas.microsoft.com/office/drawing/2014/main" id="{1691AE9D-05A1-42DB-BD7C-86D949BD05CA}"/>
            </a:ext>
          </a:extLst>
        </xdr:cNvPr>
        <xdr:cNvPicPr>
          <a:picLocks noChangeAspect="1"/>
        </xdr:cNvPicPr>
      </xdr:nvPicPr>
      <xdr:blipFill>
        <a:blip xmlns:r="http://schemas.openxmlformats.org/officeDocument/2006/relationships" r:embed="rId1"/>
        <a:stretch>
          <a:fillRect/>
        </a:stretch>
      </xdr:blipFill>
      <xdr:spPr>
        <a:xfrm>
          <a:off x="3048001" y="4162425"/>
          <a:ext cx="7755392" cy="2238375"/>
        </a:xfrm>
        <a:prstGeom prst="rect">
          <a:avLst/>
        </a:prstGeom>
      </xdr:spPr>
    </xdr:pic>
    <xdr:clientData/>
  </xdr:oneCellAnchor>
  <xdr:oneCellAnchor>
    <xdr:from>
      <xdr:col>5</xdr:col>
      <xdr:colOff>1374247</xdr:colOff>
      <xdr:row>0</xdr:row>
      <xdr:rowOff>0</xdr:rowOff>
    </xdr:from>
    <xdr:ext cx="5615198" cy="3731895"/>
    <xdr:pic>
      <xdr:nvPicPr>
        <xdr:cNvPr id="3" name="Picture 2">
          <a:extLst>
            <a:ext uri="{FF2B5EF4-FFF2-40B4-BE49-F238E27FC236}">
              <a16:creationId xmlns:a16="http://schemas.microsoft.com/office/drawing/2014/main" id="{0B3F9980-2C32-4BF7-8BFB-4D502C115479}"/>
            </a:ext>
          </a:extLst>
        </xdr:cNvPr>
        <xdr:cNvPicPr>
          <a:picLocks noChangeAspect="1"/>
        </xdr:cNvPicPr>
      </xdr:nvPicPr>
      <xdr:blipFill>
        <a:blip xmlns:r="http://schemas.openxmlformats.org/officeDocument/2006/relationships" r:embed="rId2"/>
        <a:stretch>
          <a:fillRect/>
        </a:stretch>
      </xdr:blipFill>
      <xdr:spPr>
        <a:xfrm>
          <a:off x="3660247" y="0"/>
          <a:ext cx="5615198" cy="373189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12</xdr:col>
      <xdr:colOff>849085</xdr:colOff>
      <xdr:row>0</xdr:row>
      <xdr:rowOff>76199</xdr:rowOff>
    </xdr:from>
    <xdr:to>
      <xdr:col>16</xdr:col>
      <xdr:colOff>2601685</xdr:colOff>
      <xdr:row>19</xdr:row>
      <xdr:rowOff>118149</xdr:rowOff>
    </xdr:to>
    <xdr:pic>
      <xdr:nvPicPr>
        <xdr:cNvPr id="5" name="Picture 4">
          <a:extLst>
            <a:ext uri="{FF2B5EF4-FFF2-40B4-BE49-F238E27FC236}">
              <a16:creationId xmlns:a16="http://schemas.microsoft.com/office/drawing/2014/main" id="{6A597E63-F439-438B-B0D8-AFF1B38877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09771" y="76199"/>
          <a:ext cx="6106885" cy="3656007"/>
        </a:xfrm>
        <a:prstGeom prst="rect">
          <a:avLst/>
        </a:prstGeom>
      </xdr:spPr>
    </xdr:pic>
    <xdr:clientData/>
  </xdr:twoCellAnchor>
  <xdr:twoCellAnchor editAs="oneCell">
    <xdr:from>
      <xdr:col>17</xdr:col>
      <xdr:colOff>685801</xdr:colOff>
      <xdr:row>0</xdr:row>
      <xdr:rowOff>0</xdr:rowOff>
    </xdr:from>
    <xdr:to>
      <xdr:col>21</xdr:col>
      <xdr:colOff>1099459</xdr:colOff>
      <xdr:row>23</xdr:row>
      <xdr:rowOff>29189</xdr:rowOff>
    </xdr:to>
    <xdr:pic>
      <xdr:nvPicPr>
        <xdr:cNvPr id="7" name="Picture 6">
          <a:extLst>
            <a:ext uri="{FF2B5EF4-FFF2-40B4-BE49-F238E27FC236}">
              <a16:creationId xmlns:a16="http://schemas.microsoft.com/office/drawing/2014/main" id="{544D8A9A-BFDC-4D8F-972F-6FD6C7F56767}"/>
            </a:ext>
          </a:extLst>
        </xdr:cNvPr>
        <xdr:cNvPicPr>
          <a:picLocks noChangeAspect="1"/>
        </xdr:cNvPicPr>
      </xdr:nvPicPr>
      <xdr:blipFill>
        <a:blip xmlns:r="http://schemas.openxmlformats.org/officeDocument/2006/relationships" r:embed="rId2"/>
        <a:stretch>
          <a:fillRect/>
        </a:stretch>
      </xdr:blipFill>
      <xdr:spPr>
        <a:xfrm>
          <a:off x="24362230" y="0"/>
          <a:ext cx="7587344" cy="4405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woca.sharepoint.com/sites/SabarinathanLaboratory/Shared%20Documents/CubeSat/Comms/Link%20Budget/UHF-LinkBudget-MaxD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rbit"/>
      <sheetName val="Transmitters"/>
      <sheetName val="Antennas"/>
      <sheetName val="Receivers"/>
      <sheetName val="Modulation"/>
      <sheetName val="Losses"/>
      <sheetName val="Uplink Budget"/>
      <sheetName val="Downlink Budget"/>
      <sheetName val="AX.25 Protocol Information Rate"/>
      <sheetName val="Backend Data"/>
    </sheetNames>
    <sheetDataSet>
      <sheetData sheetId="0">
        <row r="21">
          <cell r="V21">
            <v>559</v>
          </cell>
        </row>
      </sheetData>
      <sheetData sheetId="1"/>
      <sheetData sheetId="2"/>
      <sheetData sheetId="3"/>
      <sheetData sheetId="4"/>
      <sheetData sheetId="5"/>
      <sheetData sheetId="6"/>
      <sheetData sheetId="7">
        <row r="47">
          <cell r="E47">
            <v>1200</v>
          </cell>
        </row>
      </sheetData>
      <sheetData sheetId="8">
        <row r="44">
          <cell r="E44">
            <v>9600</v>
          </cell>
        </row>
      </sheetData>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Sean Amyot" id="{F861966D-4CDD-41AA-B103-32BA93AA49AE}" userId="Sean Amyot" providerId="None"/>
  <person displayName="Nicholas Mitchell" id="{EEACEFDE-2FEF-4DF7-A52C-99FB327ADE98}" userId="Nicholas Mitchell" providerId="None"/>
  <person displayName="Nicholas Scott Mitchell" id="{8447AA1C-3AF5-4142-B3DA-39C564570AB1}" userId="S::nmitch6@uwo.ca::dfab81a8-ddf6-48e8-b76f-af4c63805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personId="{F861966D-4CDD-41AA-B103-32BA93AA49AE}" id="{06644EBF-E1F5-4BA4-B358-009E60BCA4F6}">
    <text>This is specific to the type of cable used &amp; frequency.</text>
  </threadedComment>
  <threadedComment ref="V25" personId="{F861966D-4CDD-41AA-B103-32BA93AA49AE}" id="{17F1ACFE-A015-45FD-891A-0C97BB8FA447}">
    <text>Connectors  X  0.05 dB/Con.</text>
  </threadedComment>
  <threadedComment ref="T53" personId="{F861966D-4CDD-41AA-B103-32BA93AA49AE}" id="{F2B92AC7-23F1-4387-995C-6A111280BE6B}">
    <text>This is specific to the type of cable used &amp; frequency.</text>
  </threadedComment>
  <threadedComment ref="V58" personId="{F861966D-4CDD-41AA-B103-32BA93AA49AE}" id="{AA3BDE40-712E-49FC-854A-2623EE77DDFE}">
    <text>Connectors  X  0.05 dB/Con.</text>
  </threadedComment>
</ThreadedComments>
</file>

<file path=xl/threadedComments/threadedComment2.xml><?xml version="1.0" encoding="utf-8"?>
<ThreadedComments xmlns="http://schemas.microsoft.com/office/spreadsheetml/2018/threadedcomments" xmlns:x="http://schemas.openxmlformats.org/spreadsheetml/2006/main">
  <threadedComment ref="W21" personId="{EEACEFDE-2FEF-4DF7-A52C-99FB327ADE98}" id="{21EDF527-C63E-46CC-A8A9-D78C05713C6B}">
    <text xml:space="preserve">Current guess when operating at 400 MHz
</text>
  </threadedComment>
</ThreadedComments>
</file>

<file path=xl/threadedComments/threadedComment3.xml><?xml version="1.0" encoding="utf-8"?>
<ThreadedComments xmlns="http://schemas.microsoft.com/office/spreadsheetml/2018/threadedcomments" xmlns:x="http://schemas.openxmlformats.org/spreadsheetml/2006/main">
  <threadedComment ref="T20" personId="{F861966D-4CDD-41AA-B103-32BA93AA49AE}" id="{29AB711D-40D4-4098-8F56-32EE5AC3499F}">
    <text>This is specific to the type of cable used &amp; frequency.</text>
  </threadedComment>
  <threadedComment ref="V27" personId="{F861966D-4CDD-41AA-B103-32BA93AA49AE}" id="{924103A3-1E75-49C6-B4D0-265F67831FD1}">
    <text>Connectors  X  0.05 dB/Con.</text>
  </threadedComment>
  <threadedComment ref="V36" personId="{EEACEFDE-2FEF-4DF7-A52C-99FB327ADE98}" id="{F906572A-7D01-46E1-80EA-B3029D468BD7}">
    <text xml:space="preserve">Flux value taken from: http://www.hamradiodaily.com/
equation for antenna sky temperature from : 
https://en.wikipedia.org/wiki/Antenna_noise_temperature
</text>
  </threadedComment>
  <threadedComment ref="V37" personId="{EEACEFDE-2FEF-4DF7-A52C-99FB327ADE98}" id="{7D00511A-C340-4AD3-B022-F83C2CEE5FF7}">
    <text>Value taken from ITU presentation
https://www.itu.int/en/ITU-R/space/workshops/2016-small-sat/Documents/Link_budget_uvigo.pdf</text>
  </threadedComment>
  <threadedComment ref="V38" personId="{EEACEFDE-2FEF-4DF7-A52C-99FB327ADE98}" id="{A82AE0B7-9255-42F5-9759-AED98780337C}">
    <text xml:space="preserve">Noise figure of transceiver is 0.9dB 
</text>
  </threadedComment>
  <threadedComment ref="V39" personId="{EEACEFDE-2FEF-4DF7-A52C-99FB327ADE98}" id="{B8E7810C-BCD1-4F12-9843-D9716682542E}">
    <text xml:space="preserve">No clue where this was gotten
</text>
  </threadedComment>
  <threadedComment ref="V41" personId="{EEACEFDE-2FEF-4DF7-A52C-99FB327ADE98}" id="{12B6582A-BEDC-4122-83C7-FCD10A49E14B}">
    <text xml:space="preserve">Redo Calculation
</text>
  </threadedComment>
  <threadedComment ref="V42" personId="{EEACEFDE-2FEF-4DF7-A52C-99FB327ADE98}" id="{7E4450CD-300A-4473-B581-D8CD91EEE1DD}">
    <text xml:space="preserve">Just ask Endurosat
</text>
  </threadedComment>
  <threadedComment ref="T62" personId="{F861966D-4CDD-41AA-B103-32BA93AA49AE}" id="{097D1D44-B6FC-4338-862E-D54A3CECD5AE}">
    <text>This is specific to the type of cable used &amp; frequency.</text>
  </threadedComment>
  <threadedComment ref="R65" personId="{F861966D-4CDD-41AA-B103-32BA93AA49AE}" id="{E0EC645D-2C06-4A03-B5F0-6DD9B8E94CD4}">
    <tex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ext>
  </threadedComment>
  <threadedComment ref="T66" personId="{F861966D-4CDD-41AA-B103-32BA93AA49AE}" id="{5C157A19-EB7E-46D5-8A72-3FC14D9B6F35}">
    <text>This is specific to the type of cable used &amp; frequency.</text>
  </threadedComment>
  <threadedComment ref="V72" personId="{F861966D-4CDD-41AA-B103-32BA93AA49AE}" id="{A60F4093-4EFA-4A99-AFC8-5694D46BE29F}">
    <text>Connectors  X  0.05 dB/Con.</text>
  </threadedComment>
  <threadedComment ref="V80" personId="{EEACEFDE-2FEF-4DF7-A52C-99FB327ADE98}" id="{A98911A5-374C-4C07-8C45-399B12215014}">
    <text xml:space="preserve">This will be completed over the summer by anyone working on groundstation. Not enough info yet to complete
</text>
  </threadedComment>
</ThreadedComments>
</file>

<file path=xl/threadedComments/threadedComment4.xml><?xml version="1.0" encoding="utf-8"?>
<ThreadedComments xmlns="http://schemas.microsoft.com/office/spreadsheetml/2018/threadedcomments" xmlns:x="http://schemas.openxmlformats.org/spreadsheetml/2006/main">
  <threadedComment ref="X12" personId="{EEACEFDE-2FEF-4DF7-A52C-99FB327ADE98}" id="{E58D1CF1-F911-4C40-873F-114BD21C970F}">
    <text xml:space="preserve">Hlaf useless,
Update for GMSK and GFSK instead of PSK 
</text>
  </threadedComment>
</ThreadedComments>
</file>

<file path=xl/threadedComments/threadedComment5.xml><?xml version="1.0" encoding="utf-8"?>
<ThreadedComments xmlns="http://schemas.microsoft.com/office/spreadsheetml/2018/threadedcomments" xmlns:x="http://schemas.openxmlformats.org/spreadsheetml/2006/main">
  <threadedComment ref="Y10" personId="{EEACEFDE-2FEF-4DF7-A52C-99FB327ADE98}" id="{E2AFC99D-A20C-4E24-BF8D-7D9E7E86132E}">
    <text xml:space="preserve">Link:
http://www.waves.utoronto.ca/prof/svhum/ece422/notes/20b-atmospheric.pdf?fbclid=IwAR2oVL_9TkEH4mXklzxo_iNu5hyJ8jxbcKOk16BTHitMQmBwhpPEPx-8710
</text>
  </threadedComment>
  <threadedComment ref="R54" personId="{F861966D-4CDD-41AA-B103-32BA93AA49AE}" id="{D6B0170A-2AB0-424C-AB7E-6F9ADB212ED2}">
    <text>Axial Ratios:
Circular: 1.0
Elliptical: 2.0</text>
  </threadedComment>
  <threadedComment ref="R97" personId="{F861966D-4CDD-41AA-B103-32BA93AA49AE}" id="{728086D3-EB60-4984-9772-CDA7F1436A2D}">
    <text>Axial Ratios:
Circular: 1.0
Elliptical: 2.0</text>
  </threadedComment>
</ThreadedComments>
</file>

<file path=xl/threadedComments/threadedComment6.xml><?xml version="1.0" encoding="utf-8"?>
<ThreadedComments xmlns="http://schemas.microsoft.com/office/spreadsheetml/2018/threadedcomments" xmlns:x="http://schemas.openxmlformats.org/spreadsheetml/2006/main">
  <threadedComment ref="D6" dT="2019-06-05T13:52:52.52" personId="{8447AA1C-3AF5-4142-B3DA-39C564570AB1}" id="{ACE04C57-AFBE-42B4-9461-5AAE6AEF0D21}">
    <text xml:space="preserve">Questionable where this table was generated 
</text>
  </threadedComment>
  <threadedComment ref="B71" dT="2019-06-05T14:04:20.78" personId="{8447AA1C-3AF5-4142-B3DA-39C564570AB1}" id="{55D5A880-3829-4B5F-B051-F7BA1872011F}">
    <text xml:space="preserve">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rflambda.com/pdf/poweramplifier/RFLUPA01050.pdf" TargetMode="External"/><Relationship Id="rId2" Type="http://schemas.openxmlformats.org/officeDocument/2006/relationships/hyperlink" Target="https://rflambda.com/pdf/lownoiseamplifier/R18M66MSA.pdf" TargetMode="External"/><Relationship Id="rId1" Type="http://schemas.openxmlformats.org/officeDocument/2006/relationships/hyperlink" Target="https://www.polyphaser.com/type-n-surge-protector-6ghz-4ghz-gas-discharge-tube-gt-nff-a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O35"/>
  <sheetViews>
    <sheetView showGridLines="0" topLeftCell="C1" zoomScaleNormal="100" workbookViewId="0">
      <selection activeCell="V30" sqref="V30"/>
    </sheetView>
  </sheetViews>
  <sheetFormatPr defaultColWidth="0" defaultRowHeight="14.4" zeroHeight="1" x14ac:dyDescent="0.3"/>
  <cols>
    <col min="1" max="17" width="3.33203125" customWidth="1"/>
    <col min="18" max="20" width="11.33203125" customWidth="1"/>
    <col min="21" max="21" width="10.44140625" customWidth="1"/>
    <col min="22" max="22" width="10.88671875" bestFit="1" customWidth="1"/>
    <col min="23" max="23" width="9.33203125" bestFit="1" customWidth="1"/>
    <col min="24" max="24" width="8.6640625" customWidth="1"/>
    <col min="25" max="41" width="3.33203125" customWidth="1"/>
  </cols>
  <sheetData>
    <row r="1" spans="1:41"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row>
    <row r="2" spans="1:41" ht="16.2" thickBot="1" x14ac:dyDescent="0.35">
      <c r="A2" s="1"/>
      <c r="B2" s="1"/>
      <c r="C2" s="1"/>
      <c r="D2" s="1"/>
      <c r="E2" s="1"/>
      <c r="F2" s="1"/>
      <c r="G2" s="1"/>
      <c r="H2" s="1"/>
      <c r="I2" s="1"/>
      <c r="J2" s="1"/>
      <c r="K2" s="1"/>
      <c r="L2" s="1"/>
      <c r="M2" s="1"/>
      <c r="N2" s="1"/>
      <c r="O2" s="1"/>
      <c r="P2" s="1"/>
      <c r="Q2" s="1"/>
      <c r="R2" s="290" t="s">
        <v>0</v>
      </c>
      <c r="S2" s="291"/>
      <c r="T2" s="291"/>
      <c r="U2" s="291"/>
      <c r="V2" s="291"/>
      <c r="W2" s="291"/>
      <c r="X2" s="292"/>
      <c r="Y2" s="1"/>
      <c r="Z2" s="1"/>
      <c r="AA2" s="1"/>
      <c r="AB2" s="1"/>
      <c r="AC2" s="1"/>
      <c r="AD2" s="1"/>
      <c r="AE2" s="1"/>
      <c r="AF2" s="1"/>
      <c r="AG2" s="1"/>
      <c r="AH2" s="1"/>
      <c r="AI2" s="1"/>
      <c r="AJ2" s="1"/>
      <c r="AK2" s="1"/>
      <c r="AL2" s="1"/>
      <c r="AM2" s="1"/>
      <c r="AN2" s="1"/>
      <c r="AO2" s="1"/>
    </row>
    <row r="3" spans="1:41" ht="15" thickBot="1" x14ac:dyDescent="0.35">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row>
    <row r="4" spans="1:41" x14ac:dyDescent="0.3">
      <c r="A4" s="1"/>
      <c r="B4" s="1"/>
      <c r="C4" s="1"/>
      <c r="D4" s="1"/>
      <c r="E4" s="1"/>
      <c r="F4" s="1"/>
      <c r="G4" s="1"/>
      <c r="H4" s="1"/>
      <c r="I4" s="1"/>
      <c r="J4" s="1"/>
      <c r="K4" s="1"/>
      <c r="L4" s="1"/>
      <c r="M4" s="1"/>
      <c r="N4" s="1"/>
      <c r="O4" s="1"/>
      <c r="P4" s="3"/>
      <c r="Q4" s="134"/>
      <c r="R4" s="4"/>
      <c r="S4" s="4"/>
      <c r="T4" s="4"/>
      <c r="U4" s="5"/>
      <c r="V4" s="4"/>
      <c r="W4" s="4"/>
      <c r="X4" s="4"/>
      <c r="Y4" s="4"/>
      <c r="Z4" s="6"/>
      <c r="AA4" s="7"/>
      <c r="AB4" s="7"/>
      <c r="AC4" s="7"/>
      <c r="AD4" s="7"/>
      <c r="AE4" s="7"/>
      <c r="AF4" s="7"/>
      <c r="AG4" s="7"/>
      <c r="AH4" s="7"/>
      <c r="AI4" s="7"/>
      <c r="AJ4" s="7"/>
      <c r="AK4" s="7"/>
      <c r="AL4" s="7"/>
      <c r="AM4" s="7"/>
      <c r="AN4" s="7"/>
      <c r="AO4" s="7"/>
    </row>
    <row r="5" spans="1:41" ht="15" thickBot="1" x14ac:dyDescent="0.35">
      <c r="A5" s="1"/>
      <c r="B5" s="1"/>
      <c r="C5" s="1"/>
      <c r="D5" s="1"/>
      <c r="E5" s="1"/>
      <c r="F5" s="1"/>
      <c r="G5" s="1"/>
      <c r="H5" s="1"/>
      <c r="I5" s="1"/>
      <c r="J5" s="1"/>
      <c r="K5" s="1"/>
      <c r="L5" s="1"/>
      <c r="M5" s="1"/>
      <c r="N5" s="1"/>
      <c r="O5" s="1"/>
      <c r="P5" s="8"/>
      <c r="Q5" s="9"/>
      <c r="R5" s="9"/>
      <c r="S5" s="9"/>
      <c r="T5" s="9"/>
      <c r="U5" s="201"/>
      <c r="V5" s="9"/>
      <c r="W5" s="9"/>
      <c r="X5" s="9"/>
      <c r="Y5" s="9"/>
      <c r="Z5" s="10"/>
      <c r="AA5" s="7"/>
      <c r="AB5" s="7"/>
      <c r="AC5" s="7"/>
      <c r="AD5" s="7"/>
      <c r="AE5" s="7"/>
      <c r="AF5" s="7"/>
      <c r="AG5" s="7"/>
      <c r="AH5" s="7"/>
      <c r="AI5" s="7"/>
      <c r="AJ5" s="7"/>
      <c r="AK5" s="7"/>
      <c r="AL5" s="7"/>
      <c r="AM5" s="7"/>
      <c r="AN5" s="7"/>
      <c r="AO5" s="7"/>
    </row>
    <row r="6" spans="1:41" ht="30.6" thickBot="1" x14ac:dyDescent="0.35">
      <c r="A6" s="1"/>
      <c r="B6" s="1"/>
      <c r="C6" s="1"/>
      <c r="D6" s="1"/>
      <c r="E6" s="1"/>
      <c r="F6" s="1"/>
      <c r="G6" s="1"/>
      <c r="H6" s="1"/>
      <c r="I6" s="1"/>
      <c r="J6" s="1"/>
      <c r="K6" s="1"/>
      <c r="L6" s="1"/>
      <c r="M6" s="1"/>
      <c r="N6" s="1"/>
      <c r="O6" s="1"/>
      <c r="P6" s="8"/>
      <c r="Q6" s="9"/>
      <c r="R6" s="293" t="s">
        <v>1</v>
      </c>
      <c r="S6" s="294"/>
      <c r="T6" s="294"/>
      <c r="U6" s="294"/>
      <c r="V6" s="294"/>
      <c r="W6" s="294"/>
      <c r="X6" s="295"/>
      <c r="Y6" s="9"/>
      <c r="Z6" s="10"/>
      <c r="AA6" s="7"/>
      <c r="AB6" s="7"/>
      <c r="AC6" s="7"/>
      <c r="AD6" s="7"/>
      <c r="AE6" s="7"/>
      <c r="AF6" s="7"/>
      <c r="AG6" s="7"/>
      <c r="AH6" s="7"/>
      <c r="AI6" s="7"/>
      <c r="AJ6" s="7"/>
      <c r="AK6" s="7"/>
      <c r="AL6" s="7"/>
      <c r="AM6" s="7"/>
      <c r="AN6" s="7"/>
      <c r="AO6" s="7"/>
    </row>
    <row r="7" spans="1:41" x14ac:dyDescent="0.3">
      <c r="A7" s="1"/>
      <c r="B7" s="1"/>
      <c r="C7" s="1"/>
      <c r="D7" s="1"/>
      <c r="E7" s="1"/>
      <c r="F7" s="1"/>
      <c r="G7" s="1"/>
      <c r="H7" s="1"/>
      <c r="I7" s="1"/>
      <c r="J7" s="1"/>
      <c r="K7" s="1"/>
      <c r="L7" s="1"/>
      <c r="M7" s="1"/>
      <c r="N7" s="1"/>
      <c r="O7" s="1"/>
      <c r="P7" s="8"/>
      <c r="Q7" s="9"/>
      <c r="R7" s="9"/>
      <c r="S7" s="9"/>
      <c r="T7" s="9"/>
      <c r="U7" s="201"/>
      <c r="V7" s="9"/>
      <c r="W7" s="9"/>
      <c r="X7" s="9"/>
      <c r="Y7" s="9"/>
      <c r="Z7" s="10"/>
      <c r="AA7" s="1"/>
      <c r="AB7" s="1"/>
      <c r="AC7" s="1"/>
      <c r="AD7" s="1"/>
      <c r="AE7" s="1"/>
      <c r="AF7" s="1"/>
      <c r="AG7" s="1"/>
      <c r="AH7" s="1"/>
      <c r="AI7" s="1"/>
      <c r="AJ7" s="1"/>
      <c r="AK7" s="1"/>
      <c r="AL7" s="1"/>
      <c r="AM7" s="1"/>
      <c r="AN7" s="1"/>
      <c r="AO7" s="1"/>
    </row>
    <row r="8" spans="1:41" x14ac:dyDescent="0.3">
      <c r="A8" s="1"/>
      <c r="B8" s="1"/>
      <c r="C8" s="1"/>
      <c r="D8" s="1"/>
      <c r="E8" s="1"/>
      <c r="F8" s="1"/>
      <c r="G8" s="1"/>
      <c r="H8" s="1"/>
      <c r="I8" s="1"/>
      <c r="J8" s="1"/>
      <c r="K8" s="1"/>
      <c r="L8" s="1"/>
      <c r="M8" s="1"/>
      <c r="N8" s="1"/>
      <c r="O8" s="1"/>
      <c r="P8" s="132"/>
      <c r="Q8" s="9"/>
      <c r="R8" s="9"/>
      <c r="S8" s="9"/>
      <c r="T8" s="9"/>
      <c r="U8" s="201"/>
      <c r="V8" s="201" t="s">
        <v>2</v>
      </c>
      <c r="W8" s="201" t="s">
        <v>3</v>
      </c>
      <c r="X8" s="9"/>
      <c r="Y8" s="9"/>
      <c r="Z8" s="10"/>
      <c r="AA8" s="1"/>
      <c r="AB8" s="1"/>
      <c r="AC8" s="1"/>
      <c r="AD8" s="1"/>
      <c r="AE8" s="1"/>
      <c r="AF8" s="1"/>
      <c r="AG8" s="1"/>
      <c r="AH8" s="1"/>
      <c r="AI8" s="1"/>
      <c r="AJ8" s="1"/>
      <c r="AK8" s="1"/>
      <c r="AL8" s="1"/>
      <c r="AM8" s="1"/>
      <c r="AN8" s="1"/>
      <c r="AO8" s="1"/>
    </row>
    <row r="9" spans="1:41" x14ac:dyDescent="0.3">
      <c r="A9" s="1"/>
      <c r="B9" s="1"/>
      <c r="C9" s="1"/>
      <c r="D9" s="1"/>
      <c r="E9" s="1"/>
      <c r="F9" s="1"/>
      <c r="G9" s="1"/>
      <c r="H9" s="1"/>
      <c r="I9" s="1"/>
      <c r="J9" s="1"/>
      <c r="K9" s="1"/>
      <c r="L9" s="1"/>
      <c r="M9" s="1"/>
      <c r="N9" s="1"/>
      <c r="O9" s="1"/>
      <c r="P9" s="8"/>
      <c r="Q9" s="9"/>
      <c r="R9" s="298" t="s">
        <v>4</v>
      </c>
      <c r="S9" s="298"/>
      <c r="T9" s="298"/>
      <c r="U9" s="299"/>
      <c r="V9" s="206">
        <v>299792458</v>
      </c>
      <c r="W9" s="201" t="s">
        <v>5</v>
      </c>
      <c r="X9" s="9"/>
      <c r="Y9" s="9"/>
      <c r="Z9" s="10"/>
      <c r="AA9" s="1"/>
      <c r="AB9" s="1"/>
      <c r="AC9" s="1"/>
      <c r="AD9" s="1"/>
      <c r="AE9" s="1"/>
      <c r="AF9" s="1"/>
      <c r="AG9" s="1"/>
      <c r="AH9" s="1"/>
      <c r="AI9" s="1"/>
      <c r="AJ9" s="1"/>
      <c r="AK9" s="1"/>
      <c r="AL9" s="1"/>
      <c r="AM9" s="1"/>
      <c r="AN9" s="1"/>
      <c r="AO9" s="1"/>
    </row>
    <row r="10" spans="1:41" x14ac:dyDescent="0.3">
      <c r="A10" s="1"/>
      <c r="B10" s="1"/>
      <c r="C10" s="1"/>
      <c r="D10" s="1"/>
      <c r="E10" s="1"/>
      <c r="F10" s="1"/>
      <c r="G10" s="1"/>
      <c r="H10" s="1"/>
      <c r="I10" s="1"/>
      <c r="J10" s="1"/>
      <c r="K10" s="1"/>
      <c r="L10" s="1"/>
      <c r="M10" s="1"/>
      <c r="N10" s="1"/>
      <c r="O10" s="1"/>
      <c r="P10" s="8"/>
      <c r="Q10" s="9"/>
      <c r="R10" s="296" t="s">
        <v>6</v>
      </c>
      <c r="S10" s="296"/>
      <c r="T10" s="296"/>
      <c r="U10" s="297"/>
      <c r="V10" s="206">
        <v>-228.6</v>
      </c>
      <c r="W10" s="201" t="s">
        <v>7</v>
      </c>
      <c r="X10" s="9"/>
      <c r="Y10" s="9"/>
      <c r="Z10" s="10"/>
      <c r="AA10" s="1"/>
      <c r="AB10" s="1"/>
      <c r="AC10" s="1"/>
      <c r="AD10" s="1"/>
      <c r="AE10" s="1"/>
      <c r="AF10" s="1"/>
      <c r="AG10" s="1"/>
      <c r="AH10" s="1"/>
      <c r="AI10" s="1"/>
      <c r="AJ10" s="1"/>
      <c r="AK10" s="1"/>
      <c r="AL10" s="1"/>
      <c r="AM10" s="1"/>
      <c r="AN10" s="1"/>
      <c r="AO10" s="1"/>
    </row>
    <row r="11" spans="1:41" x14ac:dyDescent="0.3">
      <c r="A11" s="1"/>
      <c r="B11" s="1"/>
      <c r="C11" s="1"/>
      <c r="D11" s="1"/>
      <c r="E11" s="1"/>
      <c r="F11" s="1"/>
      <c r="G11" s="1"/>
      <c r="H11" s="1"/>
      <c r="I11" s="1"/>
      <c r="J11" s="1"/>
      <c r="K11" s="1"/>
      <c r="L11" s="1"/>
      <c r="M11" s="1"/>
      <c r="N11" s="1"/>
      <c r="O11" s="1"/>
      <c r="P11" s="8"/>
      <c r="Q11" s="9"/>
      <c r="R11" s="298" t="s">
        <v>8</v>
      </c>
      <c r="S11" s="298"/>
      <c r="T11" s="298"/>
      <c r="U11" s="299"/>
      <c r="V11" s="206">
        <v>6378.17</v>
      </c>
      <c r="W11" s="201" t="s">
        <v>9</v>
      </c>
      <c r="X11" s="9"/>
      <c r="Y11" s="9"/>
      <c r="Z11" s="10"/>
      <c r="AA11" s="1"/>
      <c r="AB11" s="1"/>
      <c r="AC11" s="1"/>
      <c r="AD11" s="1"/>
      <c r="AE11" s="1"/>
      <c r="AF11" s="1"/>
      <c r="AG11" s="1"/>
      <c r="AH11" s="1"/>
      <c r="AI11" s="1"/>
      <c r="AJ11" s="1"/>
      <c r="AK11" s="1"/>
      <c r="AL11" s="1"/>
      <c r="AM11" s="1"/>
      <c r="AN11" s="1"/>
      <c r="AO11" s="1"/>
    </row>
    <row r="12" spans="1:41" ht="15" thickBot="1" x14ac:dyDescent="0.35">
      <c r="A12" s="1"/>
      <c r="B12" s="1"/>
      <c r="C12" s="1"/>
      <c r="D12" s="1"/>
      <c r="E12" s="1"/>
      <c r="F12" s="1"/>
      <c r="G12" s="1"/>
      <c r="H12" s="1"/>
      <c r="I12" s="1"/>
      <c r="J12" s="1"/>
      <c r="K12" s="1"/>
      <c r="L12" s="1"/>
      <c r="M12" s="1"/>
      <c r="N12" s="1"/>
      <c r="O12" s="1"/>
      <c r="P12" s="8"/>
      <c r="Q12" s="9"/>
      <c r="R12" s="9"/>
      <c r="S12" s="9"/>
      <c r="T12" s="9"/>
      <c r="U12" s="201"/>
      <c r="V12" s="9"/>
      <c r="W12" s="9"/>
      <c r="X12" s="9"/>
      <c r="Y12" s="9"/>
      <c r="Z12" s="10"/>
      <c r="AA12" s="1"/>
      <c r="AB12" s="1"/>
      <c r="AC12" s="1"/>
      <c r="AD12" s="1"/>
      <c r="AE12" s="1"/>
      <c r="AF12" s="1"/>
      <c r="AG12" s="1"/>
      <c r="AH12" s="1"/>
      <c r="AI12" s="1"/>
      <c r="AJ12" s="1"/>
      <c r="AK12" s="1"/>
      <c r="AL12" s="1"/>
      <c r="AM12" s="1"/>
      <c r="AN12" s="1"/>
      <c r="AO12" s="1"/>
    </row>
    <row r="13" spans="1:41" ht="30.6" thickBot="1" x14ac:dyDescent="0.35">
      <c r="A13" s="1"/>
      <c r="B13" s="1"/>
      <c r="C13" s="1"/>
      <c r="D13" s="1"/>
      <c r="E13" s="1"/>
      <c r="F13" s="1"/>
      <c r="G13" s="1"/>
      <c r="H13" s="1"/>
      <c r="I13" s="1"/>
      <c r="J13" s="1"/>
      <c r="K13" s="1"/>
      <c r="L13" s="1"/>
      <c r="M13" s="1"/>
      <c r="N13" s="1"/>
      <c r="O13" s="1"/>
      <c r="P13" s="8"/>
      <c r="Q13" s="9"/>
      <c r="R13" s="293" t="s">
        <v>10</v>
      </c>
      <c r="S13" s="294"/>
      <c r="T13" s="294"/>
      <c r="U13" s="294"/>
      <c r="V13" s="294"/>
      <c r="W13" s="294"/>
      <c r="X13" s="295"/>
      <c r="Y13" s="9"/>
      <c r="Z13" s="10"/>
      <c r="AA13" s="1"/>
      <c r="AB13" s="1"/>
      <c r="AC13" s="1"/>
      <c r="AD13" s="1"/>
      <c r="AE13" s="1"/>
      <c r="AF13" s="1"/>
      <c r="AG13" s="1"/>
      <c r="AH13" s="1"/>
      <c r="AI13" s="1"/>
      <c r="AJ13" s="1"/>
      <c r="AK13" s="1"/>
      <c r="AL13" s="1"/>
      <c r="AM13" s="1"/>
      <c r="AN13" s="1"/>
      <c r="AO13" s="1"/>
    </row>
    <row r="14" spans="1:41" x14ac:dyDescent="0.3">
      <c r="A14" s="1"/>
      <c r="B14" s="1"/>
      <c r="C14" s="1"/>
      <c r="D14" s="1"/>
      <c r="E14" s="1"/>
      <c r="F14" s="1"/>
      <c r="G14" s="1"/>
      <c r="H14" s="1"/>
      <c r="I14" s="1"/>
      <c r="J14" s="1"/>
      <c r="K14" s="1"/>
      <c r="L14" s="1"/>
      <c r="M14" s="1"/>
      <c r="N14" s="1"/>
      <c r="O14" s="1"/>
      <c r="P14" s="8"/>
      <c r="Q14" s="9"/>
      <c r="R14" s="9"/>
      <c r="S14" s="9"/>
      <c r="T14" s="9"/>
      <c r="U14" s="201"/>
      <c r="V14" s="9"/>
      <c r="W14" s="9"/>
      <c r="X14" s="9"/>
      <c r="Y14" s="9"/>
      <c r="Z14" s="10"/>
      <c r="AA14" s="1"/>
      <c r="AB14" s="1"/>
      <c r="AC14" s="1"/>
      <c r="AD14" s="1"/>
      <c r="AE14" s="1"/>
      <c r="AF14" s="1"/>
      <c r="AG14" s="1"/>
      <c r="AH14" s="1"/>
      <c r="AI14" s="1"/>
      <c r="AJ14" s="1"/>
      <c r="AK14" s="1"/>
      <c r="AL14" s="1"/>
      <c r="AM14" s="1"/>
      <c r="AN14" s="1"/>
      <c r="AO14" s="1"/>
    </row>
    <row r="15" spans="1:41" x14ac:dyDescent="0.3">
      <c r="A15" s="1"/>
      <c r="B15" s="1"/>
      <c r="C15" s="1"/>
      <c r="D15" s="1"/>
      <c r="E15" s="1"/>
      <c r="F15" s="1"/>
      <c r="G15" s="1"/>
      <c r="H15" s="1"/>
      <c r="I15" s="1"/>
      <c r="J15" s="1"/>
      <c r="K15" s="1"/>
      <c r="L15" s="1"/>
      <c r="M15" s="1"/>
      <c r="N15" s="1"/>
      <c r="O15" s="1"/>
      <c r="P15" s="8"/>
      <c r="Q15" s="9"/>
      <c r="R15" s="9"/>
      <c r="S15" s="298" t="s">
        <v>11</v>
      </c>
      <c r="T15" s="298"/>
      <c r="U15" s="298"/>
      <c r="V15" s="144">
        <v>437.30500000000001</v>
      </c>
      <c r="W15" s="9" t="s">
        <v>12</v>
      </c>
      <c r="X15" s="9"/>
      <c r="Y15" s="9"/>
      <c r="Z15" s="10"/>
      <c r="AA15" s="1"/>
      <c r="AB15" s="1"/>
      <c r="AC15" s="1"/>
      <c r="AD15" s="1"/>
      <c r="AE15" s="1"/>
      <c r="AF15" s="1"/>
      <c r="AG15" s="1"/>
      <c r="AH15" s="1"/>
      <c r="AI15" s="1"/>
      <c r="AJ15" s="1"/>
      <c r="AK15" s="1"/>
      <c r="AL15" s="1"/>
      <c r="AM15" s="1"/>
      <c r="AN15" s="1"/>
      <c r="AO15" s="1"/>
    </row>
    <row r="16" spans="1:41" x14ac:dyDescent="0.3">
      <c r="A16" s="1"/>
      <c r="B16" s="1"/>
      <c r="C16" s="1"/>
      <c r="D16" s="1"/>
      <c r="E16" s="1"/>
      <c r="F16" s="1"/>
      <c r="G16" s="1"/>
      <c r="H16" s="1"/>
      <c r="I16" s="1"/>
      <c r="J16" s="1"/>
      <c r="K16" s="1"/>
      <c r="L16" s="1"/>
      <c r="M16" s="1"/>
      <c r="N16" s="1"/>
      <c r="O16" s="1"/>
      <c r="P16" s="8"/>
      <c r="Q16" s="9"/>
      <c r="R16" s="9"/>
      <c r="S16" s="298" t="s">
        <v>13</v>
      </c>
      <c r="T16" s="298"/>
      <c r="U16" s="298"/>
      <c r="V16" s="127">
        <v>437.30500000000001</v>
      </c>
      <c r="W16" s="9" t="s">
        <v>12</v>
      </c>
      <c r="X16" s="9"/>
      <c r="Y16" s="9"/>
      <c r="Z16" s="10"/>
      <c r="AA16" s="1"/>
      <c r="AB16" s="1"/>
      <c r="AC16" s="1"/>
      <c r="AD16" s="1"/>
      <c r="AE16" s="1"/>
      <c r="AF16" s="1"/>
      <c r="AG16" s="1"/>
      <c r="AH16" s="1"/>
      <c r="AI16" s="1"/>
      <c r="AJ16" s="1"/>
      <c r="AK16" s="1"/>
      <c r="AL16" s="1"/>
      <c r="AM16" s="1"/>
      <c r="AN16" s="1"/>
      <c r="AO16" s="1"/>
    </row>
    <row r="17" spans="1:41" ht="15" thickBot="1" x14ac:dyDescent="0.35">
      <c r="A17" s="1"/>
      <c r="B17" s="1"/>
      <c r="C17" s="1"/>
      <c r="D17" s="1"/>
      <c r="E17" s="1"/>
      <c r="F17" s="1"/>
      <c r="G17" s="1"/>
      <c r="H17" s="1"/>
      <c r="I17" s="1"/>
      <c r="J17" s="1"/>
      <c r="K17" s="1"/>
      <c r="L17" s="1"/>
      <c r="M17" s="1"/>
      <c r="N17" s="1"/>
      <c r="O17" s="1"/>
      <c r="P17" s="8"/>
      <c r="Q17" s="9"/>
      <c r="R17" s="9"/>
      <c r="S17" s="9"/>
      <c r="T17" s="9"/>
      <c r="U17" s="201"/>
      <c r="V17" s="9"/>
      <c r="W17" s="9"/>
      <c r="X17" s="9"/>
      <c r="Y17" s="9"/>
      <c r="Z17" s="10"/>
      <c r="AA17" s="1"/>
      <c r="AB17" s="1"/>
      <c r="AC17" s="1"/>
      <c r="AD17" s="1"/>
      <c r="AE17" s="1"/>
      <c r="AF17" s="1"/>
      <c r="AG17" s="1"/>
      <c r="AH17" s="1"/>
      <c r="AI17" s="1"/>
      <c r="AJ17" s="1"/>
      <c r="AK17" s="1"/>
      <c r="AL17" s="1"/>
      <c r="AM17" s="1"/>
      <c r="AN17" s="1"/>
      <c r="AO17" s="1"/>
    </row>
    <row r="18" spans="1:41" ht="30.6" thickBot="1" x14ac:dyDescent="0.35">
      <c r="A18" s="1"/>
      <c r="B18" s="1"/>
      <c r="C18" s="1"/>
      <c r="D18" s="1"/>
      <c r="E18" s="1"/>
      <c r="F18" s="1"/>
      <c r="G18" s="1"/>
      <c r="H18" s="1"/>
      <c r="I18" s="1"/>
      <c r="J18" s="1"/>
      <c r="K18" s="1"/>
      <c r="L18" s="1"/>
      <c r="M18" s="1"/>
      <c r="N18" s="1"/>
      <c r="O18" s="1"/>
      <c r="P18" s="8"/>
      <c r="Q18" s="9"/>
      <c r="R18" s="293" t="s">
        <v>14</v>
      </c>
      <c r="S18" s="294"/>
      <c r="T18" s="294"/>
      <c r="U18" s="294"/>
      <c r="V18" s="294"/>
      <c r="W18" s="294"/>
      <c r="X18" s="295"/>
      <c r="Y18" s="9"/>
      <c r="Z18" s="10"/>
      <c r="AA18" s="1"/>
      <c r="AB18" s="1"/>
      <c r="AC18" s="1"/>
      <c r="AD18" s="1"/>
      <c r="AE18" s="1"/>
      <c r="AF18" s="1"/>
      <c r="AG18" s="1"/>
      <c r="AH18" s="1"/>
      <c r="AI18" s="1"/>
      <c r="AJ18" s="1"/>
      <c r="AK18" s="1"/>
      <c r="AL18" s="1"/>
      <c r="AM18" s="1"/>
      <c r="AN18" s="1"/>
      <c r="AO18" s="1"/>
    </row>
    <row r="19" spans="1:41" x14ac:dyDescent="0.3">
      <c r="A19" s="1"/>
      <c r="B19" s="1"/>
      <c r="C19" s="1"/>
      <c r="D19" s="1"/>
      <c r="E19" s="1"/>
      <c r="F19" s="1"/>
      <c r="G19" s="1"/>
      <c r="H19" s="1"/>
      <c r="I19" s="1"/>
      <c r="J19" s="1"/>
      <c r="K19" s="1"/>
      <c r="L19" s="1"/>
      <c r="M19" s="1"/>
      <c r="N19" s="1"/>
      <c r="O19" s="1"/>
      <c r="P19" s="8"/>
      <c r="Q19" s="9"/>
      <c r="R19" s="9"/>
      <c r="S19" s="9"/>
      <c r="T19" s="9"/>
      <c r="U19" s="201"/>
      <c r="V19" s="9"/>
      <c r="W19" s="9"/>
      <c r="X19" s="9"/>
      <c r="Y19" s="9"/>
      <c r="Z19" s="10"/>
      <c r="AA19" s="1"/>
      <c r="AB19" s="1"/>
      <c r="AC19" s="1"/>
      <c r="AD19" s="1"/>
      <c r="AE19" s="1"/>
      <c r="AF19" s="1"/>
      <c r="AG19" s="1"/>
      <c r="AH19" s="1"/>
      <c r="AI19" s="1"/>
      <c r="AJ19" s="1"/>
      <c r="AK19" s="1"/>
      <c r="AL19" s="1"/>
      <c r="AM19" s="1"/>
      <c r="AN19" s="1"/>
      <c r="AO19" s="1"/>
    </row>
    <row r="20" spans="1:41" x14ac:dyDescent="0.3">
      <c r="A20" s="1"/>
      <c r="B20" s="1"/>
      <c r="C20" s="1"/>
      <c r="D20" s="1"/>
      <c r="E20" s="1"/>
      <c r="F20" s="1"/>
      <c r="G20" s="1"/>
      <c r="H20" s="1"/>
      <c r="I20" s="1"/>
      <c r="J20" s="1"/>
      <c r="K20" s="1"/>
      <c r="L20" s="1"/>
      <c r="M20" s="1"/>
      <c r="N20" s="1"/>
      <c r="O20" s="1"/>
      <c r="P20" s="8"/>
      <c r="Q20" s="9"/>
      <c r="R20" s="298" t="s">
        <v>15</v>
      </c>
      <c r="S20" s="298"/>
      <c r="T20" s="298"/>
      <c r="U20" s="300"/>
      <c r="V20" s="128">
        <v>408</v>
      </c>
      <c r="W20" s="11" t="s">
        <v>9</v>
      </c>
      <c r="X20" s="9"/>
      <c r="Y20" s="9"/>
      <c r="Z20" s="10"/>
      <c r="AA20" s="1"/>
      <c r="AB20" s="1"/>
      <c r="AC20" s="1"/>
      <c r="AD20" s="1"/>
      <c r="AE20" s="1"/>
      <c r="AF20" s="1"/>
      <c r="AG20" s="1"/>
      <c r="AH20" s="1"/>
      <c r="AI20" s="1"/>
      <c r="AJ20" s="1"/>
      <c r="AK20" s="1"/>
      <c r="AL20" s="1"/>
      <c r="AM20" s="1"/>
      <c r="AN20" s="1"/>
      <c r="AO20" s="1"/>
    </row>
    <row r="21" spans="1:41" x14ac:dyDescent="0.3">
      <c r="A21" s="1"/>
      <c r="B21" s="1"/>
      <c r="C21" s="1"/>
      <c r="D21" s="1"/>
      <c r="E21" s="1"/>
      <c r="F21" s="1"/>
      <c r="G21" s="1"/>
      <c r="H21" s="1"/>
      <c r="I21" s="1"/>
      <c r="J21" s="1"/>
      <c r="K21" s="1"/>
      <c r="L21" s="1"/>
      <c r="M21" s="1"/>
      <c r="N21" s="1"/>
      <c r="O21" s="1"/>
      <c r="P21" s="8"/>
      <c r="Q21" s="9"/>
      <c r="R21" s="298" t="s">
        <v>16</v>
      </c>
      <c r="S21" s="298"/>
      <c r="T21" s="298"/>
      <c r="U21" s="300"/>
      <c r="V21" s="128">
        <v>300</v>
      </c>
      <c r="W21" s="9" t="s">
        <v>17</v>
      </c>
      <c r="X21" s="9"/>
      <c r="Y21" s="9"/>
      <c r="Z21" s="10"/>
      <c r="AA21" s="1"/>
      <c r="AB21" s="1"/>
      <c r="AC21" s="1"/>
      <c r="AD21" s="1"/>
      <c r="AE21" s="1"/>
      <c r="AF21" s="1"/>
      <c r="AG21" s="1"/>
      <c r="AH21" s="1"/>
      <c r="AI21" s="1"/>
      <c r="AJ21" s="1"/>
      <c r="AK21" s="1"/>
      <c r="AL21" s="1"/>
      <c r="AM21" s="1"/>
      <c r="AN21" s="1"/>
      <c r="AO21" s="1"/>
    </row>
    <row r="22" spans="1:41" x14ac:dyDescent="0.3">
      <c r="A22" s="1"/>
      <c r="B22" s="1"/>
      <c r="C22" s="1"/>
      <c r="D22" s="1"/>
      <c r="E22" s="1"/>
      <c r="F22" s="1"/>
      <c r="G22" s="1"/>
      <c r="H22" s="1"/>
      <c r="I22" s="1"/>
      <c r="J22" s="1"/>
      <c r="K22" s="1"/>
      <c r="L22" s="1"/>
      <c r="M22" s="1"/>
      <c r="N22" s="1"/>
      <c r="O22" s="1"/>
      <c r="P22" s="8"/>
      <c r="Q22" s="9"/>
      <c r="R22" s="298" t="s">
        <v>18</v>
      </c>
      <c r="S22" s="298"/>
      <c r="T22" s="298"/>
      <c r="U22" s="300"/>
      <c r="V22" s="127">
        <v>7</v>
      </c>
      <c r="W22" s="9" t="s">
        <v>19</v>
      </c>
      <c r="X22" s="9"/>
      <c r="Y22" s="9"/>
      <c r="Z22" s="10"/>
      <c r="AA22" s="1"/>
      <c r="AB22" s="1"/>
      <c r="AC22" s="1"/>
      <c r="AD22" s="1"/>
      <c r="AE22" s="1"/>
      <c r="AF22" s="1"/>
      <c r="AG22" s="1"/>
      <c r="AH22" s="1"/>
      <c r="AI22" s="1"/>
      <c r="AJ22" s="1"/>
      <c r="AK22" s="1"/>
      <c r="AL22" s="1"/>
      <c r="AM22" s="1"/>
      <c r="AN22" s="1"/>
      <c r="AO22" s="1"/>
    </row>
    <row r="23" spans="1:41" x14ac:dyDescent="0.3">
      <c r="A23" s="1"/>
      <c r="B23" s="1"/>
      <c r="C23" s="1"/>
      <c r="D23" s="1"/>
      <c r="E23" s="1"/>
      <c r="F23" s="1"/>
      <c r="G23" s="1"/>
      <c r="H23" s="1"/>
      <c r="I23" s="1"/>
      <c r="J23" s="1"/>
      <c r="K23" s="1"/>
      <c r="L23" s="1"/>
      <c r="M23" s="1"/>
      <c r="N23" s="1"/>
      <c r="O23" s="1"/>
      <c r="P23" s="8"/>
      <c r="Q23" s="9"/>
      <c r="R23" s="298" t="s">
        <v>20</v>
      </c>
      <c r="S23" s="298"/>
      <c r="T23" s="298"/>
      <c r="U23" s="300"/>
      <c r="V23" s="128">
        <v>1500</v>
      </c>
      <c r="W23" s="9" t="s">
        <v>21</v>
      </c>
      <c r="X23" s="9"/>
      <c r="Y23" s="9"/>
      <c r="Z23" s="10"/>
      <c r="AA23" s="1"/>
      <c r="AB23" s="1"/>
      <c r="AC23" s="1"/>
      <c r="AD23" s="1"/>
      <c r="AE23" s="1"/>
      <c r="AF23" s="1"/>
      <c r="AG23" s="1"/>
      <c r="AH23" s="1"/>
      <c r="AI23" s="1"/>
      <c r="AJ23" s="1"/>
      <c r="AK23" s="1"/>
      <c r="AL23" s="1"/>
      <c r="AM23" s="1"/>
      <c r="AN23" s="1"/>
      <c r="AO23" s="1"/>
    </row>
    <row r="24" spans="1:41" x14ac:dyDescent="0.3">
      <c r="A24" s="1"/>
      <c r="B24" s="1"/>
      <c r="C24" s="1"/>
      <c r="D24" s="1"/>
      <c r="E24" s="1"/>
      <c r="F24" s="1"/>
      <c r="G24" s="1"/>
      <c r="H24" s="1"/>
      <c r="I24" s="1"/>
      <c r="J24" s="1"/>
      <c r="K24" s="1"/>
      <c r="L24" s="1"/>
      <c r="M24" s="1"/>
      <c r="N24" s="1"/>
      <c r="O24" s="1"/>
      <c r="P24" s="8"/>
      <c r="Q24" s="9"/>
      <c r="R24" s="298" t="s">
        <v>22</v>
      </c>
      <c r="S24" s="298"/>
      <c r="T24" s="298"/>
      <c r="U24" s="300"/>
      <c r="V24" s="129">
        <v>1</v>
      </c>
      <c r="W24" s="9"/>
      <c r="X24" s="9"/>
      <c r="Y24" s="9"/>
      <c r="Z24" s="10"/>
      <c r="AA24" s="1"/>
      <c r="AB24" s="1"/>
      <c r="AC24" s="1"/>
      <c r="AD24" s="1"/>
      <c r="AE24" s="1"/>
      <c r="AF24" s="1"/>
      <c r="AG24" s="1"/>
      <c r="AH24" s="1"/>
      <c r="AI24" s="1"/>
      <c r="AJ24" s="1"/>
      <c r="AK24" s="1"/>
      <c r="AL24" s="1"/>
      <c r="AM24" s="1"/>
      <c r="AN24" s="1"/>
      <c r="AO24" s="1"/>
    </row>
    <row r="25" spans="1:41" x14ac:dyDescent="0.3">
      <c r="A25" s="1"/>
      <c r="B25" s="1"/>
      <c r="C25" s="1"/>
      <c r="D25" s="1"/>
      <c r="E25" s="1"/>
      <c r="F25" s="1"/>
      <c r="G25" s="1"/>
      <c r="H25" s="1"/>
      <c r="I25" s="1"/>
      <c r="J25" s="1"/>
      <c r="K25" s="1"/>
      <c r="L25" s="1"/>
      <c r="M25" s="1"/>
      <c r="N25" s="1"/>
      <c r="O25" s="1"/>
      <c r="P25" s="8"/>
      <c r="Q25" s="9"/>
      <c r="R25" s="298" t="s">
        <v>23</v>
      </c>
      <c r="S25" s="298"/>
      <c r="T25" s="298"/>
      <c r="U25" s="300"/>
      <c r="V25" s="128">
        <v>10</v>
      </c>
      <c r="W25" s="9" t="s">
        <v>17</v>
      </c>
      <c r="X25" s="9"/>
      <c r="Y25" s="9"/>
      <c r="Z25" s="10"/>
      <c r="AA25" s="1"/>
      <c r="AB25" s="1"/>
      <c r="AC25" s="1"/>
      <c r="AD25" s="1"/>
      <c r="AE25" s="1"/>
      <c r="AF25" s="1"/>
      <c r="AG25" s="1"/>
      <c r="AH25" s="1"/>
      <c r="AI25" s="1"/>
      <c r="AJ25" s="1"/>
      <c r="AK25" s="1"/>
      <c r="AL25" s="1"/>
      <c r="AM25" s="1"/>
      <c r="AN25" s="1"/>
      <c r="AO25" s="1"/>
    </row>
    <row r="26" spans="1:41" x14ac:dyDescent="0.3">
      <c r="A26" s="1"/>
      <c r="B26" s="1"/>
      <c r="C26" s="1"/>
      <c r="D26" s="1"/>
      <c r="E26" s="1"/>
      <c r="F26" s="1"/>
      <c r="G26" s="1"/>
      <c r="H26" s="1"/>
      <c r="I26" s="1"/>
      <c r="J26" s="1"/>
      <c r="K26" s="1"/>
      <c r="L26" s="1"/>
      <c r="M26" s="1"/>
      <c r="N26" s="1"/>
      <c r="O26" s="1"/>
      <c r="P26" s="8"/>
      <c r="Q26" s="9"/>
      <c r="R26" s="298" t="str">
        <f>"Payload size (per "&amp;V25&amp;"s video)"</f>
        <v>Payload size (per 10s video)</v>
      </c>
      <c r="S26" s="298"/>
      <c r="T26" s="298"/>
      <c r="U26" s="299"/>
      <c r="V26" s="204">
        <f>V23*15*V25/1000/V24</f>
        <v>225</v>
      </c>
      <c r="W26" s="9" t="s">
        <v>24</v>
      </c>
      <c r="X26" s="9"/>
      <c r="Y26" s="9"/>
      <c r="Z26" s="10"/>
      <c r="AA26" s="1"/>
      <c r="AB26" s="1"/>
      <c r="AC26" s="1"/>
      <c r="AD26" s="1"/>
      <c r="AE26" s="1"/>
      <c r="AF26" s="1"/>
      <c r="AG26" s="1"/>
      <c r="AH26" s="1"/>
      <c r="AI26" s="1"/>
      <c r="AJ26" s="1"/>
      <c r="AK26" s="1"/>
      <c r="AL26" s="1"/>
      <c r="AM26" s="1"/>
      <c r="AN26" s="1"/>
      <c r="AO26" s="1"/>
    </row>
    <row r="27" spans="1:41" ht="15" thickBot="1" x14ac:dyDescent="0.35">
      <c r="A27" s="1"/>
      <c r="B27" s="1"/>
      <c r="C27" s="1"/>
      <c r="D27" s="1"/>
      <c r="E27" s="1"/>
      <c r="F27" s="1"/>
      <c r="G27" s="1"/>
      <c r="H27" s="1"/>
      <c r="I27" s="1"/>
      <c r="J27" s="1"/>
      <c r="K27" s="1"/>
      <c r="L27" s="1"/>
      <c r="M27" s="1"/>
      <c r="N27" s="1"/>
      <c r="O27" s="1"/>
      <c r="P27" s="8"/>
      <c r="Q27" s="9"/>
      <c r="R27" s="9"/>
      <c r="S27" s="9"/>
      <c r="T27" s="9"/>
      <c r="U27" s="201"/>
      <c r="V27" s="9"/>
      <c r="W27" s="9"/>
      <c r="X27" s="9"/>
      <c r="Y27" s="9"/>
      <c r="Z27" s="10"/>
      <c r="AA27" s="1"/>
      <c r="AB27" s="1"/>
      <c r="AC27" s="1"/>
      <c r="AD27" s="1"/>
      <c r="AE27" s="1"/>
      <c r="AF27" s="1"/>
      <c r="AG27" s="1"/>
      <c r="AH27" s="1"/>
      <c r="AI27" s="1"/>
      <c r="AJ27" s="1"/>
      <c r="AK27" s="1"/>
      <c r="AL27" s="1"/>
      <c r="AM27" s="1"/>
      <c r="AN27" s="1"/>
      <c r="AO27" s="1"/>
    </row>
    <row r="28" spans="1:41" ht="30.6" thickBot="1" x14ac:dyDescent="0.35">
      <c r="A28" s="1"/>
      <c r="B28" s="1"/>
      <c r="C28" s="1"/>
      <c r="D28" s="1"/>
      <c r="E28" s="1"/>
      <c r="F28" s="1"/>
      <c r="G28" s="1"/>
      <c r="H28" s="1"/>
      <c r="I28" s="1"/>
      <c r="J28" s="1"/>
      <c r="K28" s="1"/>
      <c r="L28" s="1"/>
      <c r="M28" s="1"/>
      <c r="N28" s="1"/>
      <c r="O28" s="1"/>
      <c r="P28" s="8"/>
      <c r="Q28" s="9"/>
      <c r="R28" s="293" t="s">
        <v>25</v>
      </c>
      <c r="S28" s="294"/>
      <c r="T28" s="294"/>
      <c r="U28" s="294"/>
      <c r="V28" s="294"/>
      <c r="W28" s="294"/>
      <c r="X28" s="295"/>
      <c r="Y28" s="9"/>
      <c r="Z28" s="10"/>
      <c r="AA28" s="1"/>
      <c r="AB28" s="1"/>
      <c r="AC28" s="1"/>
      <c r="AD28" s="1"/>
      <c r="AE28" s="1"/>
      <c r="AF28" s="1"/>
      <c r="AG28" s="1"/>
      <c r="AH28" s="1"/>
      <c r="AI28" s="1"/>
      <c r="AJ28" s="1"/>
      <c r="AK28" s="1"/>
      <c r="AL28" s="1"/>
      <c r="AM28" s="1"/>
      <c r="AN28" s="1"/>
      <c r="AO28" s="1"/>
    </row>
    <row r="29" spans="1:41" x14ac:dyDescent="0.3">
      <c r="A29" s="1"/>
      <c r="B29" s="1"/>
      <c r="C29" s="1"/>
      <c r="D29" s="1"/>
      <c r="E29" s="1"/>
      <c r="F29" s="1"/>
      <c r="G29" s="1"/>
      <c r="H29" s="1"/>
      <c r="I29" s="1"/>
      <c r="J29" s="1"/>
      <c r="K29" s="1"/>
      <c r="L29" s="1"/>
      <c r="M29" s="1"/>
      <c r="N29" s="1"/>
      <c r="O29" s="1"/>
      <c r="P29" s="8"/>
      <c r="Q29" s="9"/>
      <c r="R29" s="9"/>
      <c r="S29" s="9"/>
      <c r="T29" s="9"/>
      <c r="U29" s="201"/>
      <c r="V29" s="9"/>
      <c r="W29" s="9"/>
      <c r="X29" s="9"/>
      <c r="Y29" s="9"/>
      <c r="Z29" s="10"/>
      <c r="AA29" s="1"/>
      <c r="AB29" s="1"/>
      <c r="AC29" s="1"/>
      <c r="AD29" s="1"/>
      <c r="AE29" s="1"/>
      <c r="AF29" s="1"/>
      <c r="AG29" s="1"/>
      <c r="AH29" s="1"/>
      <c r="AI29" s="1"/>
      <c r="AJ29" s="1"/>
      <c r="AK29" s="1"/>
      <c r="AL29" s="1"/>
      <c r="AM29" s="1"/>
      <c r="AN29" s="1"/>
      <c r="AO29" s="1"/>
    </row>
    <row r="30" spans="1:41" x14ac:dyDescent="0.3">
      <c r="A30" s="1"/>
      <c r="B30" s="1"/>
      <c r="C30" s="1"/>
      <c r="D30" s="1"/>
      <c r="E30" s="1"/>
      <c r="F30" s="1"/>
      <c r="G30" s="1"/>
      <c r="H30" s="1"/>
      <c r="I30" s="1"/>
      <c r="J30" s="1"/>
      <c r="K30" s="1"/>
      <c r="L30" s="1"/>
      <c r="M30" s="1"/>
      <c r="N30" s="1"/>
      <c r="O30" s="1"/>
      <c r="P30" s="8"/>
      <c r="Q30" s="9"/>
      <c r="R30" s="298" t="s">
        <v>26</v>
      </c>
      <c r="S30" s="298"/>
      <c r="T30" s="298"/>
      <c r="U30" s="300"/>
      <c r="V30" s="128">
        <v>5</v>
      </c>
      <c r="W30" s="11" t="s">
        <v>27</v>
      </c>
      <c r="X30" s="9"/>
      <c r="Y30" s="9"/>
      <c r="Z30" s="10"/>
      <c r="AA30" s="1"/>
      <c r="AB30" s="1"/>
      <c r="AC30" s="1"/>
      <c r="AD30" s="1"/>
      <c r="AE30" s="1"/>
      <c r="AF30" s="1"/>
      <c r="AG30" s="1"/>
      <c r="AH30" s="1"/>
      <c r="AI30" s="1"/>
      <c r="AJ30" s="1"/>
      <c r="AK30" s="1"/>
      <c r="AL30" s="1"/>
      <c r="AM30" s="1"/>
      <c r="AN30" s="1"/>
      <c r="AO30" s="1"/>
    </row>
    <row r="31" spans="1:41" x14ac:dyDescent="0.3">
      <c r="A31" s="1"/>
      <c r="B31" s="1"/>
      <c r="C31" s="1"/>
      <c r="D31" s="1"/>
      <c r="E31" s="1"/>
      <c r="F31" s="1"/>
      <c r="G31" s="1"/>
      <c r="H31" s="1"/>
      <c r="I31" s="1"/>
      <c r="J31" s="1"/>
      <c r="K31" s="1"/>
      <c r="L31" s="1"/>
      <c r="M31" s="1"/>
      <c r="N31" s="1"/>
      <c r="O31" s="1"/>
      <c r="P31" s="8"/>
      <c r="Q31" s="9"/>
      <c r="R31" s="298" t="s">
        <v>28</v>
      </c>
      <c r="S31" s="298"/>
      <c r="T31" s="298"/>
      <c r="U31" s="300"/>
      <c r="V31" s="128">
        <v>25</v>
      </c>
      <c r="W31" s="11" t="s">
        <v>29</v>
      </c>
      <c r="X31" s="9"/>
      <c r="Y31" s="9"/>
      <c r="Z31" s="10"/>
      <c r="AA31" s="1"/>
      <c r="AB31" s="1"/>
      <c r="AC31" s="1"/>
      <c r="AD31" s="1"/>
      <c r="AE31" s="1"/>
      <c r="AF31" s="1"/>
      <c r="AG31" s="1"/>
      <c r="AH31" s="1"/>
      <c r="AI31" s="1"/>
      <c r="AJ31" s="1"/>
      <c r="AK31" s="1"/>
      <c r="AL31" s="1"/>
      <c r="AM31" s="1"/>
      <c r="AN31" s="1"/>
      <c r="AO31" s="1"/>
    </row>
    <row r="32" spans="1:41" x14ac:dyDescent="0.3">
      <c r="A32" s="1"/>
      <c r="B32" s="1"/>
      <c r="C32" s="1"/>
      <c r="D32" s="1"/>
      <c r="E32" s="1"/>
      <c r="F32" s="1"/>
      <c r="G32" s="1"/>
      <c r="H32" s="1"/>
      <c r="I32" s="1"/>
      <c r="J32" s="1"/>
      <c r="K32" s="1"/>
      <c r="L32" s="1"/>
      <c r="M32" s="1"/>
      <c r="N32" s="1"/>
      <c r="O32" s="1"/>
      <c r="P32" s="8"/>
      <c r="Q32" s="9"/>
      <c r="R32" s="9"/>
      <c r="S32" s="9"/>
      <c r="T32" s="9"/>
      <c r="U32" s="201"/>
      <c r="V32" s="9"/>
      <c r="W32" s="9"/>
      <c r="X32" s="9"/>
      <c r="Y32" s="9"/>
      <c r="Z32" s="10"/>
      <c r="AA32" s="1"/>
      <c r="AB32" s="1"/>
      <c r="AC32" s="1"/>
      <c r="AD32" s="1"/>
      <c r="AE32" s="1"/>
      <c r="AF32" s="1"/>
      <c r="AG32" s="1"/>
      <c r="AH32" s="1"/>
      <c r="AI32" s="1"/>
      <c r="AJ32" s="1"/>
      <c r="AK32" s="1"/>
      <c r="AL32" s="1"/>
      <c r="AM32" s="1"/>
      <c r="AN32" s="1"/>
      <c r="AO32" s="1"/>
    </row>
    <row r="33" spans="1:41" ht="15" thickBot="1" x14ac:dyDescent="0.35">
      <c r="A33" s="1"/>
      <c r="B33" s="1"/>
      <c r="C33" s="1"/>
      <c r="D33" s="1"/>
      <c r="E33" s="1"/>
      <c r="F33" s="1"/>
      <c r="G33" s="1"/>
      <c r="H33" s="1"/>
      <c r="I33" s="1"/>
      <c r="J33" s="1"/>
      <c r="K33" s="1"/>
      <c r="L33" s="1"/>
      <c r="M33" s="1"/>
      <c r="N33" s="1"/>
      <c r="O33" s="1"/>
      <c r="P33" s="12"/>
      <c r="Q33" s="13"/>
      <c r="R33" s="13"/>
      <c r="S33" s="13"/>
      <c r="T33" s="13"/>
      <c r="U33" s="14"/>
      <c r="V33" s="13"/>
      <c r="W33" s="13"/>
      <c r="X33" s="13"/>
      <c r="Y33" s="13"/>
      <c r="Z33" s="15"/>
      <c r="AA33" s="1"/>
      <c r="AB33" s="1"/>
      <c r="AC33" s="1"/>
      <c r="AD33" s="1"/>
      <c r="AE33" s="1"/>
      <c r="AF33" s="1"/>
      <c r="AG33" s="1"/>
      <c r="AH33" s="1"/>
      <c r="AI33" s="1"/>
      <c r="AJ33" s="1"/>
      <c r="AK33" s="1"/>
      <c r="AL33" s="1"/>
      <c r="AM33" s="1"/>
      <c r="AN33" s="1"/>
      <c r="AO33" s="1"/>
    </row>
    <row r="34" spans="1:41" x14ac:dyDescent="0.3">
      <c r="A34" s="1"/>
      <c r="B34" s="1"/>
      <c r="C34" s="1"/>
      <c r="D34" s="1"/>
      <c r="E34" s="1"/>
      <c r="F34" s="1"/>
      <c r="G34" s="1"/>
      <c r="H34" s="1"/>
      <c r="I34" s="1"/>
      <c r="J34" s="1"/>
      <c r="K34" s="1"/>
      <c r="L34" s="1"/>
      <c r="M34" s="1"/>
      <c r="N34" s="1"/>
      <c r="O34" s="1"/>
      <c r="P34" s="1"/>
      <c r="Q34" s="1"/>
      <c r="R34" s="1"/>
      <c r="S34" s="1"/>
      <c r="T34" s="1"/>
      <c r="U34" s="2"/>
      <c r="V34" s="1"/>
      <c r="W34" s="1"/>
      <c r="X34" s="1"/>
      <c r="Y34" s="1"/>
      <c r="Z34" s="1"/>
      <c r="AA34" s="1"/>
      <c r="AB34" s="1"/>
      <c r="AC34" s="1"/>
      <c r="AD34" s="1"/>
      <c r="AE34" s="1"/>
      <c r="AF34" s="1"/>
      <c r="AG34" s="1"/>
      <c r="AH34" s="1"/>
      <c r="AI34" s="1"/>
      <c r="AJ34" s="1"/>
      <c r="AK34" s="1"/>
      <c r="AL34" s="1"/>
      <c r="AM34" s="1"/>
      <c r="AN34" s="1"/>
      <c r="AO34" s="1"/>
    </row>
    <row r="35" spans="1:41" x14ac:dyDescent="0.3">
      <c r="A35" s="1"/>
      <c r="B35" s="1"/>
      <c r="C35" s="1"/>
      <c r="D35" s="1"/>
      <c r="E35" s="1"/>
      <c r="F35" s="1"/>
      <c r="G35" s="1"/>
      <c r="H35" s="1"/>
      <c r="I35" s="1"/>
      <c r="J35" s="1"/>
      <c r="K35" s="1"/>
      <c r="L35" s="1"/>
      <c r="M35" s="1"/>
      <c r="N35" s="1"/>
      <c r="O35" s="1"/>
      <c r="P35" s="1"/>
      <c r="Q35" s="1"/>
      <c r="R35" s="1"/>
      <c r="S35" s="1"/>
      <c r="T35" s="1"/>
      <c r="U35" s="2"/>
      <c r="V35" s="1"/>
      <c r="W35" s="1"/>
      <c r="X35" s="1"/>
      <c r="Y35" s="1"/>
      <c r="Z35" s="1"/>
      <c r="AA35" s="1"/>
      <c r="AB35" s="1"/>
      <c r="AC35" s="1"/>
      <c r="AD35" s="1"/>
      <c r="AE35" s="1"/>
      <c r="AF35" s="1"/>
      <c r="AG35" s="1"/>
      <c r="AH35" s="1"/>
      <c r="AI35" s="1"/>
      <c r="AJ35" s="1"/>
      <c r="AK35" s="1"/>
      <c r="AL35" s="1"/>
      <c r="AM35" s="1"/>
      <c r="AN35" s="1"/>
      <c r="AO35" s="1"/>
    </row>
  </sheetData>
  <mergeCells count="19">
    <mergeCell ref="R31:U31"/>
    <mergeCell ref="R30:U30"/>
    <mergeCell ref="R24:U24"/>
    <mergeCell ref="R23:U23"/>
    <mergeCell ref="R22:U22"/>
    <mergeCell ref="R28:X28"/>
    <mergeCell ref="R26:U26"/>
    <mergeCell ref="R25:U25"/>
    <mergeCell ref="R2:X2"/>
    <mergeCell ref="R6:X6"/>
    <mergeCell ref="R10:U10"/>
    <mergeCell ref="R9:U9"/>
    <mergeCell ref="R21:U21"/>
    <mergeCell ref="R11:U11"/>
    <mergeCell ref="S15:U15"/>
    <mergeCell ref="S16:U16"/>
    <mergeCell ref="R18:X18"/>
    <mergeCell ref="R20:U20"/>
    <mergeCell ref="R13:X1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C18C90-F066-4E68-AEC2-70D5638BED78}">
          <x14:formula1>
            <xm:f>'Backend Data'!$G$16:$G$30</xm:f>
          </x14:formula1>
          <xm:sqref>V24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F16F-C9DF-4310-89BF-0B0B75517A63}">
  <sheetPr>
    <tabColor rgb="FFFFFF99"/>
  </sheetPr>
  <dimension ref="A1:J54"/>
  <sheetViews>
    <sheetView topLeftCell="A25" zoomScaleNormal="100" workbookViewId="0">
      <selection activeCell="G18" sqref="G18"/>
    </sheetView>
  </sheetViews>
  <sheetFormatPr defaultColWidth="0" defaultRowHeight="14.4" x14ac:dyDescent="0.3"/>
  <cols>
    <col min="1" max="3" width="3.44140625" customWidth="1"/>
    <col min="4" max="4" width="36.33203125" customWidth="1"/>
    <col min="5" max="5" width="17.109375" customWidth="1"/>
    <col min="6" max="6" width="4.88671875" bestFit="1" customWidth="1"/>
    <col min="7" max="7" width="41.44140625" bestFit="1" customWidth="1"/>
    <col min="8" max="9" width="3.33203125" customWidth="1"/>
    <col min="10" max="10" width="3.44140625" customWidth="1"/>
    <col min="11" max="16384" width="8.6640625" hidden="1"/>
  </cols>
  <sheetData>
    <row r="1" spans="1:10" ht="15" thickBot="1" x14ac:dyDescent="0.35">
      <c r="A1" s="1"/>
      <c r="B1" s="1"/>
      <c r="C1" s="1"/>
      <c r="D1" s="1"/>
      <c r="E1" s="1"/>
      <c r="F1" s="1"/>
      <c r="G1" s="1"/>
      <c r="H1" s="1"/>
      <c r="I1" s="1"/>
      <c r="J1" s="1"/>
    </row>
    <row r="2" spans="1:10" ht="30.6" thickBot="1" x14ac:dyDescent="0.35">
      <c r="A2" s="1"/>
      <c r="B2" s="1"/>
      <c r="C2" s="293" t="s">
        <v>201</v>
      </c>
      <c r="D2" s="294"/>
      <c r="E2" s="294"/>
      <c r="F2" s="294"/>
      <c r="G2" s="295"/>
      <c r="H2" s="1"/>
      <c r="I2" s="1"/>
      <c r="J2" s="1"/>
    </row>
    <row r="3" spans="1:10" ht="15" thickBot="1" x14ac:dyDescent="0.35">
      <c r="A3" s="1"/>
      <c r="B3" s="1"/>
      <c r="C3" s="1"/>
      <c r="D3" s="1"/>
      <c r="E3" s="1"/>
      <c r="F3" s="1"/>
      <c r="G3" s="1"/>
      <c r="H3" s="1"/>
      <c r="I3" s="1"/>
      <c r="J3" s="1"/>
    </row>
    <row r="4" spans="1:10" ht="15" thickBot="1" x14ac:dyDescent="0.35">
      <c r="A4" s="1"/>
      <c r="B4" s="114"/>
      <c r="C4" s="115"/>
      <c r="D4" s="115" t="s">
        <v>157</v>
      </c>
      <c r="E4" s="115" t="s">
        <v>2</v>
      </c>
      <c r="F4" s="115" t="s">
        <v>158</v>
      </c>
      <c r="G4" s="115" t="s">
        <v>159</v>
      </c>
      <c r="H4" s="115"/>
      <c r="I4" s="116"/>
      <c r="J4" s="1"/>
    </row>
    <row r="5" spans="1:10" ht="15" thickBot="1" x14ac:dyDescent="0.35">
      <c r="A5" s="1"/>
      <c r="B5" s="107"/>
      <c r="C5" s="100"/>
      <c r="D5" s="101" t="s">
        <v>202</v>
      </c>
      <c r="E5" s="102"/>
      <c r="F5" s="103"/>
      <c r="G5" s="161"/>
      <c r="H5" s="100"/>
      <c r="I5" s="108"/>
      <c r="J5" s="1"/>
    </row>
    <row r="6" spans="1:10" x14ac:dyDescent="0.3">
      <c r="A6" s="1"/>
      <c r="B6" s="109"/>
      <c r="C6" s="97"/>
      <c r="D6" s="376" t="s">
        <v>160</v>
      </c>
      <c r="E6" s="79">
        <f>Transmitters!T48</f>
        <v>1</v>
      </c>
      <c r="F6" s="98" t="s">
        <v>43</v>
      </c>
      <c r="G6" s="163"/>
      <c r="H6" s="97"/>
      <c r="I6" s="110"/>
      <c r="J6" s="1"/>
    </row>
    <row r="7" spans="1:10" x14ac:dyDescent="0.3">
      <c r="A7" s="1"/>
      <c r="B7" s="109"/>
      <c r="C7" s="97"/>
      <c r="D7" s="376"/>
      <c r="E7" s="79">
        <f>10*LOG10(E6)</f>
        <v>0</v>
      </c>
      <c r="F7" s="98" t="s">
        <v>44</v>
      </c>
      <c r="G7" s="163"/>
      <c r="H7" s="97"/>
      <c r="I7" s="110"/>
      <c r="J7" s="1"/>
    </row>
    <row r="8" spans="1:10" x14ac:dyDescent="0.3">
      <c r="A8" s="1"/>
      <c r="B8" s="109"/>
      <c r="C8" s="97"/>
      <c r="D8" s="376"/>
      <c r="E8" s="79">
        <f>E7+30</f>
        <v>30</v>
      </c>
      <c r="F8" s="98" t="s">
        <v>46</v>
      </c>
      <c r="G8" s="163"/>
      <c r="H8" s="97"/>
      <c r="I8" s="110"/>
      <c r="J8" s="1"/>
    </row>
    <row r="9" spans="1:10" x14ac:dyDescent="0.3">
      <c r="A9" s="1"/>
      <c r="B9" s="109"/>
      <c r="C9" s="97"/>
      <c r="D9" s="97" t="s">
        <v>161</v>
      </c>
      <c r="E9" s="80">
        <f>Transmitters!V64</f>
        <v>0.39400000000000002</v>
      </c>
      <c r="F9" s="98" t="s">
        <v>38</v>
      </c>
      <c r="G9" s="163"/>
      <c r="H9" s="97"/>
      <c r="I9" s="110"/>
      <c r="J9" s="1"/>
    </row>
    <row r="10" spans="1:10" x14ac:dyDescent="0.3">
      <c r="A10" s="1"/>
      <c r="B10" s="109"/>
      <c r="C10" s="97"/>
      <c r="D10" s="97" t="s">
        <v>203</v>
      </c>
      <c r="E10" s="80">
        <f>Antennas!W21</f>
        <v>1.5</v>
      </c>
      <c r="F10" s="98" t="s">
        <v>75</v>
      </c>
      <c r="G10" s="163"/>
      <c r="H10" s="97"/>
      <c r="I10" s="110"/>
      <c r="J10" s="1"/>
    </row>
    <row r="11" spans="1:10" ht="15" thickBot="1" x14ac:dyDescent="0.35">
      <c r="A11" s="1"/>
      <c r="B11" s="109"/>
      <c r="C11" s="97"/>
      <c r="D11" s="97" t="s">
        <v>163</v>
      </c>
      <c r="E11" s="79">
        <f>E7-E9+E10</f>
        <v>1.1059999999999999</v>
      </c>
      <c r="F11" s="98" t="s">
        <v>44</v>
      </c>
      <c r="G11" s="163"/>
      <c r="H11" s="97"/>
      <c r="I11" s="110"/>
      <c r="J11" s="1"/>
    </row>
    <row r="12" spans="1:10" ht="15" thickBot="1" x14ac:dyDescent="0.35">
      <c r="A12" s="1"/>
      <c r="B12" s="107"/>
      <c r="C12" s="100"/>
      <c r="D12" s="101" t="s">
        <v>204</v>
      </c>
      <c r="E12" s="104"/>
      <c r="F12" s="103"/>
      <c r="G12" s="164"/>
      <c r="H12" s="100"/>
      <c r="I12" s="108"/>
      <c r="J12" s="1"/>
    </row>
    <row r="13" spans="1:10" x14ac:dyDescent="0.3">
      <c r="A13" s="1"/>
      <c r="B13" s="109"/>
      <c r="C13" s="97"/>
      <c r="D13" s="97" t="s">
        <v>205</v>
      </c>
      <c r="E13" s="79">
        <f>Losses!Y79</f>
        <v>0.3</v>
      </c>
      <c r="F13" s="98" t="s">
        <v>38</v>
      </c>
      <c r="G13" s="163"/>
      <c r="H13" s="97"/>
      <c r="I13" s="110"/>
      <c r="J13" s="1"/>
    </row>
    <row r="14" spans="1:10" x14ac:dyDescent="0.3">
      <c r="A14" s="1"/>
      <c r="B14" s="109"/>
      <c r="C14" s="97"/>
      <c r="D14" s="97" t="s">
        <v>206</v>
      </c>
      <c r="E14" s="79">
        <f>IF(Antennas!T12=Antennas!T21,Losses!U100,Losses!U104)</f>
        <v>0.22825214260717014</v>
      </c>
      <c r="F14" s="98" t="s">
        <v>38</v>
      </c>
      <c r="G14" s="163"/>
      <c r="H14" s="97"/>
      <c r="I14" s="110"/>
      <c r="J14" s="1"/>
    </row>
    <row r="15" spans="1:10" x14ac:dyDescent="0.3">
      <c r="A15" s="1"/>
      <c r="B15" s="109"/>
      <c r="C15" s="97"/>
      <c r="D15" s="97" t="s">
        <v>207</v>
      </c>
      <c r="E15" s="79">
        <f>Orbit!T36</f>
        <v>150.50012259786155</v>
      </c>
      <c r="F15" s="98" t="s">
        <v>38</v>
      </c>
      <c r="G15" s="163"/>
      <c r="H15" s="97"/>
      <c r="I15" s="110"/>
      <c r="J15" s="1"/>
    </row>
    <row r="16" spans="1:10" x14ac:dyDescent="0.3">
      <c r="A16" s="1"/>
      <c r="B16" s="109"/>
      <c r="C16" s="97"/>
      <c r="D16" s="97" t="s">
        <v>168</v>
      </c>
      <c r="E16" s="80">
        <f>Losses!W10</f>
        <v>1.8624534763891498</v>
      </c>
      <c r="F16" s="98" t="s">
        <v>38</v>
      </c>
      <c r="G16" s="163"/>
      <c r="H16" s="97"/>
      <c r="I16" s="110"/>
      <c r="J16" s="1"/>
    </row>
    <row r="17" spans="1:10" x14ac:dyDescent="0.3">
      <c r="A17" s="1"/>
      <c r="B17" s="109"/>
      <c r="C17" s="97"/>
      <c r="D17" s="97" t="s">
        <v>169</v>
      </c>
      <c r="E17" s="80">
        <f>Losses!W17</f>
        <v>0.5</v>
      </c>
      <c r="F17" s="98" t="s">
        <v>38</v>
      </c>
      <c r="G17" s="163"/>
      <c r="H17" s="97"/>
      <c r="I17" s="110"/>
      <c r="J17" s="1"/>
    </row>
    <row r="18" spans="1:10" x14ac:dyDescent="0.3">
      <c r="A18" s="1"/>
      <c r="B18" s="109"/>
      <c r="C18" s="97"/>
      <c r="D18" s="97" t="s">
        <v>170</v>
      </c>
      <c r="E18" s="128">
        <v>0</v>
      </c>
      <c r="F18" s="98" t="s">
        <v>38</v>
      </c>
      <c r="G18" s="163" t="s">
        <v>208</v>
      </c>
      <c r="H18" s="97"/>
      <c r="I18" s="110"/>
      <c r="J18" s="1"/>
    </row>
    <row r="19" spans="1:10" ht="15" thickBot="1" x14ac:dyDescent="0.35">
      <c r="A19" s="1"/>
      <c r="B19" s="109"/>
      <c r="C19" s="97"/>
      <c r="D19" s="97" t="s">
        <v>209</v>
      </c>
      <c r="E19" s="79">
        <f>E11-SUM(E13:E18)</f>
        <v>-152.28482821685787</v>
      </c>
      <c r="F19" s="98" t="s">
        <v>44</v>
      </c>
      <c r="G19" s="163"/>
      <c r="H19" s="97"/>
      <c r="I19" s="110"/>
      <c r="J19" s="1"/>
    </row>
    <row r="20" spans="1:10" ht="15" thickBot="1" x14ac:dyDescent="0.35">
      <c r="A20" s="1"/>
      <c r="B20" s="107"/>
      <c r="C20" s="100"/>
      <c r="D20" s="101" t="s">
        <v>210</v>
      </c>
      <c r="E20" s="104"/>
      <c r="F20" s="103"/>
      <c r="G20" s="164"/>
      <c r="H20" s="100"/>
      <c r="I20" s="108"/>
      <c r="J20" s="1"/>
    </row>
    <row r="21" spans="1:10" x14ac:dyDescent="0.3">
      <c r="A21" s="1"/>
      <c r="B21" s="109"/>
      <c r="C21" s="97"/>
      <c r="D21" s="97" t="s">
        <v>211</v>
      </c>
      <c r="E21" s="79">
        <f>Antennas!W12</f>
        <v>13.3</v>
      </c>
      <c r="F21" s="98" t="s">
        <v>75</v>
      </c>
      <c r="G21" s="163"/>
      <c r="H21" s="97"/>
      <c r="I21" s="110"/>
      <c r="J21" s="1"/>
    </row>
    <row r="22" spans="1:10" x14ac:dyDescent="0.3">
      <c r="A22" s="1"/>
      <c r="B22" s="109"/>
      <c r="C22" s="97"/>
      <c r="D22" s="97" t="s">
        <v>212</v>
      </c>
      <c r="E22" s="79">
        <f>Inputs!V31*1000</f>
        <v>25000</v>
      </c>
      <c r="F22" s="98" t="s">
        <v>182</v>
      </c>
      <c r="G22" s="163"/>
      <c r="H22" s="97"/>
      <c r="I22" s="110"/>
      <c r="J22" s="1"/>
    </row>
    <row r="23" spans="1:10" x14ac:dyDescent="0.3">
      <c r="A23" s="1"/>
      <c r="B23" s="109"/>
      <c r="C23" s="97"/>
      <c r="D23" s="97" t="s">
        <v>213</v>
      </c>
      <c r="E23" s="79">
        <f>E8+10*LOG10('Downlink Budget'!E10)+10*LOG10('Downlink Budget'!E21)+(20*LOG10(Orbit!V28/(4*PI()*Orbit!T33*1000)))</f>
        <v>-107.50069359763387</v>
      </c>
      <c r="F23" s="98" t="s">
        <v>46</v>
      </c>
      <c r="G23" s="163" t="s">
        <v>214</v>
      </c>
      <c r="H23" s="97"/>
      <c r="I23" s="110"/>
      <c r="J23" s="1"/>
    </row>
    <row r="24" spans="1:10" x14ac:dyDescent="0.3">
      <c r="A24" s="1"/>
      <c r="B24" s="109"/>
      <c r="C24" s="97"/>
      <c r="D24" s="97" t="s">
        <v>215</v>
      </c>
      <c r="E24" s="79">
        <f>E8+'Downlink Budget'!E10+'Downlink Budget'!E21-E9-E15-SUM(E13:E14,E16:E18)-Receivers!V77</f>
        <v>-111.03127821685786</v>
      </c>
      <c r="F24" s="98" t="s">
        <v>216</v>
      </c>
      <c r="G24" s="163" t="s">
        <v>217</v>
      </c>
      <c r="H24" s="97"/>
      <c r="I24" s="110"/>
      <c r="J24" s="1"/>
    </row>
    <row r="25" spans="1:10" x14ac:dyDescent="0.3">
      <c r="A25" s="1"/>
      <c r="B25" s="109"/>
      <c r="C25" s="97"/>
      <c r="D25" s="97" t="s">
        <v>218</v>
      </c>
      <c r="E25" s="79">
        <f>10*LOG10((484.56*1.38E-23*Inputs!V31*1000)/0.001)</f>
        <v>-127.76833344271481</v>
      </c>
      <c r="F25" s="98" t="s">
        <v>46</v>
      </c>
      <c r="G25" s="163" t="s">
        <v>219</v>
      </c>
      <c r="H25" s="97"/>
      <c r="I25" s="110"/>
      <c r="J25" s="1"/>
    </row>
    <row r="26" spans="1:10" x14ac:dyDescent="0.3">
      <c r="A26" s="1"/>
      <c r="B26" s="109"/>
      <c r="C26" s="97"/>
      <c r="D26" s="97" t="s">
        <v>220</v>
      </c>
      <c r="E26" s="79">
        <f>E24-E25</f>
        <v>16.737055225856949</v>
      </c>
      <c r="F26" s="98" t="s">
        <v>38</v>
      </c>
      <c r="G26" s="163"/>
      <c r="H26" s="97"/>
      <c r="I26" s="110"/>
      <c r="J26" s="1"/>
    </row>
    <row r="27" spans="1:10" x14ac:dyDescent="0.3">
      <c r="A27" s="1"/>
      <c r="B27" s="109"/>
      <c r="C27" s="97"/>
      <c r="D27" s="97" t="s">
        <v>221</v>
      </c>
      <c r="E27" s="191">
        <f>Modulation!X16</f>
        <v>13.15</v>
      </c>
      <c r="F27" s="155" t="s">
        <v>38</v>
      </c>
      <c r="G27" s="163"/>
      <c r="H27" s="97"/>
      <c r="I27" s="110"/>
      <c r="J27" s="1"/>
    </row>
    <row r="28" spans="1:10" ht="15" thickBot="1" x14ac:dyDescent="0.35">
      <c r="A28" s="1"/>
      <c r="B28" s="109"/>
      <c r="C28" s="97"/>
      <c r="D28" s="97" t="s">
        <v>196</v>
      </c>
      <c r="E28" s="192">
        <f>E26-E27</f>
        <v>3.5870552258569486</v>
      </c>
      <c r="F28" s="98" t="s">
        <v>38</v>
      </c>
      <c r="G28" s="193" t="str">
        <f>IF(E28&gt;3,"Good signal reception","Hard to differentiate the signal from the noise")</f>
        <v>Good signal reception</v>
      </c>
      <c r="H28" s="97"/>
      <c r="I28" s="110"/>
      <c r="J28" s="1"/>
    </row>
    <row r="29" spans="1:10" ht="15" thickBot="1" x14ac:dyDescent="0.35">
      <c r="A29" s="1"/>
      <c r="B29" s="107"/>
      <c r="C29" s="100"/>
      <c r="D29" s="101" t="s">
        <v>222</v>
      </c>
      <c r="E29" s="100"/>
      <c r="F29" s="100"/>
      <c r="G29" s="100"/>
      <c r="H29" s="100"/>
      <c r="I29" s="108"/>
      <c r="J29" s="1"/>
    </row>
    <row r="30" spans="1:10" x14ac:dyDescent="0.3">
      <c r="A30" s="1"/>
      <c r="B30" s="119"/>
      <c r="C30" s="120"/>
      <c r="D30" s="120" t="s">
        <v>223</v>
      </c>
      <c r="E30" s="121">
        <f>Losses!Y81</f>
        <v>0.17006802721088435</v>
      </c>
      <c r="F30" s="122" t="s">
        <v>38</v>
      </c>
      <c r="G30" s="120"/>
      <c r="H30" s="120"/>
      <c r="I30" s="123"/>
      <c r="J30" s="1"/>
    </row>
    <row r="31" spans="1:10" x14ac:dyDescent="0.3">
      <c r="A31" s="1"/>
      <c r="B31" s="109"/>
      <c r="C31" s="97"/>
      <c r="D31" s="97" t="s">
        <v>211</v>
      </c>
      <c r="E31" s="124">
        <f>Antennas!W31</f>
        <v>13.3</v>
      </c>
      <c r="F31" s="98" t="s">
        <v>75</v>
      </c>
      <c r="G31" s="97"/>
      <c r="H31" s="97"/>
      <c r="I31" s="110"/>
      <c r="J31" s="1"/>
    </row>
    <row r="32" spans="1:10" x14ac:dyDescent="0.3">
      <c r="A32" s="1"/>
      <c r="B32" s="109"/>
      <c r="C32" s="97"/>
      <c r="D32" s="97" t="s">
        <v>224</v>
      </c>
      <c r="E32" s="117">
        <f>Receivers!T68</f>
        <v>0.84645000000000004</v>
      </c>
      <c r="F32" s="98" t="s">
        <v>38</v>
      </c>
      <c r="G32" s="97"/>
      <c r="H32" s="97"/>
      <c r="I32" s="110"/>
      <c r="J32" s="1"/>
    </row>
    <row r="33" spans="1:10" x14ac:dyDescent="0.3">
      <c r="A33" s="1"/>
      <c r="B33" s="109"/>
      <c r="C33" s="97"/>
      <c r="D33" s="97" t="s">
        <v>225</v>
      </c>
      <c r="E33" s="117">
        <f>Receivers!V87</f>
        <v>490.24870308294936</v>
      </c>
      <c r="F33" s="98" t="s">
        <v>94</v>
      </c>
      <c r="G33" s="97"/>
      <c r="H33" s="97"/>
      <c r="I33" s="110"/>
      <c r="J33" s="1"/>
    </row>
    <row r="34" spans="1:10" x14ac:dyDescent="0.3">
      <c r="A34" s="1"/>
      <c r="B34" s="109"/>
      <c r="C34" s="97"/>
      <c r="D34" s="97" t="s">
        <v>226</v>
      </c>
      <c r="E34" s="117">
        <f>E31-E32-10*LOG10(E33)</f>
        <v>-14.450614534470859</v>
      </c>
      <c r="F34" s="98" t="s">
        <v>179</v>
      </c>
      <c r="G34" s="97"/>
      <c r="H34" s="97"/>
      <c r="I34" s="110"/>
      <c r="J34" s="1"/>
    </row>
    <row r="35" spans="1:10" x14ac:dyDescent="0.3">
      <c r="A35" s="1"/>
      <c r="B35" s="109"/>
      <c r="C35" s="97"/>
      <c r="D35" s="97" t="s">
        <v>227</v>
      </c>
      <c r="E35" s="117">
        <f>E19-E30-Inputs!V10+E34</f>
        <v>61.694489221460387</v>
      </c>
      <c r="F35" s="97" t="s">
        <v>191</v>
      </c>
      <c r="G35" s="97"/>
      <c r="H35" s="97"/>
      <c r="I35" s="110"/>
      <c r="J35" s="1"/>
    </row>
    <row r="36" spans="1:10" x14ac:dyDescent="0.3">
      <c r="A36" s="1"/>
      <c r="B36" s="109"/>
      <c r="C36" s="97"/>
      <c r="D36" s="376" t="s">
        <v>192</v>
      </c>
      <c r="E36" s="124">
        <f>Modulation!X10*1000</f>
        <v>9600</v>
      </c>
      <c r="F36" s="97" t="s">
        <v>117</v>
      </c>
      <c r="G36" s="97"/>
      <c r="H36" s="97"/>
      <c r="I36" s="110"/>
      <c r="J36" s="1"/>
    </row>
    <row r="37" spans="1:10" x14ac:dyDescent="0.3">
      <c r="A37" s="1"/>
      <c r="B37" s="109"/>
      <c r="C37" s="97"/>
      <c r="D37" s="376"/>
      <c r="E37" s="117">
        <f>10*LOG10(E36)</f>
        <v>39.822712330395682</v>
      </c>
      <c r="F37" s="97" t="s">
        <v>191</v>
      </c>
      <c r="G37" s="97"/>
      <c r="H37" s="97"/>
      <c r="I37" s="110"/>
      <c r="J37" s="1"/>
    </row>
    <row r="38" spans="1:10" s="190" customFormat="1" x14ac:dyDescent="0.3">
      <c r="A38" s="1"/>
      <c r="B38" s="109"/>
      <c r="C38" s="97"/>
      <c r="D38" s="97" t="s">
        <v>193</v>
      </c>
      <c r="E38" s="117">
        <f>E35-E37</f>
        <v>21.871776891064705</v>
      </c>
      <c r="F38" s="97" t="s">
        <v>38</v>
      </c>
      <c r="G38" s="97"/>
      <c r="H38" s="97"/>
      <c r="I38" s="110"/>
      <c r="J38" s="1"/>
    </row>
    <row r="39" spans="1:10" s="190" customFormat="1" x14ac:dyDescent="0.3">
      <c r="A39" s="1"/>
      <c r="B39" s="109"/>
      <c r="C39" s="97"/>
      <c r="D39" s="97" t="s">
        <v>194</v>
      </c>
      <c r="E39" s="195">
        <f>Modulation!X8</f>
        <v>1.0000000000000001E-5</v>
      </c>
      <c r="F39" s="97"/>
      <c r="G39" s="97"/>
      <c r="H39" s="97"/>
      <c r="I39" s="110"/>
      <c r="J39" s="1"/>
    </row>
    <row r="40" spans="1:10" s="190" customFormat="1" x14ac:dyDescent="0.3">
      <c r="A40" s="1"/>
      <c r="B40" s="109"/>
      <c r="C40" s="97"/>
      <c r="D40" s="97" t="s">
        <v>195</v>
      </c>
      <c r="E40" s="117">
        <f>Modulation!X16</f>
        <v>13.15</v>
      </c>
      <c r="F40" s="97" t="s">
        <v>38</v>
      </c>
      <c r="G40" s="97"/>
      <c r="H40" s="97"/>
      <c r="I40" s="110"/>
      <c r="J40" s="1"/>
    </row>
    <row r="41" spans="1:10" s="190" customFormat="1" ht="15" thickBot="1" x14ac:dyDescent="0.35">
      <c r="A41" s="1"/>
      <c r="B41" s="22"/>
      <c r="C41" s="112"/>
      <c r="D41" s="112" t="s">
        <v>196</v>
      </c>
      <c r="E41" s="204">
        <f>E38-E40</f>
        <v>8.7217768910647049</v>
      </c>
      <c r="F41" s="112" t="s">
        <v>38</v>
      </c>
      <c r="G41" s="196" t="str">
        <f>IF(E41&gt;3,"Good signal reception","Hard to differentiate the signal from the noise")</f>
        <v>Good signal reception</v>
      </c>
      <c r="H41" s="112"/>
      <c r="I41" s="23"/>
      <c r="J41" s="1"/>
    </row>
    <row r="42" spans="1:10" ht="15" thickBot="1" x14ac:dyDescent="0.35">
      <c r="A42" s="1"/>
      <c r="B42" s="107"/>
      <c r="C42" s="100"/>
      <c r="D42" s="101" t="s">
        <v>197</v>
      </c>
      <c r="E42" s="104"/>
      <c r="F42" s="103"/>
      <c r="G42" s="165"/>
      <c r="H42" s="100"/>
      <c r="I42" s="108"/>
      <c r="J42" s="1"/>
    </row>
    <row r="43" spans="1:10" x14ac:dyDescent="0.3">
      <c r="A43" s="1"/>
      <c r="B43" s="119"/>
      <c r="C43" s="120"/>
      <c r="D43" s="120" t="s">
        <v>198</v>
      </c>
      <c r="E43" s="121">
        <f>IF((E28)&lt;0,"Link not completed!",((E22)*LOG((1+E28),2)))</f>
        <v>54939.206921328157</v>
      </c>
      <c r="F43" s="122" t="s">
        <v>117</v>
      </c>
      <c r="G43" s="166" t="s">
        <v>199</v>
      </c>
      <c r="H43" s="120"/>
      <c r="I43" s="123"/>
      <c r="J43" s="1"/>
    </row>
    <row r="44" spans="1:10" x14ac:dyDescent="0.3">
      <c r="A44" s="197"/>
      <c r="B44" s="194"/>
      <c r="C44" s="194"/>
      <c r="D44" s="97" t="s">
        <v>200</v>
      </c>
      <c r="E44" s="80">
        <f>Modulation!X10*1000</f>
        <v>9600</v>
      </c>
      <c r="F44" s="98" t="s">
        <v>117</v>
      </c>
      <c r="G44" s="194"/>
      <c r="H44" s="194"/>
      <c r="I44" s="194"/>
      <c r="J44" s="30"/>
    </row>
    <row r="45" spans="1:10" s="190" customFormat="1" x14ac:dyDescent="0.3">
      <c r="A45" s="1"/>
      <c r="B45" s="109"/>
      <c r="C45" s="97"/>
      <c r="D45" s="97" t="s">
        <v>228</v>
      </c>
      <c r="E45" s="117">
        <f>IF((E41)&lt;0,"Link not completed!",Inputs!V21)</f>
        <v>300</v>
      </c>
      <c r="F45" s="98" t="s">
        <v>17</v>
      </c>
      <c r="G45" s="163"/>
      <c r="H45" s="97"/>
      <c r="I45" s="110"/>
      <c r="J45" s="1"/>
    </row>
    <row r="46" spans="1:10" x14ac:dyDescent="0.3">
      <c r="A46" s="1"/>
      <c r="B46" s="109"/>
      <c r="C46" s="97"/>
      <c r="D46" s="97" t="s">
        <v>229</v>
      </c>
      <c r="E46" s="117">
        <f>IF((E41)&lt;0,"Link not completed!",Inputs!V22)</f>
        <v>7</v>
      </c>
      <c r="F46" s="98"/>
      <c r="G46" s="163"/>
      <c r="H46" s="97"/>
      <c r="I46" s="110"/>
      <c r="J46" s="1"/>
    </row>
    <row r="47" spans="1:10" x14ac:dyDescent="0.3">
      <c r="A47" s="1"/>
      <c r="B47" s="109"/>
      <c r="C47" s="97"/>
      <c r="D47" s="97" t="s">
        <v>230</v>
      </c>
      <c r="E47" s="117">
        <f>IF((E41)&lt;0,"Link not completed!",(E44*E45)/1000)</f>
        <v>2880</v>
      </c>
      <c r="F47" s="98" t="s">
        <v>21</v>
      </c>
      <c r="G47" s="163"/>
      <c r="H47" s="97"/>
      <c r="I47" s="110"/>
      <c r="J47" s="1"/>
    </row>
    <row r="48" spans="1:10" s="190" customFormat="1" x14ac:dyDescent="0.3">
      <c r="A48" s="1"/>
      <c r="B48" s="109"/>
      <c r="C48" s="97"/>
      <c r="D48" s="97" t="s">
        <v>231</v>
      </c>
      <c r="E48" s="124">
        <f>IF((E41)&lt;0,"Link not completed!",ROUND(E47/Inputs!V23,3))</f>
        <v>1.92</v>
      </c>
      <c r="F48" s="97"/>
      <c r="G48" s="163"/>
      <c r="H48" s="97"/>
      <c r="I48" s="110"/>
      <c r="J48" s="1"/>
    </row>
    <row r="49" spans="1:10" s="190" customFormat="1" x14ac:dyDescent="0.3">
      <c r="A49" s="1"/>
      <c r="B49" s="109"/>
      <c r="C49" s="97"/>
      <c r="D49" s="97" t="s">
        <v>232</v>
      </c>
      <c r="E49" s="124">
        <f>IF(E41&lt;0,"Link not completed!",ROUND(E47*E46/Inputs!V23,3))</f>
        <v>13.44</v>
      </c>
      <c r="F49" s="97"/>
      <c r="G49" s="163"/>
      <c r="H49" s="97"/>
      <c r="I49" s="110"/>
      <c r="J49" s="1"/>
    </row>
    <row r="50" spans="1:10" s="190" customFormat="1" x14ac:dyDescent="0.3">
      <c r="A50" s="1"/>
      <c r="B50" s="109"/>
      <c r="C50" s="97"/>
      <c r="D50" s="97" t="str">
        <f>"Images (/pass) - (" &amp;Inputs!V24&amp;"x compression)"</f>
        <v>Images (/pass) - (1x compression)</v>
      </c>
      <c r="E50" s="117">
        <f>IF(E41&lt;0,"Link not completed!",ROUND((E47/(Inputs!V23/Inputs!V24)),3))</f>
        <v>1.92</v>
      </c>
      <c r="F50" s="97"/>
      <c r="G50" s="163"/>
      <c r="H50" s="97"/>
      <c r="I50" s="110"/>
      <c r="J50" s="1"/>
    </row>
    <row r="51" spans="1:10" s="190" customFormat="1" x14ac:dyDescent="0.3">
      <c r="A51" s="1"/>
      <c r="B51" s="109"/>
      <c r="C51" s="97"/>
      <c r="D51" s="97" t="str">
        <f>"Images (/day) - (" &amp;Inputs!V24&amp;"x compression)"</f>
        <v>Images (/day) - (1x compression)</v>
      </c>
      <c r="E51" s="124">
        <f>IF(E41&lt;0,"Link not completed!",ROUND((E47/(Inputs!V23/Inputs!V24))*E46,3))</f>
        <v>13.44</v>
      </c>
      <c r="F51" s="97"/>
      <c r="G51" s="163"/>
      <c r="H51" s="97"/>
      <c r="I51" s="110"/>
      <c r="J51" s="1"/>
    </row>
    <row r="52" spans="1:10" s="190" customFormat="1" x14ac:dyDescent="0.3">
      <c r="A52" s="1"/>
      <c r="B52" s="109"/>
      <c r="C52" s="97"/>
      <c r="D52" s="97" t="s">
        <v>233</v>
      </c>
      <c r="E52" s="124">
        <f>IF(E41&lt;0,"Link not completed!",ROUND(E47/(Inputs!V26*1000),3))</f>
        <v>1.2999999999999999E-2</v>
      </c>
      <c r="F52" s="97"/>
      <c r="G52" s="163"/>
      <c r="H52" s="97"/>
      <c r="I52" s="110"/>
      <c r="J52" s="1"/>
    </row>
    <row r="53" spans="1:10" s="190" customFormat="1" ht="15" thickBot="1" x14ac:dyDescent="0.35">
      <c r="A53" s="1"/>
      <c r="B53" s="22"/>
      <c r="C53" s="112"/>
      <c r="D53" s="112" t="s">
        <v>234</v>
      </c>
      <c r="E53" s="118">
        <f>IF(E41&lt;0,"Link not completed!",ROUND(E47*E46/(Inputs!V26*1000),3))</f>
        <v>0.09</v>
      </c>
      <c r="F53" s="112"/>
      <c r="G53" s="167"/>
      <c r="H53" s="112"/>
      <c r="I53" s="23"/>
      <c r="J53" s="1"/>
    </row>
    <row r="54" spans="1:10" s="190" customFormat="1" x14ac:dyDescent="0.3">
      <c r="A54" s="1"/>
      <c r="B54" s="1"/>
      <c r="C54" s="1"/>
      <c r="D54" s="1"/>
      <c r="E54" s="1"/>
      <c r="F54" s="1"/>
      <c r="G54" s="162"/>
      <c r="H54" s="1"/>
      <c r="I54" s="1"/>
      <c r="J54" s="1"/>
    </row>
  </sheetData>
  <mergeCells count="3">
    <mergeCell ref="D6:D8"/>
    <mergeCell ref="C2:G2"/>
    <mergeCell ref="D36:D37"/>
  </mergeCells>
  <conditionalFormatting sqref="E18">
    <cfRule type="expression" dxfId="5" priority="9">
      <formula>$AA$9=1</formula>
    </cfRule>
  </conditionalFormatting>
  <conditionalFormatting sqref="E18">
    <cfRule type="expression" dxfId="4" priority="8">
      <formula>$AA$9=3</formula>
    </cfRule>
  </conditionalFormatting>
  <conditionalFormatting sqref="E18">
    <cfRule type="expression" dxfId="3" priority="7">
      <formula>$AA$9=4</formula>
    </cfRule>
  </conditionalFormatting>
  <conditionalFormatting sqref="E27">
    <cfRule type="expression" dxfId="2" priority="3">
      <formula>$AA$9=1</formula>
    </cfRule>
  </conditionalFormatting>
  <conditionalFormatting sqref="E27">
    <cfRule type="expression" dxfId="1" priority="2">
      <formula>$AA$9=3</formula>
    </cfRule>
  </conditionalFormatting>
  <conditionalFormatting sqref="E27">
    <cfRule type="expression" dxfId="0" priority="1">
      <formula>$AA$9=4</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FE5D-8640-4EF2-AEEC-5BFA2093328F}">
  <sheetPr>
    <tabColor theme="1" tint="0.34998626667073579"/>
  </sheetPr>
  <dimension ref="A1:K41"/>
  <sheetViews>
    <sheetView tabSelected="1" zoomScale="70" zoomScaleNormal="70" workbookViewId="0">
      <selection activeCell="I4" sqref="I4"/>
    </sheetView>
  </sheetViews>
  <sheetFormatPr defaultRowHeight="14.4" x14ac:dyDescent="0.3"/>
  <cols>
    <col min="1" max="2" width="21.33203125" style="231" customWidth="1"/>
    <col min="3" max="3" width="17.5546875" style="231" customWidth="1"/>
    <col min="4" max="4" width="22.5546875" style="231" customWidth="1"/>
    <col min="5" max="5" width="18.77734375" style="231" customWidth="1"/>
    <col min="6" max="6" width="21" style="231" customWidth="1"/>
    <col min="7" max="7" width="14" style="231" customWidth="1"/>
    <col min="8" max="8" width="83.109375" style="231" customWidth="1"/>
    <col min="9" max="9" width="34.109375" style="231" customWidth="1"/>
    <col min="10" max="10" width="8.88671875" style="231"/>
    <col min="11" max="11" width="24" style="231" customWidth="1"/>
    <col min="12" max="16384" width="8.88671875" style="231"/>
  </cols>
  <sheetData>
    <row r="1" spans="1:9" x14ac:dyDescent="0.3">
      <c r="A1" s="377" t="s">
        <v>326</v>
      </c>
      <c r="B1" s="378"/>
      <c r="C1" s="378"/>
      <c r="D1" s="378"/>
      <c r="E1" s="378"/>
      <c r="F1" s="379"/>
    </row>
    <row r="2" spans="1:9" x14ac:dyDescent="0.3">
      <c r="A2" s="248" t="s">
        <v>325</v>
      </c>
      <c r="B2" s="248" t="s">
        <v>324</v>
      </c>
      <c r="C2" s="248" t="s">
        <v>323</v>
      </c>
      <c r="D2" s="248" t="s">
        <v>322</v>
      </c>
      <c r="E2" s="248" t="s">
        <v>321</v>
      </c>
      <c r="F2" s="248" t="s">
        <v>320</v>
      </c>
    </row>
    <row r="3" spans="1:9" x14ac:dyDescent="0.3">
      <c r="A3" s="247" t="s">
        <v>319</v>
      </c>
      <c r="B3" s="247">
        <v>144</v>
      </c>
      <c r="C3" s="247">
        <v>15.65</v>
      </c>
      <c r="D3" s="247">
        <v>776</v>
      </c>
      <c r="E3" s="247">
        <v>84.35</v>
      </c>
      <c r="F3" s="247">
        <v>920</v>
      </c>
    </row>
    <row r="4" spans="1:9" x14ac:dyDescent="0.3">
      <c r="A4" s="247" t="s">
        <v>318</v>
      </c>
      <c r="B4" s="247">
        <v>144</v>
      </c>
      <c r="C4" s="247">
        <v>100</v>
      </c>
      <c r="D4" s="247">
        <v>0</v>
      </c>
      <c r="E4" s="247">
        <v>0</v>
      </c>
      <c r="F4" s="247">
        <v>144</v>
      </c>
      <c r="I4" s="231" t="s">
        <v>469</v>
      </c>
    </row>
    <row r="5" spans="1:9" x14ac:dyDescent="0.3">
      <c r="A5" s="229"/>
      <c r="B5" s="229"/>
      <c r="C5" s="229"/>
      <c r="D5" s="229"/>
      <c r="E5" s="229"/>
      <c r="F5" s="229"/>
    </row>
    <row r="6" spans="1:9" x14ac:dyDescent="0.3">
      <c r="A6" s="246" t="s">
        <v>317</v>
      </c>
      <c r="B6" s="246" t="s">
        <v>316</v>
      </c>
      <c r="C6" s="246" t="s">
        <v>3</v>
      </c>
      <c r="D6" s="246" t="s">
        <v>159</v>
      </c>
    </row>
    <row r="7" spans="1:9" ht="28.8" x14ac:dyDescent="0.3">
      <c r="A7" s="242" t="s">
        <v>315</v>
      </c>
      <c r="B7" s="241">
        <f>6378000 / 300000000</f>
        <v>2.1260000000000001E-2</v>
      </c>
      <c r="C7" s="241" t="s">
        <v>17</v>
      </c>
      <c r="D7" s="241" t="s">
        <v>314</v>
      </c>
    </row>
    <row r="8" spans="1:9" x14ac:dyDescent="0.3">
      <c r="A8" s="242" t="s">
        <v>313</v>
      </c>
      <c r="B8" s="241">
        <v>0.05</v>
      </c>
      <c r="C8" s="241" t="s">
        <v>17</v>
      </c>
      <c r="D8" s="241" t="s">
        <v>311</v>
      </c>
    </row>
    <row r="9" spans="1:9" x14ac:dyDescent="0.3">
      <c r="A9" s="242" t="s">
        <v>312</v>
      </c>
      <c r="B9" s="241">
        <v>0.05</v>
      </c>
      <c r="C9" s="241" t="s">
        <v>17</v>
      </c>
      <c r="D9" s="241" t="s">
        <v>311</v>
      </c>
    </row>
    <row r="10" spans="1:9" x14ac:dyDescent="0.3">
      <c r="A10" s="242" t="s">
        <v>310</v>
      </c>
      <c r="B10" s="241">
        <f>'[1]Downlink Budget'!E44</f>
        <v>9600</v>
      </c>
      <c r="C10" s="241" t="s">
        <v>117</v>
      </c>
      <c r="D10" s="241" t="s">
        <v>309</v>
      </c>
    </row>
    <row r="11" spans="1:9" x14ac:dyDescent="0.3">
      <c r="A11" s="242" t="s">
        <v>308</v>
      </c>
      <c r="B11" s="241">
        <f>'[1]Uplink Budget'!E47</f>
        <v>1200</v>
      </c>
      <c r="C11" s="241" t="s">
        <v>117</v>
      </c>
      <c r="D11" s="241" t="s">
        <v>307</v>
      </c>
    </row>
    <row r="12" spans="1:9" ht="28.8" x14ac:dyDescent="0.3">
      <c r="A12" s="242" t="s">
        <v>306</v>
      </c>
      <c r="B12" s="241">
        <f>F4/B11</f>
        <v>0.12</v>
      </c>
      <c r="C12" s="241" t="s">
        <v>17</v>
      </c>
      <c r="D12" s="241" t="s">
        <v>305</v>
      </c>
    </row>
    <row r="13" spans="1:9" ht="43.2" x14ac:dyDescent="0.3">
      <c r="A13" s="242" t="s">
        <v>304</v>
      </c>
      <c r="B13" s="244">
        <f>F3/B11</f>
        <v>0.76666666666666672</v>
      </c>
      <c r="C13" s="241" t="s">
        <v>17</v>
      </c>
      <c r="D13" s="241" t="s">
        <v>303</v>
      </c>
    </row>
    <row r="14" spans="1:9" ht="43.2" x14ac:dyDescent="0.3">
      <c r="A14" s="242" t="s">
        <v>302</v>
      </c>
      <c r="B14" s="244">
        <f>F4/B11</f>
        <v>0.12</v>
      </c>
      <c r="C14" s="241" t="s">
        <v>17</v>
      </c>
      <c r="D14" s="241" t="s">
        <v>301</v>
      </c>
    </row>
    <row r="15" spans="1:9" ht="57.6" x14ac:dyDescent="0.3">
      <c r="A15" s="242" t="s">
        <v>300</v>
      </c>
      <c r="B15" s="244">
        <f>F3/B10</f>
        <v>9.583333333333334E-2</v>
      </c>
      <c r="C15" s="241" t="s">
        <v>17</v>
      </c>
      <c r="D15" s="241" t="s">
        <v>299</v>
      </c>
      <c r="H15" s="231" t="s">
        <v>298</v>
      </c>
    </row>
    <row r="16" spans="1:9" ht="28.8" x14ac:dyDescent="0.3">
      <c r="A16" s="242" t="s">
        <v>297</v>
      </c>
      <c r="B16" s="244">
        <f>[1]Inputs!V21</f>
        <v>559</v>
      </c>
      <c r="C16" s="241" t="s">
        <v>17</v>
      </c>
      <c r="D16" s="241" t="s">
        <v>296</v>
      </c>
    </row>
    <row r="17" spans="1:4" x14ac:dyDescent="0.3">
      <c r="A17" s="242" t="s">
        <v>295</v>
      </c>
      <c r="B17" s="245">
        <v>10</v>
      </c>
      <c r="C17" s="241" t="s">
        <v>294</v>
      </c>
      <c r="D17" s="241" t="s">
        <v>293</v>
      </c>
    </row>
    <row r="18" spans="1:4" x14ac:dyDescent="0.3">
      <c r="A18" s="242" t="s">
        <v>292</v>
      </c>
      <c r="B18" s="245">
        <f>B16-(B16*0.1)</f>
        <v>503.1</v>
      </c>
      <c r="C18" s="241" t="s">
        <v>17</v>
      </c>
      <c r="D18" s="241" t="s">
        <v>291</v>
      </c>
    </row>
    <row r="19" spans="1:4" ht="43.2" x14ac:dyDescent="0.3">
      <c r="A19" s="242" t="s">
        <v>290</v>
      </c>
      <c r="B19" s="244">
        <f>(B18-(B13+B14+2*B7+2*B9))/(B9+B8+2*B7+B12+7*B15)</f>
        <v>537.92148739669869</v>
      </c>
      <c r="C19" s="241" t="s">
        <v>264</v>
      </c>
      <c r="D19" s="241" t="s">
        <v>289</v>
      </c>
    </row>
    <row r="20" spans="1:4" ht="28.8" x14ac:dyDescent="0.3">
      <c r="A20" s="242" t="s">
        <v>288</v>
      </c>
      <c r="B20" s="243">
        <f>B19*7*(F3-B3)/1000000</f>
        <v>2.9219895195388674</v>
      </c>
      <c r="C20" s="241" t="s">
        <v>287</v>
      </c>
      <c r="D20" s="241" t="s">
        <v>286</v>
      </c>
    </row>
    <row r="21" spans="1:4" ht="28.8" x14ac:dyDescent="0.3">
      <c r="A21" s="242" t="s">
        <v>285</v>
      </c>
      <c r="B21" s="243">
        <f>B20/B18*1000</f>
        <v>5.8079696273879291</v>
      </c>
      <c r="C21" s="241" t="s">
        <v>284</v>
      </c>
      <c r="D21" s="241" t="s">
        <v>283</v>
      </c>
    </row>
    <row r="22" spans="1:4" ht="28.8" x14ac:dyDescent="0.3">
      <c r="A22" s="242" t="s">
        <v>282</v>
      </c>
      <c r="B22" s="241"/>
      <c r="C22" s="241" t="s">
        <v>281</v>
      </c>
      <c r="D22" s="241" t="s">
        <v>280</v>
      </c>
    </row>
    <row r="23" spans="1:4" ht="28.8" x14ac:dyDescent="0.3">
      <c r="A23" s="242" t="s">
        <v>279</v>
      </c>
      <c r="B23" s="241"/>
      <c r="C23" s="241"/>
      <c r="D23" s="241"/>
    </row>
    <row r="24" spans="1:4" x14ac:dyDescent="0.3">
      <c r="A24" s="240"/>
      <c r="B24" s="240"/>
      <c r="C24" s="240"/>
      <c r="D24" s="240"/>
    </row>
    <row r="25" spans="1:4" x14ac:dyDescent="0.3">
      <c r="A25" s="240"/>
      <c r="B25" s="240"/>
      <c r="C25" s="240"/>
      <c r="D25" s="240"/>
    </row>
    <row r="26" spans="1:4" x14ac:dyDescent="0.3">
      <c r="A26" s="240"/>
      <c r="B26" s="240"/>
      <c r="C26" s="240"/>
      <c r="D26" s="240"/>
    </row>
    <row r="27" spans="1:4" x14ac:dyDescent="0.3">
      <c r="A27" s="240"/>
      <c r="B27" s="240"/>
      <c r="C27" s="240"/>
      <c r="D27" s="240"/>
    </row>
    <row r="36" spans="7:11" ht="15" thickBot="1" x14ac:dyDescent="0.35"/>
    <row r="37" spans="7:11" ht="28.8" x14ac:dyDescent="0.3">
      <c r="G37" s="239" t="s">
        <v>278</v>
      </c>
      <c r="H37" s="238" t="s">
        <v>277</v>
      </c>
      <c r="I37" s="237" t="s">
        <v>276</v>
      </c>
    </row>
    <row r="38" spans="7:11" ht="57.6" x14ac:dyDescent="0.3">
      <c r="G38" s="89"/>
      <c r="H38" s="231" t="s">
        <v>275</v>
      </c>
      <c r="I38" s="236" t="s">
        <v>274</v>
      </c>
    </row>
    <row r="39" spans="7:11" ht="58.2" thickBot="1" x14ac:dyDescent="0.35">
      <c r="G39" s="91"/>
      <c r="H39" s="92"/>
      <c r="I39" s="235" t="s">
        <v>273</v>
      </c>
      <c r="K39" s="234" t="s">
        <v>272</v>
      </c>
    </row>
    <row r="40" spans="7:11" ht="15" thickBot="1" x14ac:dyDescent="0.35"/>
    <row r="41" spans="7:11" ht="15" thickBot="1" x14ac:dyDescent="0.35">
      <c r="G41" s="233" t="s">
        <v>271</v>
      </c>
      <c r="H41" s="232" t="s">
        <v>270</v>
      </c>
    </row>
  </sheetData>
  <mergeCells count="1">
    <mergeCell ref="A1:F1"/>
  </mergeCell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Z85"/>
  <sheetViews>
    <sheetView topLeftCell="M1" zoomScale="70" zoomScaleNormal="70" workbookViewId="0">
      <selection activeCell="T74" sqref="T74"/>
    </sheetView>
  </sheetViews>
  <sheetFormatPr defaultColWidth="8.6640625" defaultRowHeight="14.7" customHeight="1" x14ac:dyDescent="0.3"/>
  <cols>
    <col min="1" max="1" width="4.109375" customWidth="1"/>
    <col min="2" max="2" width="29.44140625" customWidth="1"/>
    <col min="3" max="3" width="32.6640625" customWidth="1"/>
    <col min="4" max="4" width="31.109375" customWidth="1"/>
    <col min="5" max="5" width="8.6640625" bestFit="1" customWidth="1"/>
    <col min="6" max="6" width="16" customWidth="1"/>
    <col min="7" max="7" width="40.109375" customWidth="1"/>
    <col min="8" max="8" width="21.6640625" customWidth="1"/>
    <col min="9" max="9" width="20.109375" bestFit="1" customWidth="1"/>
    <col min="10" max="10" width="18.109375" bestFit="1" customWidth="1"/>
    <col min="11" max="11" width="17.5546875" bestFit="1" customWidth="1"/>
    <col min="12" max="12" width="14.5546875" customWidth="1"/>
    <col min="13" max="13" width="6.77734375" customWidth="1"/>
    <col min="14" max="14" width="18.21875" customWidth="1"/>
    <col min="15" max="15" width="18.21875" style="231" customWidth="1"/>
    <col min="16" max="16" width="14.5546875" customWidth="1"/>
    <col min="17" max="17" width="46.88671875" customWidth="1"/>
    <col min="18" max="18" width="46.88671875" style="211" customWidth="1"/>
    <col min="19" max="19" width="21" customWidth="1"/>
    <col min="20" max="20" width="18.44140625" customWidth="1"/>
    <col min="21" max="21" width="18.44140625" style="231" customWidth="1"/>
    <col min="22" max="22" width="25.109375" style="231" customWidth="1"/>
    <col min="23" max="23" width="16.6640625" customWidth="1"/>
    <col min="24" max="26" width="14.5546875" customWidth="1"/>
  </cols>
  <sheetData>
    <row r="1" spans="2:26" ht="14.4" x14ac:dyDescent="0.3">
      <c r="B1" s="386"/>
      <c r="C1" s="386"/>
      <c r="D1" s="386"/>
      <c r="E1" s="211"/>
      <c r="F1" s="211"/>
      <c r="G1" s="387" t="s">
        <v>235</v>
      </c>
      <c r="H1" s="387"/>
      <c r="I1" s="387"/>
      <c r="J1" s="387"/>
      <c r="K1" s="211"/>
      <c r="L1" s="211"/>
      <c r="M1" s="211"/>
      <c r="N1" s="211"/>
      <c r="P1" s="211"/>
      <c r="Q1" s="211"/>
      <c r="S1" s="211"/>
      <c r="T1" s="211"/>
      <c r="W1" s="211"/>
      <c r="X1" s="211"/>
      <c r="Y1" s="211"/>
      <c r="Z1" s="211"/>
    </row>
    <row r="2" spans="2:26" ht="15" thickBot="1" x14ac:dyDescent="0.35">
      <c r="B2" s="386"/>
      <c r="C2" s="386"/>
      <c r="D2" s="386"/>
      <c r="E2" s="211"/>
      <c r="F2" s="211"/>
      <c r="G2" s="388" t="s">
        <v>236</v>
      </c>
      <c r="H2" s="388"/>
      <c r="I2" s="388"/>
      <c r="J2" s="388"/>
      <c r="K2" s="211"/>
      <c r="L2" s="160" t="s">
        <v>72</v>
      </c>
      <c r="M2" s="211"/>
      <c r="N2" s="211"/>
      <c r="P2" s="211"/>
      <c r="Q2" s="211"/>
      <c r="S2" s="211"/>
      <c r="T2" s="211"/>
      <c r="W2" s="211"/>
      <c r="X2" s="211"/>
      <c r="Y2" s="211"/>
    </row>
    <row r="3" spans="2:26" ht="14.4" x14ac:dyDescent="0.3">
      <c r="B3" s="211"/>
      <c r="C3" s="211"/>
      <c r="D3" s="211"/>
      <c r="E3" s="211"/>
      <c r="F3" s="211"/>
      <c r="G3" s="81" t="s">
        <v>238</v>
      </c>
      <c r="H3" s="82" t="s">
        <v>3</v>
      </c>
      <c r="I3" s="82" t="s">
        <v>237</v>
      </c>
      <c r="J3" s="83" t="s">
        <v>3</v>
      </c>
      <c r="K3" s="211"/>
      <c r="L3" s="84" t="s">
        <v>239</v>
      </c>
      <c r="M3" s="211"/>
      <c r="N3" s="211"/>
      <c r="P3" s="211"/>
      <c r="Q3" s="211"/>
      <c r="R3"/>
    </row>
    <row r="4" spans="2:26" ht="14.4" x14ac:dyDescent="0.3">
      <c r="B4" s="211"/>
      <c r="C4" s="211"/>
      <c r="D4" s="211"/>
      <c r="E4" s="211"/>
      <c r="F4" s="211"/>
      <c r="G4" s="87">
        <v>145.80000000000001</v>
      </c>
      <c r="H4" s="85" t="s">
        <v>12</v>
      </c>
      <c r="I4" s="85">
        <v>0.7</v>
      </c>
      <c r="J4" s="86" t="s">
        <v>38</v>
      </c>
      <c r="K4" s="211"/>
      <c r="L4" s="88" t="s">
        <v>73</v>
      </c>
      <c r="M4" s="211"/>
      <c r="N4" s="211"/>
      <c r="P4" s="211"/>
      <c r="Q4" s="211"/>
      <c r="R4"/>
    </row>
    <row r="5" spans="2:26" ht="15" thickBot="1" x14ac:dyDescent="0.35">
      <c r="B5" s="211"/>
      <c r="C5" s="211"/>
      <c r="D5" s="211"/>
      <c r="E5" s="211"/>
      <c r="F5" s="211"/>
      <c r="G5" s="89">
        <v>437.30500000000001</v>
      </c>
      <c r="H5" s="85" t="s">
        <v>12</v>
      </c>
      <c r="I5" s="85">
        <v>0.4</v>
      </c>
      <c r="J5" s="86" t="s">
        <v>38</v>
      </c>
      <c r="K5" s="211"/>
      <c r="L5" s="90" t="s">
        <v>101</v>
      </c>
      <c r="M5" s="211"/>
      <c r="N5" s="211"/>
      <c r="P5" s="211"/>
      <c r="Q5" s="211"/>
      <c r="R5"/>
    </row>
    <row r="6" spans="2:26" ht="15" thickBot="1" x14ac:dyDescent="0.35">
      <c r="B6" s="211"/>
      <c r="C6" s="211"/>
      <c r="D6" s="211"/>
      <c r="E6" s="211"/>
      <c r="F6" s="211"/>
      <c r="G6" s="91">
        <v>2410</v>
      </c>
      <c r="H6" s="92" t="s">
        <v>12</v>
      </c>
      <c r="I6" s="92">
        <v>0.1</v>
      </c>
      <c r="J6" s="93" t="s">
        <v>38</v>
      </c>
      <c r="K6" s="211"/>
      <c r="L6" s="211"/>
      <c r="M6" s="211"/>
      <c r="N6" s="211"/>
      <c r="P6" s="211"/>
      <c r="Q6" s="211"/>
      <c r="R6"/>
    </row>
    <row r="7" spans="2:26" ht="14.4" x14ac:dyDescent="0.3">
      <c r="B7" s="211"/>
      <c r="C7" s="211"/>
      <c r="D7" s="211"/>
      <c r="E7" s="211"/>
      <c r="F7" s="211"/>
      <c r="G7" s="211"/>
      <c r="H7" s="211"/>
      <c r="I7" s="211"/>
      <c r="J7" s="211"/>
      <c r="K7" s="211"/>
      <c r="L7" s="211"/>
      <c r="M7" s="211"/>
      <c r="N7" s="211"/>
      <c r="P7" s="211"/>
      <c r="Q7" s="211"/>
      <c r="R7"/>
    </row>
    <row r="8" spans="2:26" ht="14.4" x14ac:dyDescent="0.3">
      <c r="B8" s="211"/>
      <c r="C8" s="211"/>
      <c r="D8" s="211"/>
      <c r="E8" s="211"/>
      <c r="F8" s="211"/>
      <c r="G8" s="387" t="s">
        <v>240</v>
      </c>
      <c r="H8" s="387"/>
      <c r="I8" s="387"/>
      <c r="J8" s="387"/>
      <c r="K8" s="211"/>
      <c r="L8" s="211"/>
      <c r="M8" s="211"/>
      <c r="N8" s="211"/>
      <c r="P8" s="211"/>
      <c r="Q8" s="211"/>
      <c r="R8"/>
    </row>
    <row r="9" spans="2:26" ht="15" thickBot="1" x14ac:dyDescent="0.35">
      <c r="B9" s="211"/>
      <c r="C9" s="211"/>
      <c r="D9" s="211"/>
      <c r="E9" s="211"/>
      <c r="F9" s="211"/>
      <c r="G9" s="388" t="s">
        <v>236</v>
      </c>
      <c r="H9" s="388"/>
      <c r="I9" s="388"/>
      <c r="J9" s="388"/>
      <c r="K9" s="211"/>
      <c r="L9" s="211"/>
      <c r="M9" s="211"/>
      <c r="N9" s="211"/>
      <c r="P9" s="211"/>
      <c r="Q9" s="211"/>
      <c r="R9"/>
    </row>
    <row r="10" spans="2:26" ht="14.4" x14ac:dyDescent="0.3">
      <c r="B10" s="211"/>
      <c r="C10" s="211"/>
      <c r="D10" s="211"/>
      <c r="E10" s="211"/>
      <c r="F10" s="211"/>
      <c r="G10" s="81" t="s">
        <v>238</v>
      </c>
      <c r="H10" s="82" t="s">
        <v>3</v>
      </c>
      <c r="I10" s="82" t="s">
        <v>237</v>
      </c>
      <c r="J10" s="83" t="s">
        <v>3</v>
      </c>
      <c r="K10" s="211"/>
      <c r="L10" s="211"/>
      <c r="M10" s="211"/>
      <c r="N10" s="211"/>
      <c r="P10" s="211"/>
      <c r="Q10" s="211"/>
      <c r="R10"/>
    </row>
    <row r="11" spans="2:26" ht="15" thickBot="1" x14ac:dyDescent="0.35">
      <c r="B11" s="211"/>
      <c r="C11" s="211"/>
      <c r="D11" s="211"/>
      <c r="E11" s="211"/>
      <c r="F11" s="211"/>
      <c r="G11" s="87">
        <v>145.80000000000001</v>
      </c>
      <c r="H11" s="85" t="s">
        <v>12</v>
      </c>
      <c r="I11" s="85">
        <v>0.7</v>
      </c>
      <c r="J11" s="86" t="s">
        <v>38</v>
      </c>
      <c r="K11" s="211"/>
      <c r="L11" s="211"/>
      <c r="M11" s="211"/>
      <c r="N11" s="211"/>
      <c r="P11" s="211"/>
      <c r="Q11" s="211"/>
      <c r="R11"/>
    </row>
    <row r="12" spans="2:26" ht="14.4" x14ac:dyDescent="0.3">
      <c r="B12" s="389" t="s">
        <v>241</v>
      </c>
      <c r="C12" s="390"/>
      <c r="D12" s="391"/>
      <c r="E12" s="211"/>
      <c r="F12" s="211"/>
      <c r="G12" s="89">
        <v>437.30500000000001</v>
      </c>
      <c r="H12" s="85" t="s">
        <v>12</v>
      </c>
      <c r="I12" s="85">
        <v>0.4</v>
      </c>
      <c r="J12" s="86" t="s">
        <v>38</v>
      </c>
      <c r="K12" s="211"/>
      <c r="L12" s="211"/>
      <c r="M12" s="211"/>
      <c r="N12" s="211"/>
      <c r="P12" s="211"/>
      <c r="Q12" s="211"/>
      <c r="R12"/>
    </row>
    <row r="13" spans="2:26" ht="15" thickBot="1" x14ac:dyDescent="0.35">
      <c r="B13" s="380" t="s">
        <v>239</v>
      </c>
      <c r="C13" s="381"/>
      <c r="D13" s="382"/>
      <c r="E13" s="211"/>
      <c r="F13" s="211"/>
      <c r="G13" s="91">
        <v>2410</v>
      </c>
      <c r="H13" s="92" t="s">
        <v>12</v>
      </c>
      <c r="I13" s="92">
        <v>0.1</v>
      </c>
      <c r="J13" s="93" t="s">
        <v>38</v>
      </c>
      <c r="K13" s="211"/>
      <c r="L13" s="211"/>
      <c r="M13" s="211"/>
      <c r="N13" s="211"/>
      <c r="R13"/>
    </row>
    <row r="14" spans="2:26" ht="15" thickBot="1" x14ac:dyDescent="0.35">
      <c r="B14" s="380" t="s">
        <v>73</v>
      </c>
      <c r="C14" s="381"/>
      <c r="D14" s="382"/>
      <c r="E14" s="211"/>
      <c r="F14" s="211"/>
      <c r="G14" s="211"/>
      <c r="H14" s="211"/>
      <c r="I14" s="211"/>
      <c r="J14" s="211"/>
      <c r="K14" s="211"/>
      <c r="L14" s="211"/>
      <c r="M14" s="211"/>
      <c r="N14" s="211"/>
      <c r="R14"/>
    </row>
    <row r="15" spans="2:26" ht="15" thickBot="1" x14ac:dyDescent="0.35">
      <c r="B15" s="383" t="s">
        <v>101</v>
      </c>
      <c r="C15" s="384"/>
      <c r="D15" s="385"/>
      <c r="E15" s="211"/>
      <c r="F15" s="211"/>
      <c r="G15" s="225" t="s">
        <v>242</v>
      </c>
      <c r="H15" s="211"/>
      <c r="I15" s="211"/>
      <c r="J15" s="211"/>
      <c r="K15" s="211"/>
      <c r="L15" s="211"/>
      <c r="M15" s="211"/>
      <c r="N15" s="211"/>
      <c r="R15"/>
    </row>
    <row r="16" spans="2:26" ht="14.4" x14ac:dyDescent="0.3">
      <c r="B16" s="211"/>
      <c r="C16" s="211"/>
      <c r="D16" s="211"/>
      <c r="E16" s="211"/>
      <c r="F16" s="211"/>
      <c r="G16" s="95">
        <v>1</v>
      </c>
      <c r="H16" s="211"/>
      <c r="I16" s="211"/>
      <c r="J16" s="211"/>
      <c r="K16" s="211"/>
      <c r="L16" s="211"/>
      <c r="M16" s="211"/>
      <c r="N16" s="211"/>
      <c r="R16"/>
    </row>
    <row r="17" spans="2:26" ht="14.4" x14ac:dyDescent="0.3">
      <c r="B17" s="211"/>
      <c r="C17" s="211"/>
      <c r="D17" s="211"/>
      <c r="E17" s="211"/>
      <c r="F17" s="211"/>
      <c r="G17" s="95">
        <v>2</v>
      </c>
      <c r="H17" s="211"/>
      <c r="I17" s="211"/>
      <c r="J17" s="211"/>
      <c r="K17" s="211"/>
      <c r="L17" s="211"/>
      <c r="M17" s="211"/>
      <c r="N17" s="211"/>
      <c r="R17"/>
    </row>
    <row r="18" spans="2:26" ht="14.4" x14ac:dyDescent="0.3">
      <c r="B18" s="211"/>
      <c r="C18" s="211"/>
      <c r="D18" s="211"/>
      <c r="E18" s="211"/>
      <c r="F18" s="211"/>
      <c r="G18" s="95">
        <v>3</v>
      </c>
      <c r="H18" s="211"/>
      <c r="I18" s="211"/>
      <c r="J18" s="211"/>
      <c r="K18" s="211"/>
      <c r="L18" s="211"/>
      <c r="M18" s="211"/>
      <c r="N18" s="211"/>
      <c r="R18"/>
    </row>
    <row r="19" spans="2:26" ht="15" thickBot="1" x14ac:dyDescent="0.35">
      <c r="B19" s="211"/>
      <c r="C19" s="211"/>
      <c r="D19" s="211"/>
      <c r="E19" s="211"/>
      <c r="F19" s="211"/>
      <c r="G19" s="95">
        <v>4</v>
      </c>
      <c r="H19" s="211"/>
      <c r="I19" s="211"/>
      <c r="J19" s="213" t="s">
        <v>243</v>
      </c>
      <c r="K19" s="211"/>
      <c r="L19" s="211"/>
      <c r="M19" s="211"/>
      <c r="N19" s="211"/>
      <c r="P19" s="211"/>
      <c r="Q19" s="211"/>
      <c r="R19"/>
    </row>
    <row r="20" spans="2:26" ht="14.4" x14ac:dyDescent="0.3">
      <c r="B20" s="211"/>
      <c r="C20" s="211"/>
      <c r="D20" s="211"/>
      <c r="E20" s="211"/>
      <c r="F20" s="211"/>
      <c r="G20" s="95">
        <v>5</v>
      </c>
      <c r="H20" s="211"/>
      <c r="I20" s="211"/>
      <c r="J20" s="171">
        <v>1.0000000000000001E-5</v>
      </c>
      <c r="K20" s="211"/>
      <c r="L20" s="211"/>
      <c r="M20" s="211"/>
      <c r="N20" s="211"/>
      <c r="P20" s="211"/>
      <c r="Q20" s="211"/>
      <c r="R20"/>
    </row>
    <row r="21" spans="2:26" ht="15" thickBot="1" x14ac:dyDescent="0.35">
      <c r="B21" s="211"/>
      <c r="C21" s="211"/>
      <c r="D21" s="211"/>
      <c r="E21" s="211"/>
      <c r="F21" s="211"/>
      <c r="G21" s="95">
        <v>6</v>
      </c>
      <c r="H21" s="211"/>
      <c r="I21" s="211"/>
      <c r="J21" s="172">
        <v>9.9999999999999995E-7</v>
      </c>
      <c r="K21" s="211"/>
      <c r="L21" s="211"/>
      <c r="M21" s="211"/>
      <c r="N21" s="211"/>
      <c r="P21" s="211"/>
      <c r="Q21" s="211"/>
      <c r="R21"/>
    </row>
    <row r="22" spans="2:26" ht="14.4" x14ac:dyDescent="0.3">
      <c r="B22" s="211"/>
      <c r="C22" s="211"/>
      <c r="D22" s="211"/>
      <c r="E22" s="211"/>
      <c r="F22" s="211"/>
      <c r="G22" s="95">
        <v>7</v>
      </c>
      <c r="H22" s="211"/>
      <c r="I22" s="211"/>
      <c r="J22" s="212"/>
      <c r="K22" s="211"/>
      <c r="L22" s="211"/>
      <c r="M22" s="211"/>
      <c r="N22" s="211" t="s">
        <v>436</v>
      </c>
      <c r="P22" s="211"/>
      <c r="Q22" s="211"/>
      <c r="R22"/>
    </row>
    <row r="23" spans="2:26" ht="15" thickBot="1" x14ac:dyDescent="0.35">
      <c r="B23" s="211"/>
      <c r="C23" s="211"/>
      <c r="D23" s="211"/>
      <c r="E23" s="211"/>
      <c r="F23" s="211"/>
      <c r="G23" s="95">
        <v>8</v>
      </c>
      <c r="H23" s="211"/>
      <c r="I23" s="211"/>
      <c r="J23" s="213" t="s">
        <v>244</v>
      </c>
      <c r="K23" s="282"/>
      <c r="L23" s="211"/>
      <c r="M23" s="211"/>
      <c r="N23" s="271" t="s">
        <v>437</v>
      </c>
      <c r="O23" s="271"/>
      <c r="P23" s="211"/>
      <c r="Q23" s="211"/>
      <c r="R23"/>
    </row>
    <row r="24" spans="2:26" ht="14.4" x14ac:dyDescent="0.3">
      <c r="B24" s="211"/>
      <c r="C24" s="211"/>
      <c r="D24" s="211"/>
      <c r="E24" s="211"/>
      <c r="F24" s="211"/>
      <c r="G24" s="95">
        <v>9</v>
      </c>
      <c r="H24" s="211"/>
      <c r="I24" s="211"/>
      <c r="J24" s="94">
        <v>1.2</v>
      </c>
      <c r="K24" s="211"/>
      <c r="L24" s="211"/>
      <c r="M24" s="211"/>
      <c r="N24" s="211"/>
      <c r="P24" s="211"/>
      <c r="Q24" s="211"/>
      <c r="R24"/>
    </row>
    <row r="25" spans="2:26" ht="15" thickBot="1" x14ac:dyDescent="0.35">
      <c r="B25" s="211"/>
      <c r="C25" s="211"/>
      <c r="D25" s="211"/>
      <c r="E25" s="211"/>
      <c r="F25" s="211"/>
      <c r="G25" s="95">
        <v>10</v>
      </c>
      <c r="H25" s="211"/>
      <c r="I25" s="211"/>
      <c r="J25" s="96">
        <v>9.6</v>
      </c>
      <c r="K25" s="211"/>
      <c r="L25" s="211"/>
      <c r="M25" s="211"/>
      <c r="N25" s="211" t="s">
        <v>438</v>
      </c>
      <c r="P25" s="211"/>
      <c r="Q25" s="211"/>
      <c r="R25"/>
    </row>
    <row r="26" spans="2:26" ht="14.4" x14ac:dyDescent="0.3">
      <c r="B26" s="211"/>
      <c r="C26" s="211"/>
      <c r="D26" s="211"/>
      <c r="E26" s="211"/>
      <c r="F26" s="211"/>
      <c r="G26" s="95">
        <v>11</v>
      </c>
      <c r="H26" s="211"/>
      <c r="I26" s="211"/>
      <c r="J26" s="212"/>
      <c r="K26" s="211"/>
      <c r="L26" s="211"/>
      <c r="M26" s="211"/>
      <c r="N26" s="211"/>
      <c r="P26" s="211"/>
      <c r="Q26" s="211"/>
      <c r="R26"/>
    </row>
    <row r="27" spans="2:26" ht="14.7" customHeight="1" thickBot="1" x14ac:dyDescent="0.35">
      <c r="B27" s="211"/>
      <c r="C27" s="211"/>
      <c r="D27" s="211"/>
      <c r="E27" s="211"/>
      <c r="F27" s="211"/>
      <c r="G27" s="95">
        <v>12</v>
      </c>
      <c r="H27" s="211"/>
      <c r="I27" s="211"/>
      <c r="J27" s="283" t="s">
        <v>245</v>
      </c>
      <c r="K27" s="211"/>
      <c r="L27" s="211"/>
      <c r="M27" s="211"/>
      <c r="N27" s="211" t="s">
        <v>440</v>
      </c>
      <c r="P27" s="211"/>
      <c r="Q27" s="211"/>
      <c r="S27" s="211"/>
      <c r="T27" s="211"/>
      <c r="W27" s="211"/>
      <c r="X27" s="211"/>
      <c r="Y27" s="211"/>
    </row>
    <row r="28" spans="2:26" ht="14.7" customHeight="1" thickBot="1" x14ac:dyDescent="0.35">
      <c r="B28" s="211"/>
      <c r="C28" s="211"/>
      <c r="D28" s="211"/>
      <c r="E28" s="211"/>
      <c r="F28" s="211"/>
      <c r="G28" s="95">
        <v>13</v>
      </c>
      <c r="H28" s="211"/>
      <c r="I28" s="211"/>
      <c r="J28" s="94">
        <v>1.2</v>
      </c>
      <c r="K28" s="211"/>
      <c r="L28" s="211"/>
      <c r="M28" s="211"/>
      <c r="N28" s="211"/>
      <c r="P28" s="211"/>
      <c r="Q28" s="211"/>
      <c r="S28" s="211"/>
      <c r="T28" s="211"/>
      <c r="W28" s="211"/>
      <c r="X28" s="211"/>
      <c r="Y28" s="211"/>
      <c r="Z28" s="211"/>
    </row>
    <row r="29" spans="2:26" ht="14.7" customHeight="1" thickBot="1" x14ac:dyDescent="0.35">
      <c r="B29" s="389" t="s">
        <v>246</v>
      </c>
      <c r="C29" s="390"/>
      <c r="D29" s="391"/>
      <c r="E29" s="159"/>
      <c r="F29" s="211"/>
      <c r="G29" s="95">
        <v>14</v>
      </c>
      <c r="H29" s="211"/>
      <c r="I29" s="211"/>
      <c r="J29" s="284">
        <v>9.6</v>
      </c>
      <c r="K29" s="211"/>
      <c r="L29" s="211"/>
      <c r="M29" s="211"/>
      <c r="N29" s="211" t="s">
        <v>445</v>
      </c>
      <c r="P29" s="211"/>
      <c r="Q29" s="211"/>
      <c r="S29" s="211"/>
      <c r="T29" s="211"/>
      <c r="W29" s="211"/>
      <c r="X29" s="211"/>
      <c r="Y29" s="211"/>
      <c r="Z29" s="211"/>
    </row>
    <row r="30" spans="2:26" ht="14.7" customHeight="1" thickBot="1" x14ac:dyDescent="0.35">
      <c r="B30" s="380" t="s">
        <v>247</v>
      </c>
      <c r="C30" s="381"/>
      <c r="D30" s="86">
        <f>2*(Losses!Y35*(79.76/Antennas!W13))</f>
        <v>18.990476190476191</v>
      </c>
      <c r="E30" s="211"/>
      <c r="F30" s="211"/>
      <c r="G30" s="96">
        <v>15</v>
      </c>
      <c r="H30" s="211"/>
      <c r="I30" s="211"/>
      <c r="J30" s="230"/>
      <c r="K30" s="211"/>
      <c r="L30" s="211"/>
      <c r="M30" s="211"/>
      <c r="N30" s="211"/>
      <c r="P30" s="211"/>
      <c r="Q30" s="211"/>
      <c r="S30" s="211"/>
      <c r="T30" s="211"/>
      <c r="W30" s="211"/>
      <c r="X30" s="211"/>
      <c r="Y30" s="211"/>
      <c r="Z30" s="211"/>
    </row>
    <row r="31" spans="2:26" ht="14.7" customHeight="1" x14ac:dyDescent="0.3">
      <c r="B31" s="380" t="s">
        <v>143</v>
      </c>
      <c r="C31" s="381"/>
      <c r="D31" s="86">
        <f>10^(Losses!U54/10)</f>
        <v>1.2589254117941673</v>
      </c>
      <c r="E31" s="211"/>
      <c r="F31" s="211"/>
      <c r="G31" s="211"/>
      <c r="H31" s="211"/>
      <c r="I31" s="211"/>
      <c r="J31" s="280"/>
      <c r="K31" s="211"/>
      <c r="L31" s="211"/>
      <c r="M31" s="211"/>
      <c r="N31" s="211"/>
      <c r="P31" s="211"/>
      <c r="Q31" s="211"/>
      <c r="S31" s="211"/>
      <c r="T31" s="211"/>
      <c r="W31" s="211"/>
      <c r="X31" s="211"/>
      <c r="Y31" s="211"/>
      <c r="Z31" s="211"/>
    </row>
    <row r="32" spans="2:26" ht="14.7" customHeight="1" x14ac:dyDescent="0.3">
      <c r="B32" s="380" t="s">
        <v>144</v>
      </c>
      <c r="C32" s="381"/>
      <c r="D32" s="86">
        <f>10^(Losses!U55/10)</f>
        <v>1.2589254117941673</v>
      </c>
      <c r="E32" s="211"/>
      <c r="F32" s="211"/>
      <c r="G32" s="211"/>
      <c r="H32" s="211"/>
      <c r="I32" s="211"/>
      <c r="J32" s="280"/>
      <c r="K32" s="211"/>
      <c r="L32" s="211"/>
      <c r="M32" s="211"/>
      <c r="N32" s="211"/>
      <c r="P32" s="211"/>
      <c r="Q32" s="211"/>
      <c r="S32" s="211"/>
      <c r="T32" s="211"/>
      <c r="W32" s="211"/>
      <c r="X32" s="211"/>
      <c r="Y32" s="211"/>
      <c r="Z32" s="211"/>
    </row>
    <row r="33" spans="2:24" ht="14.7" customHeight="1" x14ac:dyDescent="0.3">
      <c r="B33" s="380" t="s">
        <v>145</v>
      </c>
      <c r="C33" s="381"/>
      <c r="D33" s="86">
        <f>RADIANS(Losses!U56)</f>
        <v>1.5707963267948966</v>
      </c>
      <c r="E33" s="211"/>
      <c r="F33" s="211"/>
      <c r="G33" s="211"/>
      <c r="H33" s="211"/>
      <c r="I33" s="211"/>
      <c r="J33" s="280"/>
      <c r="K33" s="211"/>
      <c r="L33" s="211"/>
    </row>
    <row r="34" spans="2:24" ht="14.7" customHeight="1" thickBot="1" x14ac:dyDescent="0.35">
      <c r="B34" s="383" t="s">
        <v>248</v>
      </c>
      <c r="C34" s="384"/>
      <c r="D34" s="93">
        <f>0.5*(1+((1-D31^2)*(1-D32^2)*COS(2*D33)+4*D31*D32)/((1+D31^2)*(1+D32^2)))</f>
        <v>0.94880023970254146</v>
      </c>
      <c r="E34" s="211"/>
      <c r="F34" s="211"/>
      <c r="G34" s="211"/>
      <c r="H34" s="211"/>
      <c r="I34" s="211"/>
      <c r="J34" s="281"/>
      <c r="K34" s="211"/>
      <c r="L34" s="211"/>
    </row>
    <row r="35" spans="2:24" ht="14.7" customHeight="1" thickBot="1" x14ac:dyDescent="0.35">
      <c r="B35" s="211"/>
      <c r="C35" s="211"/>
      <c r="D35" s="211"/>
      <c r="E35" s="211"/>
      <c r="F35" s="211"/>
      <c r="G35" s="211"/>
      <c r="H35" s="211"/>
      <c r="I35" s="211"/>
      <c r="J35" s="211"/>
      <c r="K35" s="211"/>
      <c r="L35" s="211"/>
    </row>
    <row r="36" spans="2:24" ht="14.7" customHeight="1" x14ac:dyDescent="0.3">
      <c r="B36" s="389" t="s">
        <v>249</v>
      </c>
      <c r="C36" s="390"/>
      <c r="D36" s="391"/>
      <c r="E36" s="211"/>
      <c r="F36" s="211"/>
      <c r="G36" s="211"/>
      <c r="H36" s="211"/>
      <c r="I36" s="211"/>
      <c r="J36" s="211"/>
      <c r="K36" s="211"/>
      <c r="L36" s="211"/>
    </row>
    <row r="37" spans="2:24" ht="14.7" customHeight="1" x14ac:dyDescent="0.3">
      <c r="B37" s="380" t="s">
        <v>247</v>
      </c>
      <c r="C37" s="381"/>
      <c r="D37" s="86">
        <f>2*(Losses!Y80*(79.76/Antennas!W13))</f>
        <v>18.990476190476191</v>
      </c>
      <c r="E37" s="211"/>
      <c r="F37" s="211"/>
      <c r="G37" s="211"/>
      <c r="H37" s="211"/>
      <c r="I37" s="211"/>
      <c r="J37" s="211"/>
      <c r="K37" s="211"/>
      <c r="L37" s="211"/>
    </row>
    <row r="38" spans="2:24" ht="14.7" customHeight="1" x14ac:dyDescent="0.3">
      <c r="B38" s="380" t="s">
        <v>154</v>
      </c>
      <c r="C38" s="381"/>
      <c r="D38" s="86">
        <f>10^(Losses!U97/10)</f>
        <v>1.2589254117941673</v>
      </c>
      <c r="E38" s="211"/>
      <c r="F38" s="211"/>
      <c r="G38" s="276"/>
      <c r="H38" s="276"/>
      <c r="I38" s="276"/>
      <c r="J38" s="276"/>
      <c r="K38" s="276"/>
      <c r="L38" s="276"/>
    </row>
    <row r="39" spans="2:24" ht="14.7" customHeight="1" thickBot="1" x14ac:dyDescent="0.35">
      <c r="B39" s="380" t="s">
        <v>155</v>
      </c>
      <c r="C39" s="381"/>
      <c r="D39" s="86">
        <f>10^(Losses!U98/10)</f>
        <v>1.2589254117941673</v>
      </c>
      <c r="E39" s="211"/>
      <c r="F39" s="211"/>
      <c r="G39" s="276"/>
      <c r="H39" s="276"/>
      <c r="I39" s="276"/>
      <c r="J39" s="276"/>
      <c r="K39" s="276"/>
      <c r="L39" s="276"/>
    </row>
    <row r="40" spans="2:24" ht="14.7" customHeight="1" x14ac:dyDescent="0.3">
      <c r="B40" s="380" t="s">
        <v>145</v>
      </c>
      <c r="C40" s="381"/>
      <c r="D40" s="86">
        <f>RADIANS(Losses!U99)</f>
        <v>1.5707963267948966</v>
      </c>
      <c r="E40" s="211"/>
      <c r="F40" s="211"/>
      <c r="G40" s="276"/>
      <c r="H40" s="276"/>
      <c r="I40" s="276"/>
      <c r="J40" s="276"/>
      <c r="K40" s="276"/>
      <c r="L40" s="276"/>
      <c r="N40" s="392" t="s">
        <v>446</v>
      </c>
      <c r="O40" s="393"/>
      <c r="P40" s="393"/>
      <c r="Q40" s="393"/>
      <c r="R40" s="393"/>
      <c r="S40" s="393"/>
      <c r="T40" s="393"/>
      <c r="U40" s="393"/>
      <c r="V40" s="393"/>
      <c r="W40" s="393"/>
      <c r="X40" s="394"/>
    </row>
    <row r="41" spans="2:24" ht="14.7" customHeight="1" thickBot="1" x14ac:dyDescent="0.4">
      <c r="B41" s="383" t="s">
        <v>248</v>
      </c>
      <c r="C41" s="384"/>
      <c r="D41" s="93">
        <f>0.5*(1+((1-D38^2)*(1-D39^2)*COS(2*D40)+4*D38*D39)/((1+D38^2)*(1+D39^2)))</f>
        <v>0.94880023970254146</v>
      </c>
      <c r="E41" s="211"/>
      <c r="F41" s="211"/>
      <c r="G41" s="277"/>
      <c r="H41" s="278"/>
      <c r="I41" s="278"/>
      <c r="J41" s="278"/>
      <c r="K41" s="278"/>
      <c r="L41" s="278"/>
      <c r="N41" s="286" t="s">
        <v>450</v>
      </c>
      <c r="O41" s="221" t="s">
        <v>251</v>
      </c>
      <c r="P41" s="221" t="s">
        <v>260</v>
      </c>
      <c r="Q41" s="221" t="s">
        <v>262</v>
      </c>
      <c r="R41" s="221" t="s">
        <v>263</v>
      </c>
      <c r="S41" s="221" t="s">
        <v>265</v>
      </c>
      <c r="T41" s="221" t="s">
        <v>266</v>
      </c>
      <c r="U41" s="221" t="s">
        <v>443</v>
      </c>
      <c r="V41" s="221" t="s">
        <v>444</v>
      </c>
      <c r="W41" s="221" t="s">
        <v>250</v>
      </c>
      <c r="X41" s="287" t="s">
        <v>447</v>
      </c>
    </row>
    <row r="42" spans="2:24" ht="14.7" customHeight="1" x14ac:dyDescent="0.3">
      <c r="B42" s="211"/>
      <c r="C42" s="211"/>
      <c r="D42" s="211"/>
      <c r="E42" s="211"/>
      <c r="F42" s="211"/>
      <c r="G42" s="279"/>
      <c r="H42" s="280"/>
      <c r="I42" s="280"/>
      <c r="J42" s="280"/>
      <c r="K42" s="280"/>
      <c r="L42" s="280"/>
      <c r="N42" s="285">
        <f>W42+S42</f>
        <v>9.6000099999999993</v>
      </c>
      <c r="O42" s="217" t="s">
        <v>261</v>
      </c>
      <c r="P42" s="217">
        <v>2</v>
      </c>
      <c r="Q42" s="217" t="s">
        <v>264</v>
      </c>
      <c r="R42" s="217" t="s">
        <v>439</v>
      </c>
      <c r="S42" s="217">
        <v>9.6</v>
      </c>
      <c r="T42" s="217">
        <v>19</v>
      </c>
      <c r="U42" s="217">
        <v>5</v>
      </c>
      <c r="V42" s="217">
        <v>24</v>
      </c>
      <c r="W42" s="222">
        <v>1.0000000000000001E-5</v>
      </c>
      <c r="X42" s="274">
        <v>13.15</v>
      </c>
    </row>
    <row r="43" spans="2:24" ht="14.7" customHeight="1" x14ac:dyDescent="0.3">
      <c r="B43" s="211"/>
      <c r="C43" s="211"/>
      <c r="D43" s="211"/>
      <c r="E43" s="211"/>
      <c r="F43" s="211"/>
      <c r="G43" s="279"/>
      <c r="H43" s="280"/>
      <c r="I43" s="280"/>
      <c r="J43" s="280"/>
      <c r="K43" s="280"/>
      <c r="L43" s="280"/>
      <c r="N43" s="285">
        <f>W43+S43</f>
        <v>9.6000009999999989</v>
      </c>
      <c r="O43" s="217" t="s">
        <v>261</v>
      </c>
      <c r="P43" s="217">
        <v>2</v>
      </c>
      <c r="Q43" s="217" t="s">
        <v>264</v>
      </c>
      <c r="R43" s="217" t="s">
        <v>435</v>
      </c>
      <c r="S43" s="217">
        <v>9.6</v>
      </c>
      <c r="T43" s="217">
        <v>19</v>
      </c>
      <c r="U43" s="217">
        <v>5</v>
      </c>
      <c r="V43" s="217">
        <v>24</v>
      </c>
      <c r="W43" s="222">
        <v>9.9999999999999995E-7</v>
      </c>
      <c r="X43" s="274">
        <v>13.9</v>
      </c>
    </row>
    <row r="44" spans="2:24" ht="14.7" customHeight="1" x14ac:dyDescent="0.3">
      <c r="B44" s="211"/>
      <c r="C44" s="211"/>
      <c r="D44" s="211"/>
      <c r="E44" s="211"/>
      <c r="F44" s="211"/>
      <c r="G44" s="279"/>
      <c r="H44" s="280"/>
      <c r="I44" s="280"/>
      <c r="J44" s="280"/>
      <c r="K44" s="280"/>
      <c r="L44" s="280"/>
      <c r="N44" s="285">
        <f>W44+S44</f>
        <v>1.20001</v>
      </c>
      <c r="O44" s="217" t="s">
        <v>261</v>
      </c>
      <c r="P44" s="217">
        <v>2</v>
      </c>
      <c r="Q44" s="217" t="s">
        <v>264</v>
      </c>
      <c r="R44" s="217" t="s">
        <v>435</v>
      </c>
      <c r="S44" s="217">
        <v>1.2</v>
      </c>
      <c r="T44" s="217">
        <v>19</v>
      </c>
      <c r="U44" s="217">
        <v>5</v>
      </c>
      <c r="V44" s="217">
        <v>24</v>
      </c>
      <c r="W44" s="222">
        <v>1.0000000000000001E-5</v>
      </c>
      <c r="X44" s="274">
        <f>X42-9.03</f>
        <v>4.120000000000001</v>
      </c>
    </row>
    <row r="45" spans="2:24" ht="14.7" customHeight="1" thickBot="1" x14ac:dyDescent="0.35">
      <c r="B45" s="211"/>
      <c r="C45" s="211"/>
      <c r="D45" s="211"/>
      <c r="E45" s="211"/>
      <c r="F45" s="211"/>
      <c r="G45" s="279"/>
      <c r="H45" s="280"/>
      <c r="I45" s="280"/>
      <c r="J45" s="280"/>
      <c r="K45" s="280"/>
      <c r="L45" s="280"/>
      <c r="N45" s="288">
        <f>W45+S45</f>
        <v>1.2000009999999999</v>
      </c>
      <c r="O45" s="272" t="s">
        <v>261</v>
      </c>
      <c r="P45" s="272">
        <v>2</v>
      </c>
      <c r="Q45" s="272" t="s">
        <v>264</v>
      </c>
      <c r="R45" s="272" t="s">
        <v>435</v>
      </c>
      <c r="S45" s="272">
        <v>1.2</v>
      </c>
      <c r="T45" s="272">
        <v>19</v>
      </c>
      <c r="U45" s="272">
        <v>5</v>
      </c>
      <c r="V45" s="272">
        <v>24</v>
      </c>
      <c r="W45" s="273">
        <v>9.9999999999999995E-7</v>
      </c>
      <c r="X45" s="275">
        <f>X43-9.03</f>
        <v>4.870000000000001</v>
      </c>
    </row>
    <row r="46" spans="2:24" ht="14.7" customHeight="1" thickBot="1" x14ac:dyDescent="0.35">
      <c r="B46" s="387"/>
      <c r="C46" s="387"/>
      <c r="D46" s="211"/>
      <c r="E46" s="211"/>
      <c r="F46" s="211"/>
      <c r="G46" s="279"/>
      <c r="H46" s="280"/>
      <c r="I46" s="280"/>
      <c r="J46" s="280"/>
      <c r="K46" s="280"/>
      <c r="L46" s="280"/>
    </row>
    <row r="47" spans="2:24" ht="14.7" customHeight="1" x14ac:dyDescent="0.3">
      <c r="B47" s="211"/>
      <c r="C47" s="214"/>
      <c r="D47" s="211"/>
      <c r="E47" s="211"/>
      <c r="F47" s="211"/>
      <c r="G47" s="279"/>
      <c r="H47" s="280"/>
      <c r="I47" s="280"/>
      <c r="J47" s="280"/>
      <c r="K47" s="280"/>
      <c r="L47" s="280"/>
      <c r="N47" s="392" t="s">
        <v>449</v>
      </c>
      <c r="O47" s="393"/>
      <c r="P47" s="393"/>
      <c r="Q47" s="393"/>
      <c r="R47" s="393"/>
      <c r="S47" s="393"/>
      <c r="T47" s="393"/>
      <c r="U47" s="393"/>
      <c r="V47" s="393"/>
      <c r="W47" s="393"/>
      <c r="X47" s="394"/>
    </row>
    <row r="48" spans="2:24" ht="14.7" customHeight="1" x14ac:dyDescent="0.35">
      <c r="B48" s="212"/>
      <c r="C48" s="212"/>
      <c r="D48" s="211"/>
      <c r="E48" s="211"/>
      <c r="F48" s="211"/>
      <c r="G48" s="279"/>
      <c r="H48" s="280"/>
      <c r="I48" s="280"/>
      <c r="J48" s="280"/>
      <c r="K48" s="280"/>
      <c r="L48" s="280"/>
      <c r="N48" s="286" t="s">
        <v>450</v>
      </c>
      <c r="O48" s="221" t="s">
        <v>251</v>
      </c>
      <c r="P48" s="221" t="s">
        <v>260</v>
      </c>
      <c r="Q48" s="221" t="s">
        <v>262</v>
      </c>
      <c r="R48" s="221" t="s">
        <v>263</v>
      </c>
      <c r="S48" s="221" t="s">
        <v>265</v>
      </c>
      <c r="T48" s="221" t="s">
        <v>266</v>
      </c>
      <c r="U48" s="221" t="s">
        <v>443</v>
      </c>
      <c r="V48" s="221" t="s">
        <v>444</v>
      </c>
      <c r="W48" s="221" t="s">
        <v>250</v>
      </c>
      <c r="X48" s="287" t="s">
        <v>447</v>
      </c>
    </row>
    <row r="49" spans="2:24" ht="14.7" customHeight="1" x14ac:dyDescent="0.3">
      <c r="B49" s="212"/>
      <c r="C49" s="212"/>
      <c r="D49" s="211"/>
      <c r="E49" s="211"/>
      <c r="F49" s="211"/>
      <c r="G49" s="279"/>
      <c r="H49" s="280"/>
      <c r="I49" s="280"/>
      <c r="J49" s="280"/>
      <c r="K49" s="280"/>
      <c r="L49" s="280"/>
      <c r="N49" s="285">
        <f>W49+S49</f>
        <v>9.6000099999999993</v>
      </c>
      <c r="O49" s="217" t="s">
        <v>261</v>
      </c>
      <c r="P49" s="217">
        <v>2</v>
      </c>
      <c r="Q49" s="217" t="s">
        <v>264</v>
      </c>
      <c r="R49" s="217" t="s">
        <v>439</v>
      </c>
      <c r="S49" s="217">
        <v>9.6</v>
      </c>
      <c r="T49" s="217">
        <v>19</v>
      </c>
      <c r="U49" s="217">
        <v>5</v>
      </c>
      <c r="V49" s="217">
        <v>24</v>
      </c>
      <c r="W49" s="222">
        <v>1.0000000000000001E-5</v>
      </c>
      <c r="X49" s="274">
        <v>13.15</v>
      </c>
    </row>
    <row r="50" spans="2:24" ht="14.7" customHeight="1" x14ac:dyDescent="0.3">
      <c r="B50" s="212"/>
      <c r="C50" s="212"/>
      <c r="D50" s="211"/>
      <c r="E50" s="211"/>
      <c r="F50" s="211"/>
      <c r="G50" s="279"/>
      <c r="H50" s="280"/>
      <c r="I50" s="280"/>
      <c r="J50" s="280"/>
      <c r="K50" s="280"/>
      <c r="L50" s="280"/>
      <c r="N50" s="285">
        <f>W50+S50</f>
        <v>9.6000009999999989</v>
      </c>
      <c r="O50" s="217" t="s">
        <v>261</v>
      </c>
      <c r="P50" s="217">
        <v>2</v>
      </c>
      <c r="Q50" s="217" t="s">
        <v>264</v>
      </c>
      <c r="R50" s="217" t="s">
        <v>435</v>
      </c>
      <c r="S50" s="217">
        <v>9.6</v>
      </c>
      <c r="T50" s="217">
        <v>19</v>
      </c>
      <c r="U50" s="217">
        <v>5</v>
      </c>
      <c r="V50" s="217">
        <v>24</v>
      </c>
      <c r="W50" s="222">
        <v>9.9999999999999995E-7</v>
      </c>
      <c r="X50" s="274">
        <v>13.9</v>
      </c>
    </row>
    <row r="51" spans="2:24" ht="14.7" customHeight="1" x14ac:dyDescent="0.3">
      <c r="B51" s="212"/>
      <c r="C51" s="212"/>
      <c r="D51" s="211"/>
      <c r="E51" s="211"/>
      <c r="F51" s="211"/>
      <c r="G51" s="279"/>
      <c r="H51" s="280"/>
      <c r="I51" s="280"/>
      <c r="J51" s="280"/>
      <c r="K51" s="280"/>
      <c r="L51" s="280"/>
      <c r="N51" s="285">
        <f>W51+S51</f>
        <v>1.20001</v>
      </c>
      <c r="O51" s="217" t="s">
        <v>261</v>
      </c>
      <c r="P51" s="217">
        <v>2</v>
      </c>
      <c r="Q51" s="217" t="s">
        <v>264</v>
      </c>
      <c r="R51" s="217" t="s">
        <v>435</v>
      </c>
      <c r="S51" s="217">
        <v>1.2</v>
      </c>
      <c r="T51" s="217">
        <v>19</v>
      </c>
      <c r="U51" s="217">
        <v>5</v>
      </c>
      <c r="V51" s="217">
        <v>24</v>
      </c>
      <c r="W51" s="222">
        <v>1.0000000000000001E-5</v>
      </c>
      <c r="X51" s="274">
        <f>X49-9.03</f>
        <v>4.120000000000001</v>
      </c>
    </row>
    <row r="52" spans="2:24" ht="14.7" customHeight="1" thickBot="1" x14ac:dyDescent="0.35">
      <c r="B52" s="212"/>
      <c r="C52" s="212"/>
      <c r="D52" s="211"/>
      <c r="E52" s="211"/>
      <c r="F52" s="211"/>
      <c r="G52" s="279"/>
      <c r="H52" s="280"/>
      <c r="I52" s="280"/>
      <c r="J52" s="280"/>
      <c r="K52" s="280"/>
      <c r="L52" s="280"/>
      <c r="N52" s="288">
        <f>W52+S52</f>
        <v>1.2000009999999999</v>
      </c>
      <c r="O52" s="272" t="s">
        <v>261</v>
      </c>
      <c r="P52" s="272">
        <v>2</v>
      </c>
      <c r="Q52" s="272" t="s">
        <v>264</v>
      </c>
      <c r="R52" s="272" t="s">
        <v>435</v>
      </c>
      <c r="S52" s="272">
        <v>1.2</v>
      </c>
      <c r="T52" s="272">
        <v>19</v>
      </c>
      <c r="U52" s="272">
        <v>5</v>
      </c>
      <c r="V52" s="272">
        <v>24</v>
      </c>
      <c r="W52" s="273">
        <v>9.9999999999999995E-7</v>
      </c>
      <c r="X52" s="275">
        <f>X50-9.03</f>
        <v>4.870000000000001</v>
      </c>
    </row>
    <row r="53" spans="2:24" ht="14.7" customHeight="1" x14ac:dyDescent="0.3">
      <c r="B53" s="212"/>
      <c r="C53" s="212"/>
      <c r="D53" s="211"/>
      <c r="E53" s="211"/>
      <c r="F53" s="211"/>
      <c r="G53" s="279"/>
      <c r="H53" s="280"/>
      <c r="I53" s="280"/>
      <c r="J53" s="280"/>
      <c r="K53" s="280"/>
      <c r="L53" s="280"/>
    </row>
    <row r="54" spans="2:24" ht="14.7" customHeight="1" x14ac:dyDescent="0.3">
      <c r="B54" s="212"/>
      <c r="C54" s="212"/>
      <c r="D54" s="211"/>
      <c r="E54" s="211"/>
      <c r="F54" s="211"/>
      <c r="G54" s="279"/>
      <c r="H54" s="280"/>
      <c r="I54" s="280"/>
      <c r="J54" s="280"/>
      <c r="K54" s="280"/>
      <c r="L54" s="280"/>
    </row>
    <row r="55" spans="2:24" ht="14.7" customHeight="1" x14ac:dyDescent="0.3">
      <c r="B55" s="212"/>
      <c r="C55" s="212"/>
      <c r="D55" s="211"/>
      <c r="E55" s="211"/>
      <c r="F55" s="211"/>
      <c r="G55" s="279"/>
      <c r="H55" s="280"/>
      <c r="I55" s="280"/>
      <c r="J55" s="280"/>
      <c r="K55" s="280"/>
      <c r="L55" s="280"/>
    </row>
    <row r="56" spans="2:24" ht="14.7" customHeight="1" x14ac:dyDescent="0.3">
      <c r="B56" s="212"/>
      <c r="C56" s="212"/>
      <c r="D56" s="211"/>
      <c r="E56" s="211"/>
      <c r="F56" s="211"/>
      <c r="G56" s="279"/>
      <c r="H56" s="280"/>
      <c r="I56" s="280"/>
      <c r="J56" s="280"/>
      <c r="K56" s="280"/>
      <c r="L56" s="280"/>
    </row>
    <row r="57" spans="2:24" ht="14.7" customHeight="1" x14ac:dyDescent="0.3">
      <c r="B57" s="212"/>
      <c r="C57" s="212"/>
      <c r="D57" s="211"/>
      <c r="E57" s="211"/>
      <c r="F57" s="211"/>
      <c r="G57" s="279"/>
      <c r="H57" s="280"/>
      <c r="I57" s="280"/>
      <c r="J57" s="280"/>
      <c r="K57" s="280"/>
      <c r="L57" s="280"/>
    </row>
    <row r="58" spans="2:24" ht="14.7" customHeight="1" x14ac:dyDescent="0.3">
      <c r="B58" s="212"/>
      <c r="C58" s="212"/>
      <c r="D58" s="211"/>
      <c r="E58" s="211"/>
      <c r="F58" s="211"/>
      <c r="G58" s="211"/>
      <c r="H58" s="211"/>
      <c r="I58" s="211"/>
      <c r="J58" s="211"/>
      <c r="K58" s="211"/>
      <c r="L58" s="211"/>
    </row>
    <row r="59" spans="2:24" ht="14.7" customHeight="1" x14ac:dyDescent="0.3">
      <c r="B59" s="212"/>
      <c r="C59" s="212"/>
      <c r="D59" s="211"/>
      <c r="E59" s="211"/>
      <c r="F59" s="211"/>
      <c r="G59" s="211"/>
      <c r="H59" s="211"/>
      <c r="I59" s="211"/>
      <c r="J59" s="211"/>
      <c r="K59" s="211"/>
      <c r="L59" s="211"/>
    </row>
    <row r="60" spans="2:24" ht="14.7" customHeight="1" x14ac:dyDescent="0.3">
      <c r="B60" s="212"/>
      <c r="C60" s="212"/>
      <c r="D60" s="211"/>
      <c r="E60" s="211"/>
      <c r="F60" s="211"/>
      <c r="G60" s="211"/>
      <c r="H60" s="211"/>
      <c r="I60" s="211"/>
      <c r="J60" s="211"/>
      <c r="K60" s="211"/>
      <c r="L60" s="211"/>
    </row>
    <row r="61" spans="2:24" ht="14.7" customHeight="1" x14ac:dyDescent="0.3">
      <c r="B61" s="212"/>
      <c r="C61" s="212"/>
      <c r="D61" s="211"/>
      <c r="E61" s="211"/>
      <c r="F61" s="211"/>
      <c r="G61" s="211"/>
      <c r="H61" s="211"/>
      <c r="I61" s="211"/>
      <c r="J61" s="211"/>
      <c r="K61" s="211"/>
      <c r="L61" s="211"/>
    </row>
    <row r="62" spans="2:24" ht="14.7" customHeight="1" x14ac:dyDescent="0.3">
      <c r="B62" s="212"/>
      <c r="C62" s="212"/>
      <c r="D62" s="211"/>
      <c r="E62" s="211"/>
      <c r="F62" s="211"/>
      <c r="G62" s="211"/>
      <c r="H62" s="211"/>
      <c r="I62" s="211"/>
      <c r="J62" s="211"/>
      <c r="K62" s="211"/>
      <c r="L62" s="211"/>
    </row>
    <row r="63" spans="2:24" ht="14.7" customHeight="1" x14ac:dyDescent="0.3">
      <c r="B63" s="212"/>
      <c r="C63" s="212"/>
      <c r="D63" s="211"/>
      <c r="E63" s="211"/>
      <c r="F63" s="211"/>
      <c r="G63" s="211"/>
      <c r="H63" s="211"/>
      <c r="I63" s="211"/>
      <c r="J63" s="211"/>
      <c r="K63" s="211"/>
      <c r="L63" s="211"/>
    </row>
    <row r="64" spans="2:24" ht="14.7" customHeight="1" x14ac:dyDescent="0.3">
      <c r="B64" s="212"/>
      <c r="C64" s="212"/>
      <c r="D64" s="211"/>
      <c r="E64" s="211"/>
      <c r="F64" s="211"/>
      <c r="G64" s="211"/>
      <c r="H64" s="211"/>
      <c r="I64" s="211"/>
      <c r="J64" s="211"/>
      <c r="K64" s="211"/>
      <c r="L64" s="211"/>
    </row>
    <row r="65" spans="2:8" ht="14.7" customHeight="1" x14ac:dyDescent="0.3">
      <c r="B65" s="212"/>
      <c r="C65" s="212"/>
      <c r="D65" s="211"/>
      <c r="E65" s="211"/>
      <c r="F65" s="211"/>
      <c r="G65" s="211"/>
    </row>
    <row r="66" spans="2:8" ht="14.7" customHeight="1" x14ac:dyDescent="0.3">
      <c r="B66" s="212"/>
      <c r="C66" s="212"/>
      <c r="D66" s="211"/>
      <c r="E66" s="211"/>
      <c r="F66" s="211"/>
      <c r="G66" s="211"/>
    </row>
    <row r="67" spans="2:8" ht="14.7" customHeight="1" x14ac:dyDescent="0.3">
      <c r="B67" s="212"/>
      <c r="C67" s="212"/>
      <c r="D67" s="211"/>
      <c r="E67" s="211"/>
      <c r="F67" s="211"/>
      <c r="G67" s="211"/>
    </row>
    <row r="68" spans="2:8" ht="14.7" customHeight="1" x14ac:dyDescent="0.3">
      <c r="B68" s="212"/>
      <c r="C68" s="212"/>
      <c r="D68" s="211"/>
      <c r="E68" s="211"/>
      <c r="F68" s="211"/>
      <c r="G68" s="211"/>
    </row>
    <row r="71" spans="2:8" ht="14.7" customHeight="1" x14ac:dyDescent="0.3">
      <c r="B71" s="395" t="s">
        <v>252</v>
      </c>
      <c r="C71" s="396"/>
      <c r="D71" s="396"/>
      <c r="E71" s="396"/>
      <c r="F71" s="396"/>
      <c r="G71" s="396"/>
      <c r="H71" s="397"/>
    </row>
    <row r="72" spans="2:8" ht="14.7" customHeight="1" x14ac:dyDescent="0.3">
      <c r="B72" s="218" t="s">
        <v>253</v>
      </c>
      <c r="C72" s="218" t="s">
        <v>254</v>
      </c>
      <c r="D72" s="218" t="s">
        <v>255</v>
      </c>
      <c r="E72" s="218" t="s">
        <v>256</v>
      </c>
      <c r="F72" s="218" t="s">
        <v>257</v>
      </c>
      <c r="G72" s="218" t="s">
        <v>258</v>
      </c>
      <c r="H72" s="218" t="s">
        <v>259</v>
      </c>
    </row>
    <row r="73" spans="2:8" ht="14.7" customHeight="1" x14ac:dyDescent="0.3">
      <c r="B73" s="219">
        <v>0.435</v>
      </c>
      <c r="C73" s="219">
        <f>0.001*(0.00719+((6.09)/((B73^2)+0.227))+((4.81/(((B73-57)^2)+1.5))))^2</f>
        <v>0.21433551485864974</v>
      </c>
      <c r="D73" s="219">
        <f>0.0001*(0.05+(0.0021*7.5)+((3.6/(((B73-22.2)^2)+8.5)))+((10.6/(((B73-183.3)^2)+9)))+((8.9/(((B73-325.4)^2)+26.3))))*(B73^2)*7.5</f>
        <v>1.0447591136692017E-5</v>
      </c>
      <c r="E73" s="219">
        <v>1</v>
      </c>
      <c r="F73" s="219">
        <v>2.5</v>
      </c>
      <c r="G73" s="219">
        <f>($C$73+$D$73)*$E$73*(EXP(-0.278/$E$73))*_xlfn.CSC($F73/180*PI())</f>
        <v>3.7213616667310569</v>
      </c>
      <c r="H73" s="219">
        <f>10^($G73/10)</f>
        <v>2.3557877908693743</v>
      </c>
    </row>
    <row r="74" spans="2:8" ht="14.7" customHeight="1" x14ac:dyDescent="0.3">
      <c r="B74" s="220"/>
      <c r="C74" s="220"/>
      <c r="D74" s="220"/>
      <c r="E74" s="220"/>
      <c r="F74" s="219">
        <v>5</v>
      </c>
      <c r="G74" s="219">
        <f>($C$73+$D$73)*$E$73*(EXP(-0.278/$E$73))*_xlfn.CSC(F74/180*PI())</f>
        <v>1.8624534763891498</v>
      </c>
      <c r="H74" s="219">
        <f t="shared" ref="H74:H85" si="0">10^($G74/10)</f>
        <v>1.5354841847602274</v>
      </c>
    </row>
    <row r="75" spans="2:8" ht="14.7" customHeight="1" x14ac:dyDescent="0.3">
      <c r="B75" s="220"/>
      <c r="C75" s="220"/>
      <c r="D75" s="220"/>
      <c r="E75" s="220"/>
      <c r="F75" s="219">
        <v>10</v>
      </c>
      <c r="G75" s="219">
        <f>($C$73+$D$73)*$E$73*(EXP(-0.278/$E$73))*_xlfn.CSC(F75/180*PI())</f>
        <v>0.93478387305049937</v>
      </c>
      <c r="H75" s="219">
        <f t="shared" si="0"/>
        <v>1.2401619068400658</v>
      </c>
    </row>
    <row r="76" spans="2:8" ht="14.7" customHeight="1" x14ac:dyDescent="0.3">
      <c r="B76" s="220"/>
      <c r="C76" s="220"/>
      <c r="D76" s="220"/>
      <c r="E76" s="220"/>
      <c r="F76" s="219">
        <v>15</v>
      </c>
      <c r="G76" s="219">
        <f>($C$73+$D$73)*$E$73*(EXP(-0.278/$E$73))*_xlfn.CSC($F76/180*PI())</f>
        <v>0.6271699055351837</v>
      </c>
      <c r="H76" s="219">
        <f t="shared" si="0"/>
        <v>1.1553591032159762</v>
      </c>
    </row>
    <row r="77" spans="2:8" ht="14.7" customHeight="1" x14ac:dyDescent="0.3">
      <c r="B77" s="220"/>
      <c r="C77" s="220"/>
      <c r="D77" s="220"/>
      <c r="E77" s="220"/>
      <c r="F77" s="219">
        <v>20</v>
      </c>
      <c r="G77" s="219">
        <f>($C$73+$D$73)*$E$73*(EXP(-0.278/$E$73))*_xlfn.CSC($F77/180*PI())</f>
        <v>0.47460221052855156</v>
      </c>
      <c r="H77" s="219">
        <f t="shared" si="0"/>
        <v>1.1154759753069263</v>
      </c>
    </row>
    <row r="78" spans="2:8" ht="14.7" customHeight="1" x14ac:dyDescent="0.3">
      <c r="B78" s="220"/>
      <c r="C78" s="220"/>
      <c r="D78" s="220"/>
      <c r="E78" s="220"/>
      <c r="F78" s="219">
        <v>25</v>
      </c>
      <c r="G78" s="219">
        <f t="shared" ref="G78:G85" si="1">($C$73+$D$73)*$E$73*(EXP(-0.278/$E$73))*_xlfn.CSC($F78/180*PI())</f>
        <v>0.38409016070216384</v>
      </c>
      <c r="H78" s="219">
        <f t="shared" si="0"/>
        <v>1.0924687329360092</v>
      </c>
    </row>
    <row r="79" spans="2:8" ht="14.7" customHeight="1" x14ac:dyDescent="0.3">
      <c r="B79" s="220"/>
      <c r="C79" s="220"/>
      <c r="D79" s="220"/>
      <c r="E79" s="220"/>
      <c r="F79" s="219">
        <v>30</v>
      </c>
      <c r="G79" s="219">
        <f t="shared" si="1"/>
        <v>0.32464703213530877</v>
      </c>
      <c r="H79" s="219">
        <f t="shared" si="0"/>
        <v>1.0776176679937581</v>
      </c>
    </row>
    <row r="80" spans="2:8" ht="14.7" customHeight="1" x14ac:dyDescent="0.3">
      <c r="B80" s="220"/>
      <c r="C80" s="220"/>
      <c r="D80" s="220"/>
      <c r="E80" s="220"/>
      <c r="F80" s="219">
        <v>35</v>
      </c>
      <c r="G80" s="219">
        <f t="shared" si="1"/>
        <v>0.28300241394210185</v>
      </c>
      <c r="H80" s="219">
        <f t="shared" si="0"/>
        <v>1.0673337475185478</v>
      </c>
    </row>
    <row r="81" spans="2:8" ht="14.7" customHeight="1" x14ac:dyDescent="0.3">
      <c r="B81" s="220"/>
      <c r="C81" s="220"/>
      <c r="D81" s="220"/>
      <c r="E81" s="220"/>
      <c r="F81" s="219">
        <v>40</v>
      </c>
      <c r="G81" s="219">
        <f t="shared" si="1"/>
        <v>0.25253056160620896</v>
      </c>
      <c r="H81" s="219">
        <f t="shared" si="0"/>
        <v>1.0598711145328832</v>
      </c>
    </row>
    <row r="82" spans="2:8" ht="14.7" customHeight="1" x14ac:dyDescent="0.3">
      <c r="B82" s="220"/>
      <c r="C82" s="220"/>
      <c r="D82" s="220"/>
      <c r="E82" s="220"/>
      <c r="F82" s="219">
        <v>45</v>
      </c>
      <c r="G82" s="219">
        <f t="shared" si="1"/>
        <v>0.22956011791496386</v>
      </c>
      <c r="H82" s="219">
        <f t="shared" si="0"/>
        <v>1.0542801065429237</v>
      </c>
    </row>
    <row r="83" spans="2:8" ht="14.7" customHeight="1" x14ac:dyDescent="0.3">
      <c r="B83" s="220"/>
      <c r="C83" s="220"/>
      <c r="D83" s="220"/>
      <c r="E83" s="220"/>
      <c r="F83" s="219">
        <v>50</v>
      </c>
      <c r="G83" s="219">
        <f t="shared" si="1"/>
        <v>0.21189830110476127</v>
      </c>
      <c r="H83" s="219">
        <f t="shared" si="0"/>
        <v>1.0500012839051129</v>
      </c>
    </row>
    <row r="84" spans="2:8" ht="14.7" customHeight="1" x14ac:dyDescent="0.3">
      <c r="B84" s="220"/>
      <c r="C84" s="220"/>
      <c r="D84" s="220"/>
      <c r="E84" s="220"/>
      <c r="F84" s="219">
        <v>55</v>
      </c>
      <c r="G84" s="219">
        <f t="shared" si="1"/>
        <v>0.1981604235738044</v>
      </c>
      <c r="H84" s="219">
        <f t="shared" si="0"/>
        <v>1.0466851012270315</v>
      </c>
    </row>
    <row r="85" spans="2:8" ht="14.7" customHeight="1" x14ac:dyDescent="0.3">
      <c r="B85" s="220"/>
      <c r="C85" s="220"/>
      <c r="D85" s="220"/>
      <c r="E85" s="220"/>
      <c r="F85" s="219">
        <v>60</v>
      </c>
      <c r="G85" s="219">
        <f t="shared" si="1"/>
        <v>0.18743505139493363</v>
      </c>
      <c r="H85" s="219">
        <f t="shared" si="0"/>
        <v>1.0441033883300181</v>
      </c>
    </row>
  </sheetData>
  <mergeCells count="26">
    <mergeCell ref="N40:X40"/>
    <mergeCell ref="N47:X47"/>
    <mergeCell ref="B71:H71"/>
    <mergeCell ref="B46:C46"/>
    <mergeCell ref="B29:D29"/>
    <mergeCell ref="B30:C30"/>
    <mergeCell ref="B31:C31"/>
    <mergeCell ref="B34:C34"/>
    <mergeCell ref="B33:C33"/>
    <mergeCell ref="B32:C32"/>
    <mergeCell ref="B41:C41"/>
    <mergeCell ref="B36:D36"/>
    <mergeCell ref="B37:C37"/>
    <mergeCell ref="B38:C38"/>
    <mergeCell ref="B39:C39"/>
    <mergeCell ref="B40:C40"/>
    <mergeCell ref="B14:D14"/>
    <mergeCell ref="B15:D15"/>
    <mergeCell ref="B1:D1"/>
    <mergeCell ref="G1:J1"/>
    <mergeCell ref="B2:D2"/>
    <mergeCell ref="G2:J2"/>
    <mergeCell ref="G8:J8"/>
    <mergeCell ref="G9:J9"/>
    <mergeCell ref="B12:D12"/>
    <mergeCell ref="B13:D1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0"/>
  <sheetViews>
    <sheetView topLeftCell="B24" zoomScale="115" zoomScaleNormal="115" workbookViewId="0">
      <selection activeCell="T32" sqref="T32"/>
    </sheetView>
  </sheetViews>
  <sheetFormatPr defaultColWidth="0" defaultRowHeight="14.4" zeroHeight="1" x14ac:dyDescent="0.3"/>
  <cols>
    <col min="1" max="17" width="3.33203125" customWidth="1"/>
    <col min="18" max="19" width="17.33203125" customWidth="1"/>
    <col min="20" max="20" width="10.44140625" customWidth="1"/>
    <col min="21" max="21" width="7.33203125" customWidth="1"/>
    <col min="22" max="23" width="8.6640625" customWidth="1"/>
    <col min="24" max="40" width="3.33203125" customWidth="1"/>
    <col min="41" max="16384" width="8.6640625" hidden="1"/>
  </cols>
  <sheetData>
    <row r="1" spans="1:4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2" thickBot="1" x14ac:dyDescent="0.35">
      <c r="A2" s="1"/>
      <c r="B2" s="1"/>
      <c r="C2" s="1"/>
      <c r="D2" s="1"/>
      <c r="E2" s="1"/>
      <c r="F2" s="1"/>
      <c r="G2" s="1"/>
      <c r="H2" s="1"/>
      <c r="I2" s="1"/>
      <c r="J2" s="1"/>
      <c r="K2" s="1"/>
      <c r="L2" s="1"/>
      <c r="M2" s="1"/>
      <c r="N2" s="1"/>
      <c r="O2" s="1"/>
      <c r="P2" s="1"/>
      <c r="Q2" s="1"/>
      <c r="R2" s="290" t="s">
        <v>0</v>
      </c>
      <c r="S2" s="291"/>
      <c r="T2" s="291"/>
      <c r="U2" s="291"/>
      <c r="V2" s="291"/>
      <c r="W2" s="291"/>
      <c r="X2" s="292"/>
      <c r="Y2" s="1"/>
      <c r="Z2" s="1"/>
      <c r="AA2" s="1"/>
      <c r="AB2" s="1"/>
      <c r="AC2" s="1"/>
      <c r="AD2" s="1"/>
      <c r="AE2" s="1"/>
      <c r="AF2" s="1"/>
      <c r="AG2" s="1"/>
      <c r="AH2" s="1"/>
      <c r="AI2" s="1"/>
      <c r="AJ2" s="1"/>
      <c r="AK2" s="1"/>
      <c r="AL2" s="1"/>
      <c r="AM2" s="1"/>
      <c r="AN2" s="1"/>
    </row>
    <row r="3" spans="1:4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x14ac:dyDescent="0.3">
      <c r="A21" s="1"/>
      <c r="B21" s="1"/>
      <c r="C21" s="1"/>
      <c r="D21" s="1"/>
      <c r="E21" s="1"/>
      <c r="F21" s="1"/>
      <c r="G21" s="1"/>
      <c r="H21" s="1"/>
      <c r="I21" s="1"/>
      <c r="J21" s="1"/>
      <c r="K21" s="1"/>
      <c r="L21" s="1"/>
      <c r="M21" s="1"/>
      <c r="N21" s="1"/>
      <c r="O21" s="1"/>
      <c r="P21" s="1"/>
      <c r="Q21" s="1"/>
      <c r="R21" s="1"/>
      <c r="S21" s="1"/>
      <c r="T21" s="1"/>
      <c r="U21" s="1"/>
      <c r="V21" s="1"/>
      <c r="W21" s="1"/>
      <c r="X21" s="1"/>
      <c r="Y21" s="1"/>
      <c r="Z21" s="7"/>
      <c r="AA21" s="7"/>
      <c r="AB21" s="7"/>
      <c r="AC21" s="7"/>
      <c r="AD21" s="7"/>
      <c r="AE21" s="7"/>
      <c r="AF21" s="7"/>
      <c r="AG21" s="7"/>
      <c r="AH21" s="7"/>
      <c r="AI21" s="7"/>
      <c r="AJ21" s="7"/>
      <c r="AK21" s="7"/>
      <c r="AL21" s="7"/>
      <c r="AM21" s="7"/>
      <c r="AN21" s="7"/>
    </row>
    <row r="22" spans="1:40" ht="15" thickBot="1" x14ac:dyDescent="0.35">
      <c r="A22" s="1"/>
      <c r="B22" s="1"/>
      <c r="C22" s="1"/>
      <c r="D22" s="1"/>
      <c r="E22" s="1"/>
      <c r="F22" s="1"/>
      <c r="G22" s="1"/>
      <c r="H22" s="1"/>
      <c r="I22" s="1"/>
      <c r="J22" s="1"/>
      <c r="K22" s="1"/>
      <c r="L22" s="1"/>
      <c r="M22" s="1"/>
      <c r="N22" s="1"/>
      <c r="O22" s="1"/>
      <c r="P22" s="1"/>
      <c r="Q22" s="1"/>
      <c r="R22" s="1"/>
      <c r="S22" s="1"/>
      <c r="T22" s="1"/>
      <c r="U22" s="1"/>
      <c r="V22" s="1"/>
      <c r="W22" s="1"/>
      <c r="X22" s="1"/>
      <c r="Y22" s="7"/>
      <c r="Z22" s="7"/>
      <c r="AA22" s="7"/>
      <c r="AB22" s="7"/>
      <c r="AC22" s="7"/>
      <c r="AD22" s="7"/>
      <c r="AE22" s="7"/>
      <c r="AF22" s="7"/>
      <c r="AG22" s="7"/>
      <c r="AH22" s="7"/>
      <c r="AI22" s="7"/>
      <c r="AJ22" s="7"/>
      <c r="AK22" s="7"/>
      <c r="AL22" s="7"/>
      <c r="AM22" s="7"/>
      <c r="AN22" s="7"/>
    </row>
    <row r="23" spans="1:40" x14ac:dyDescent="0.3">
      <c r="A23" s="1"/>
      <c r="B23" s="1"/>
      <c r="C23" s="1"/>
      <c r="D23" s="1"/>
      <c r="E23" s="1"/>
      <c r="F23" s="1"/>
      <c r="G23" s="1"/>
      <c r="H23" s="1"/>
      <c r="I23" s="1"/>
      <c r="J23" s="1"/>
      <c r="K23" s="1"/>
      <c r="L23" s="1"/>
      <c r="M23" s="1"/>
      <c r="N23" s="1"/>
      <c r="O23" s="1"/>
      <c r="P23" s="133"/>
      <c r="Q23" s="134"/>
      <c r="R23" s="134"/>
      <c r="S23" s="134"/>
      <c r="T23" s="134"/>
      <c r="U23" s="134"/>
      <c r="V23" s="134"/>
      <c r="W23" s="134"/>
      <c r="X23" s="134"/>
      <c r="Y23" s="135"/>
      <c r="Z23" s="7"/>
      <c r="AA23" s="7"/>
      <c r="AB23" s="7"/>
      <c r="AC23" s="7"/>
      <c r="AD23" s="7"/>
      <c r="AE23" s="7"/>
      <c r="AF23" s="7"/>
      <c r="AG23" s="7"/>
      <c r="AH23" s="7"/>
      <c r="AI23" s="7"/>
      <c r="AJ23" s="7"/>
      <c r="AK23" s="7"/>
      <c r="AL23" s="7"/>
      <c r="AM23" s="7"/>
      <c r="AN23" s="7"/>
    </row>
    <row r="24" spans="1:40" ht="15" thickBot="1" x14ac:dyDescent="0.35">
      <c r="A24" s="1"/>
      <c r="B24" s="1"/>
      <c r="C24" s="1"/>
      <c r="D24" s="1"/>
      <c r="E24" s="1"/>
      <c r="F24" s="1"/>
      <c r="G24" s="1"/>
      <c r="H24" s="1"/>
      <c r="I24" s="1"/>
      <c r="J24" s="1"/>
      <c r="K24" s="1"/>
      <c r="L24" s="1"/>
      <c r="M24" s="1"/>
      <c r="N24" s="1"/>
      <c r="O24" s="1"/>
      <c r="P24" s="132"/>
      <c r="Q24" s="136"/>
      <c r="R24" s="136"/>
      <c r="S24" s="136"/>
      <c r="T24" s="136"/>
      <c r="U24" s="136"/>
      <c r="V24" s="136"/>
      <c r="W24" s="136"/>
      <c r="X24" s="136"/>
      <c r="Y24" s="137"/>
      <c r="Z24" s="7"/>
      <c r="AA24" s="7"/>
      <c r="AB24" s="7"/>
      <c r="AC24" s="7"/>
      <c r="AD24" s="7"/>
      <c r="AE24" s="7"/>
      <c r="AF24" s="7"/>
      <c r="AG24" s="7"/>
      <c r="AH24" s="7"/>
      <c r="AI24" s="7"/>
      <c r="AJ24" s="7"/>
      <c r="AK24" s="7"/>
      <c r="AL24" s="7"/>
      <c r="AM24" s="7"/>
      <c r="AN24" s="7"/>
    </row>
    <row r="25" spans="1:40" ht="29.4" thickBot="1" x14ac:dyDescent="0.35">
      <c r="A25" s="1"/>
      <c r="B25" s="1"/>
      <c r="C25" s="1"/>
      <c r="D25" s="1"/>
      <c r="E25" s="1"/>
      <c r="F25" s="1"/>
      <c r="G25" s="1"/>
      <c r="H25" s="1"/>
      <c r="I25" s="1"/>
      <c r="J25" s="1"/>
      <c r="K25" s="1"/>
      <c r="L25" s="1"/>
      <c r="M25" s="1"/>
      <c r="N25" s="1"/>
      <c r="O25" s="1"/>
      <c r="P25" s="132"/>
      <c r="Q25" s="136"/>
      <c r="R25" s="302" t="s">
        <v>30</v>
      </c>
      <c r="S25" s="303"/>
      <c r="T25" s="303"/>
      <c r="U25" s="303"/>
      <c r="V25" s="303"/>
      <c r="W25" s="304"/>
      <c r="X25" s="136"/>
      <c r="Y25" s="137"/>
      <c r="Z25" s="7"/>
      <c r="AA25" s="7"/>
      <c r="AB25" s="7"/>
      <c r="AC25" s="7"/>
      <c r="AD25" s="7"/>
      <c r="AE25" s="7"/>
      <c r="AF25" s="7"/>
      <c r="AG25" s="7"/>
      <c r="AH25" s="7"/>
      <c r="AI25" s="7"/>
      <c r="AJ25" s="7"/>
      <c r="AK25" s="7"/>
      <c r="AL25" s="7"/>
      <c r="AM25" s="7"/>
      <c r="AN25" s="7"/>
    </row>
    <row r="26" spans="1:40" x14ac:dyDescent="0.3">
      <c r="A26" s="1"/>
      <c r="B26" s="1"/>
      <c r="C26" s="1"/>
      <c r="D26" s="1"/>
      <c r="E26" s="1"/>
      <c r="F26" s="1"/>
      <c r="G26" s="1"/>
      <c r="H26" s="1"/>
      <c r="I26" s="1"/>
      <c r="J26" s="1"/>
      <c r="K26" s="1"/>
      <c r="L26" s="1"/>
      <c r="M26" s="1"/>
      <c r="N26" s="1"/>
      <c r="O26" s="1"/>
      <c r="P26" s="132"/>
      <c r="Q26" s="136"/>
      <c r="R26" s="136"/>
      <c r="S26" s="136"/>
      <c r="T26" s="136"/>
      <c r="U26" s="136"/>
      <c r="V26" s="136"/>
      <c r="W26" s="136"/>
      <c r="X26" s="136"/>
      <c r="Y26" s="137"/>
      <c r="Z26" s="1"/>
      <c r="AA26" s="1"/>
      <c r="AB26" s="1"/>
      <c r="AC26" s="1"/>
      <c r="AD26" s="1"/>
      <c r="AE26" s="1"/>
      <c r="AF26" s="1"/>
      <c r="AG26" s="1"/>
      <c r="AH26" s="1"/>
      <c r="AI26" s="1"/>
      <c r="AJ26" s="1"/>
      <c r="AK26" s="1"/>
      <c r="AL26" s="1"/>
      <c r="AM26" s="1"/>
      <c r="AN26" s="1"/>
    </row>
    <row r="27" spans="1:40" x14ac:dyDescent="0.3">
      <c r="A27" s="1"/>
      <c r="B27" s="1"/>
      <c r="C27" s="1"/>
      <c r="D27" s="1"/>
      <c r="E27" s="1"/>
      <c r="F27" s="1"/>
      <c r="G27" s="1"/>
      <c r="H27" s="1"/>
      <c r="I27" s="1"/>
      <c r="J27" s="1"/>
      <c r="K27" s="1"/>
      <c r="L27" s="1"/>
      <c r="M27" s="1"/>
      <c r="N27" s="1"/>
      <c r="O27" s="1"/>
      <c r="P27" s="132"/>
      <c r="Q27" s="136"/>
      <c r="R27" s="301" t="s">
        <v>31</v>
      </c>
      <c r="S27" s="301"/>
      <c r="T27" s="206">
        <f>Inputs!V15</f>
        <v>437.30500000000001</v>
      </c>
      <c r="U27" s="136" t="s">
        <v>12</v>
      </c>
      <c r="V27" s="204">
        <f>Inputs!$V$9/(T27*1000000)</f>
        <v>0.68554546140565509</v>
      </c>
      <c r="W27" s="142" t="s">
        <v>32</v>
      </c>
      <c r="X27" s="136"/>
      <c r="Y27" s="137"/>
      <c r="Z27" s="1"/>
      <c r="AA27" s="1"/>
      <c r="AB27" s="1"/>
      <c r="AC27" s="1"/>
      <c r="AD27" s="1"/>
      <c r="AE27" s="1"/>
      <c r="AF27" s="1"/>
      <c r="AG27" s="1"/>
      <c r="AH27" s="1"/>
      <c r="AI27" s="1"/>
      <c r="AJ27" s="1"/>
      <c r="AK27" s="1"/>
      <c r="AL27" s="1"/>
      <c r="AM27" s="1"/>
      <c r="AN27" s="1"/>
    </row>
    <row r="28" spans="1:40" x14ac:dyDescent="0.3">
      <c r="A28" s="1"/>
      <c r="B28" s="1"/>
      <c r="C28" s="1"/>
      <c r="D28" s="1"/>
      <c r="E28" s="1"/>
      <c r="F28" s="1"/>
      <c r="G28" s="1"/>
      <c r="H28" s="1"/>
      <c r="I28" s="1"/>
      <c r="J28" s="1"/>
      <c r="K28" s="1"/>
      <c r="L28" s="1"/>
      <c r="M28" s="1"/>
      <c r="N28" s="1"/>
      <c r="O28" s="1"/>
      <c r="P28" s="132"/>
      <c r="Q28" s="136"/>
      <c r="R28" s="301" t="s">
        <v>33</v>
      </c>
      <c r="S28" s="301"/>
      <c r="T28" s="206">
        <f>Inputs!V16</f>
        <v>437.30500000000001</v>
      </c>
      <c r="U28" s="136" t="s">
        <v>12</v>
      </c>
      <c r="V28" s="204">
        <f>Inputs!$V$9/(T28*1000000)</f>
        <v>0.68554546140565509</v>
      </c>
      <c r="W28" s="142" t="s">
        <v>32</v>
      </c>
      <c r="X28" s="136"/>
      <c r="Y28" s="137"/>
      <c r="Z28" s="1"/>
      <c r="AA28" s="1"/>
      <c r="AB28" s="1"/>
      <c r="AC28" s="1"/>
      <c r="AD28" s="1"/>
      <c r="AE28" s="1"/>
      <c r="AF28" s="1"/>
      <c r="AG28" s="1"/>
      <c r="AH28" s="1"/>
      <c r="AI28" s="1"/>
      <c r="AJ28" s="1"/>
      <c r="AK28" s="1"/>
      <c r="AL28" s="1"/>
      <c r="AM28" s="1"/>
      <c r="AN28" s="1"/>
    </row>
    <row r="29" spans="1:40" x14ac:dyDescent="0.3">
      <c r="A29" s="1"/>
      <c r="B29" s="1"/>
      <c r="C29" s="1"/>
      <c r="D29" s="1"/>
      <c r="E29" s="1"/>
      <c r="F29" s="1"/>
      <c r="G29" s="1"/>
      <c r="H29" s="1"/>
      <c r="I29" s="1"/>
      <c r="J29" s="1"/>
      <c r="K29" s="1"/>
      <c r="L29" s="1"/>
      <c r="M29" s="1"/>
      <c r="N29" s="1"/>
      <c r="O29" s="1"/>
      <c r="P29" s="132"/>
      <c r="Q29" s="136"/>
      <c r="R29" s="140"/>
      <c r="S29" s="140"/>
      <c r="T29" s="136"/>
      <c r="U29" s="140"/>
      <c r="V29" s="140"/>
      <c r="W29" s="140"/>
      <c r="X29" s="136"/>
      <c r="Y29" s="137"/>
      <c r="Z29" s="1"/>
      <c r="AA29" s="1"/>
      <c r="AB29" s="1"/>
      <c r="AC29" s="1"/>
      <c r="AD29" s="1"/>
      <c r="AE29" s="1"/>
      <c r="AF29" s="1"/>
      <c r="AG29" s="1"/>
      <c r="AH29" s="1"/>
      <c r="AI29" s="1"/>
      <c r="AJ29" s="1"/>
      <c r="AK29" s="1"/>
      <c r="AL29" s="1"/>
      <c r="AM29" s="1"/>
      <c r="AN29" s="1"/>
    </row>
    <row r="30" spans="1:40" x14ac:dyDescent="0.3">
      <c r="A30" s="1"/>
      <c r="B30" s="1"/>
      <c r="C30" s="1"/>
      <c r="D30" s="1"/>
      <c r="E30" s="1"/>
      <c r="F30" s="1"/>
      <c r="G30" s="1"/>
      <c r="H30" s="1"/>
      <c r="I30" s="1"/>
      <c r="J30" s="1"/>
      <c r="K30" s="1"/>
      <c r="L30" s="1"/>
      <c r="M30" s="1"/>
      <c r="N30" s="1"/>
      <c r="O30" s="1"/>
      <c r="P30" s="132"/>
      <c r="Q30" s="136"/>
      <c r="R30" s="301" t="s">
        <v>34</v>
      </c>
      <c r="S30" s="301"/>
      <c r="T30" s="204">
        <f>Inputs!V20</f>
        <v>408</v>
      </c>
      <c r="U30" s="136" t="s">
        <v>9</v>
      </c>
      <c r="V30" s="136"/>
      <c r="W30" s="136"/>
      <c r="X30" s="136"/>
      <c r="Y30" s="137"/>
      <c r="Z30" s="1"/>
      <c r="AA30" s="1"/>
      <c r="AB30" s="1"/>
      <c r="AC30" s="1"/>
      <c r="AD30" s="1"/>
      <c r="AE30" s="1"/>
      <c r="AF30" s="1"/>
      <c r="AG30" s="1"/>
      <c r="AH30" s="1"/>
      <c r="AI30" s="1"/>
      <c r="AJ30" s="1"/>
      <c r="AK30" s="1"/>
      <c r="AL30" s="1"/>
      <c r="AM30" s="1"/>
      <c r="AN30" s="1"/>
    </row>
    <row r="31" spans="1:40" x14ac:dyDescent="0.3">
      <c r="A31" s="1"/>
      <c r="B31" s="1"/>
      <c r="C31" s="1"/>
      <c r="D31" s="1"/>
      <c r="E31" s="1"/>
      <c r="F31" s="1"/>
      <c r="G31" s="1"/>
      <c r="H31" s="1"/>
      <c r="I31" s="1"/>
      <c r="J31" s="1"/>
      <c r="K31" s="1"/>
      <c r="L31" s="1"/>
      <c r="M31" s="1"/>
      <c r="N31" s="1"/>
      <c r="O31" s="1"/>
      <c r="P31" s="132"/>
      <c r="Q31" s="136"/>
      <c r="R31" s="301" t="s">
        <v>35</v>
      </c>
      <c r="S31" s="301"/>
      <c r="T31" s="206">
        <f>Inputs!V11</f>
        <v>6378.17</v>
      </c>
      <c r="U31" s="136" t="s">
        <v>9</v>
      </c>
      <c r="V31" s="136"/>
      <c r="W31" s="136"/>
      <c r="X31" s="136"/>
      <c r="Y31" s="137"/>
      <c r="Z31" s="1"/>
      <c r="AA31" s="1"/>
      <c r="AB31" s="1"/>
      <c r="AC31" s="1"/>
      <c r="AD31" s="1"/>
      <c r="AE31" s="1"/>
      <c r="AF31" s="1"/>
      <c r="AG31" s="1"/>
      <c r="AH31" s="1"/>
      <c r="AI31" s="1"/>
      <c r="AJ31" s="1"/>
      <c r="AK31" s="1"/>
      <c r="AL31" s="1"/>
      <c r="AM31" s="1"/>
      <c r="AN31" s="1"/>
    </row>
    <row r="32" spans="1:40" x14ac:dyDescent="0.3">
      <c r="A32" s="1"/>
      <c r="B32" s="1"/>
      <c r="C32" s="1"/>
      <c r="D32" s="1"/>
      <c r="E32" s="1"/>
      <c r="F32" s="1"/>
      <c r="G32" s="1"/>
      <c r="H32" s="1"/>
      <c r="I32" s="1"/>
      <c r="J32" s="1"/>
      <c r="K32" s="1"/>
      <c r="L32" s="1"/>
      <c r="M32" s="1"/>
      <c r="N32" s="1"/>
      <c r="O32" s="1"/>
      <c r="P32" s="132"/>
      <c r="Q32" s="136"/>
      <c r="R32" s="301" t="s">
        <v>267</v>
      </c>
      <c r="S32" s="301"/>
      <c r="T32" s="204">
        <f>Inputs!V30</f>
        <v>5</v>
      </c>
      <c r="U32" s="136" t="s">
        <v>27</v>
      </c>
      <c r="V32" s="136"/>
      <c r="W32" s="136"/>
      <c r="X32" s="136"/>
      <c r="Y32" s="137"/>
      <c r="Z32" s="1"/>
      <c r="AA32" s="1"/>
      <c r="AB32" s="1"/>
      <c r="AC32" s="1"/>
      <c r="AD32" s="1"/>
      <c r="AE32" s="1"/>
      <c r="AF32" s="1"/>
      <c r="AG32" s="1"/>
      <c r="AH32" s="1"/>
      <c r="AI32" s="1"/>
      <c r="AJ32" s="1"/>
      <c r="AK32" s="1"/>
      <c r="AL32" s="1"/>
      <c r="AM32" s="1"/>
      <c r="AN32" s="1"/>
    </row>
    <row r="33" spans="1:40" x14ac:dyDescent="0.3">
      <c r="A33" s="1"/>
      <c r="B33" s="1"/>
      <c r="C33" s="1"/>
      <c r="D33" s="1"/>
      <c r="E33" s="1"/>
      <c r="F33" s="1"/>
      <c r="G33" s="1"/>
      <c r="H33" s="1"/>
      <c r="I33" s="1"/>
      <c r="J33" s="1"/>
      <c r="K33" s="1"/>
      <c r="L33" s="1"/>
      <c r="M33" s="1"/>
      <c r="N33" s="1"/>
      <c r="O33" s="1"/>
      <c r="P33" s="132"/>
      <c r="Q33" s="136"/>
      <c r="R33" s="301" t="s">
        <v>36</v>
      </c>
      <c r="S33" s="301"/>
      <c r="T33" s="204">
        <f>T31*((SQRT((POWER(T31+T30,2)/POWER(T31,2))-POWER(COS(RADIANS(T32)),2)))-SIN(RADIANS(T32)))</f>
        <v>1827.3953936671705</v>
      </c>
      <c r="U33" s="136" t="s">
        <v>9</v>
      </c>
      <c r="V33" s="136"/>
      <c r="W33" s="136"/>
      <c r="X33" s="136"/>
      <c r="Y33" s="137"/>
      <c r="Z33" s="1"/>
      <c r="AA33" s="1"/>
      <c r="AB33" s="1"/>
      <c r="AC33" s="1"/>
      <c r="AD33" s="1"/>
      <c r="AE33" s="1"/>
      <c r="AF33" s="1"/>
      <c r="AG33" s="1"/>
      <c r="AH33" s="1"/>
      <c r="AI33" s="1"/>
      <c r="AJ33" s="1"/>
      <c r="AK33" s="1"/>
      <c r="AL33" s="1"/>
      <c r="AM33" s="1"/>
      <c r="AN33" s="1"/>
    </row>
    <row r="34" spans="1:40" x14ac:dyDescent="0.3">
      <c r="A34" s="1"/>
      <c r="B34" s="1"/>
      <c r="C34" s="1"/>
      <c r="D34" s="1"/>
      <c r="E34" s="1"/>
      <c r="F34" s="1"/>
      <c r="G34" s="1"/>
      <c r="H34" s="1"/>
      <c r="I34" s="1"/>
      <c r="J34" s="1"/>
      <c r="K34" s="1"/>
      <c r="L34" s="1"/>
      <c r="M34" s="1"/>
      <c r="N34" s="1"/>
      <c r="O34" s="1"/>
      <c r="P34" s="132"/>
      <c r="Q34" s="136"/>
      <c r="R34" s="136"/>
      <c r="S34" s="136"/>
      <c r="T34" s="136"/>
      <c r="U34" s="136"/>
      <c r="V34" s="136"/>
      <c r="W34" s="136"/>
      <c r="X34" s="136"/>
      <c r="Y34" s="137"/>
      <c r="Z34" s="1"/>
      <c r="AA34" s="1"/>
      <c r="AB34" s="1"/>
      <c r="AC34" s="1"/>
      <c r="AD34" s="1"/>
      <c r="AE34" s="1"/>
      <c r="AF34" s="1"/>
      <c r="AG34" s="1"/>
      <c r="AH34" s="1"/>
      <c r="AI34" s="1"/>
      <c r="AJ34" s="1"/>
      <c r="AK34" s="1"/>
      <c r="AL34" s="1"/>
      <c r="AM34" s="1"/>
      <c r="AN34" s="1"/>
    </row>
    <row r="35" spans="1:40" x14ac:dyDescent="0.3">
      <c r="A35" s="1"/>
      <c r="B35" s="1"/>
      <c r="C35" s="1"/>
      <c r="D35" s="1"/>
      <c r="E35" s="1"/>
      <c r="F35" s="1"/>
      <c r="G35" s="1"/>
      <c r="H35" s="1"/>
      <c r="I35" s="1"/>
      <c r="J35" s="1"/>
      <c r="K35" s="1"/>
      <c r="L35" s="1"/>
      <c r="M35" s="1"/>
      <c r="N35" s="1"/>
      <c r="O35" s="1"/>
      <c r="P35" s="132"/>
      <c r="Q35" s="136"/>
      <c r="R35" s="301" t="s">
        <v>37</v>
      </c>
      <c r="S35" s="301"/>
      <c r="T35" s="204">
        <f>20*LOG10((4*PI()*$T$33*T27*1000000000)/Inputs!$V$9)</f>
        <v>150.50012259786155</v>
      </c>
      <c r="U35" s="136" t="s">
        <v>38</v>
      </c>
      <c r="V35" s="136"/>
      <c r="W35" s="136"/>
      <c r="X35" s="136"/>
      <c r="Y35" s="137"/>
      <c r="Z35" s="1"/>
      <c r="AA35" s="1"/>
      <c r="AB35" s="1"/>
      <c r="AC35" s="1"/>
      <c r="AD35" s="1"/>
      <c r="AE35" s="1"/>
      <c r="AF35" s="1"/>
      <c r="AG35" s="1"/>
      <c r="AH35" s="1"/>
      <c r="AI35" s="1"/>
      <c r="AJ35" s="1"/>
      <c r="AK35" s="1"/>
      <c r="AL35" s="1"/>
      <c r="AM35" s="1"/>
      <c r="AN35" s="1"/>
    </row>
    <row r="36" spans="1:40" x14ac:dyDescent="0.3">
      <c r="A36" s="1"/>
      <c r="B36" s="1"/>
      <c r="C36" s="1"/>
      <c r="D36" s="1"/>
      <c r="E36" s="1"/>
      <c r="F36" s="1"/>
      <c r="G36" s="1"/>
      <c r="H36" s="1"/>
      <c r="I36" s="1"/>
      <c r="J36" s="1"/>
      <c r="K36" s="1"/>
      <c r="L36" s="1"/>
      <c r="M36" s="1"/>
      <c r="N36" s="1"/>
      <c r="O36" s="1"/>
      <c r="P36" s="132"/>
      <c r="Q36" s="136"/>
      <c r="R36" s="301" t="s">
        <v>39</v>
      </c>
      <c r="S36" s="301"/>
      <c r="T36" s="204">
        <f>20*LOG10((4*PI()*$T$33*T28*1000000000)/Inputs!$V$9)</f>
        <v>150.50012259786155</v>
      </c>
      <c r="U36" s="136" t="s">
        <v>38</v>
      </c>
      <c r="V36" s="136"/>
      <c r="W36" s="136"/>
      <c r="X36" s="136"/>
      <c r="Y36" s="137"/>
      <c r="Z36" s="1"/>
      <c r="AA36" s="1"/>
      <c r="AB36" s="1"/>
      <c r="AC36" s="1"/>
      <c r="AD36" s="1"/>
      <c r="AE36" s="1"/>
      <c r="AF36" s="1"/>
      <c r="AG36" s="1"/>
      <c r="AH36" s="1"/>
      <c r="AI36" s="1"/>
      <c r="AJ36" s="1"/>
      <c r="AK36" s="1"/>
      <c r="AL36" s="1"/>
      <c r="AM36" s="1"/>
      <c r="AN36" s="1"/>
    </row>
    <row r="37" spans="1:40" x14ac:dyDescent="0.3">
      <c r="A37" s="1"/>
      <c r="B37" s="1"/>
      <c r="C37" s="1"/>
      <c r="D37" s="1"/>
      <c r="E37" s="1"/>
      <c r="F37" s="1"/>
      <c r="G37" s="1"/>
      <c r="H37" s="1"/>
      <c r="I37" s="1"/>
      <c r="J37" s="1"/>
      <c r="K37" s="1"/>
      <c r="L37" s="1"/>
      <c r="M37" s="1"/>
      <c r="N37" s="1"/>
      <c r="O37" s="1"/>
      <c r="P37" s="132"/>
      <c r="Q37" s="136"/>
      <c r="R37" s="136"/>
      <c r="S37" s="136"/>
      <c r="T37" s="136"/>
      <c r="U37" s="136"/>
      <c r="V37" s="136"/>
      <c r="W37" s="136"/>
      <c r="X37" s="136"/>
      <c r="Y37" s="137"/>
      <c r="Z37" s="1"/>
      <c r="AA37" s="1"/>
      <c r="AB37" s="1"/>
      <c r="AC37" s="1"/>
      <c r="AD37" s="1"/>
      <c r="AE37" s="1"/>
      <c r="AF37" s="1"/>
      <c r="AG37" s="1"/>
      <c r="AH37" s="1"/>
      <c r="AI37" s="1"/>
      <c r="AJ37" s="1"/>
      <c r="AK37" s="1"/>
      <c r="AL37" s="1"/>
      <c r="AM37" s="1"/>
      <c r="AN37" s="1"/>
    </row>
    <row r="38" spans="1:40" ht="15" thickBot="1" x14ac:dyDescent="0.35">
      <c r="A38" s="1"/>
      <c r="B38" s="1"/>
      <c r="C38" s="1"/>
      <c r="D38" s="1"/>
      <c r="E38" s="1"/>
      <c r="F38" s="1"/>
      <c r="G38" s="1"/>
      <c r="H38" s="1"/>
      <c r="I38" s="1"/>
      <c r="J38" s="1"/>
      <c r="K38" s="1"/>
      <c r="L38" s="1"/>
      <c r="M38" s="1"/>
      <c r="N38" s="1"/>
      <c r="O38" s="1"/>
      <c r="P38" s="138"/>
      <c r="Q38" s="139"/>
      <c r="R38" s="139"/>
      <c r="S38" s="139"/>
      <c r="T38" s="139"/>
      <c r="U38" s="139"/>
      <c r="V38" s="139"/>
      <c r="W38" s="139"/>
      <c r="X38" s="139"/>
      <c r="Y38" s="141"/>
      <c r="Z38" s="1"/>
      <c r="AA38" s="1"/>
      <c r="AB38" s="1"/>
      <c r="AC38" s="1"/>
      <c r="AD38" s="1"/>
      <c r="AE38" s="1"/>
      <c r="AF38" s="1"/>
      <c r="AG38" s="1"/>
      <c r="AH38" s="1"/>
      <c r="AI38" s="1"/>
      <c r="AJ38" s="1"/>
      <c r="AK38" s="1"/>
      <c r="AL38" s="1"/>
      <c r="AM38" s="1"/>
      <c r="AN38" s="1"/>
    </row>
    <row r="39" spans="1:40"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sheetData>
  <mergeCells count="10">
    <mergeCell ref="R32:S32"/>
    <mergeCell ref="R33:S33"/>
    <mergeCell ref="R35:S35"/>
    <mergeCell ref="R36:S36"/>
    <mergeCell ref="R2:X2"/>
    <mergeCell ref="R25:W25"/>
    <mergeCell ref="R27:S27"/>
    <mergeCell ref="R28:S28"/>
    <mergeCell ref="R30:S30"/>
    <mergeCell ref="R31:S3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009-FB75-489D-97F2-72D229F6C02B}">
  <sheetPr>
    <tabColor rgb="FFE1CDFF"/>
  </sheetPr>
  <dimension ref="A1:F91"/>
  <sheetViews>
    <sheetView topLeftCell="A82" zoomScale="115" zoomScaleNormal="115" workbookViewId="0">
      <selection activeCell="D92" sqref="D92"/>
    </sheetView>
  </sheetViews>
  <sheetFormatPr defaultRowHeight="14.4" x14ac:dyDescent="0.3"/>
  <cols>
    <col min="1" max="1" width="26.88671875" customWidth="1"/>
    <col min="2" max="4" width="26.21875" customWidth="1"/>
  </cols>
  <sheetData>
    <row r="1" spans="1:6" x14ac:dyDescent="0.3">
      <c r="A1" s="307" t="s">
        <v>135</v>
      </c>
      <c r="B1" s="307"/>
      <c r="C1" s="307"/>
      <c r="D1" s="229"/>
      <c r="F1" s="251"/>
    </row>
    <row r="2" spans="1:6" x14ac:dyDescent="0.3">
      <c r="A2" s="250" t="s">
        <v>238</v>
      </c>
      <c r="B2" s="250" t="s">
        <v>327</v>
      </c>
      <c r="C2" s="250"/>
      <c r="D2" s="229"/>
    </row>
    <row r="3" spans="1:6" x14ac:dyDescent="0.3">
      <c r="A3" s="250" t="s">
        <v>74</v>
      </c>
      <c r="B3" s="250" t="s">
        <v>328</v>
      </c>
      <c r="C3" s="250"/>
      <c r="D3" s="229"/>
    </row>
    <row r="4" spans="1:6" x14ac:dyDescent="0.3">
      <c r="A4" s="250" t="s">
        <v>329</v>
      </c>
      <c r="B4" s="250" t="s">
        <v>330</v>
      </c>
      <c r="C4" s="250"/>
      <c r="D4" s="229"/>
    </row>
    <row r="5" spans="1:6" x14ac:dyDescent="0.3">
      <c r="A5" s="250" t="s">
        <v>331</v>
      </c>
      <c r="B5" s="250" t="s">
        <v>332</v>
      </c>
      <c r="C5" s="250"/>
      <c r="D5" s="229"/>
    </row>
    <row r="6" spans="1:6" x14ac:dyDescent="0.3">
      <c r="A6" s="250" t="s">
        <v>333</v>
      </c>
      <c r="B6" s="250" t="s">
        <v>334</v>
      </c>
      <c r="C6" s="250"/>
      <c r="D6" s="229"/>
    </row>
    <row r="7" spans="1:6" x14ac:dyDescent="0.3">
      <c r="A7" s="250" t="s">
        <v>335</v>
      </c>
      <c r="B7" s="250" t="s">
        <v>336</v>
      </c>
      <c r="C7" s="250"/>
      <c r="D7" s="229"/>
    </row>
    <row r="8" spans="1:6" x14ac:dyDescent="0.3">
      <c r="A8" s="250" t="s">
        <v>337</v>
      </c>
      <c r="B8" s="250" t="s">
        <v>338</v>
      </c>
      <c r="C8" s="250"/>
      <c r="D8" s="229"/>
    </row>
    <row r="9" spans="1:6" x14ac:dyDescent="0.3">
      <c r="A9" s="250" t="s">
        <v>339</v>
      </c>
      <c r="B9" s="250" t="s">
        <v>340</v>
      </c>
      <c r="C9" s="250"/>
      <c r="D9" s="229"/>
    </row>
    <row r="10" spans="1:6" ht="43.2" customHeight="1" x14ac:dyDescent="0.3">
      <c r="A10" s="250" t="s">
        <v>341</v>
      </c>
      <c r="B10" s="308" t="s">
        <v>342</v>
      </c>
      <c r="C10" s="308"/>
      <c r="D10" s="229"/>
    </row>
    <row r="11" spans="1:6" s="231" customFormat="1" ht="43.2" customHeight="1" x14ac:dyDescent="0.3">
      <c r="A11" s="250" t="s">
        <v>344</v>
      </c>
      <c r="B11" s="249" t="s">
        <v>345</v>
      </c>
      <c r="C11" s="250" t="s">
        <v>346</v>
      </c>
      <c r="D11" s="229"/>
    </row>
    <row r="12" spans="1:6" s="231" customFormat="1" ht="43.2" customHeight="1" x14ac:dyDescent="0.3">
      <c r="A12" s="250" t="s">
        <v>347</v>
      </c>
      <c r="B12" s="252">
        <v>295.95</v>
      </c>
      <c r="C12" s="250"/>
      <c r="D12" s="229"/>
    </row>
    <row r="13" spans="1:6" x14ac:dyDescent="0.3">
      <c r="A13" s="229"/>
      <c r="B13" s="229"/>
      <c r="C13" s="229"/>
      <c r="D13" s="229"/>
    </row>
    <row r="14" spans="1:6" x14ac:dyDescent="0.3">
      <c r="A14" s="309" t="s">
        <v>343</v>
      </c>
      <c r="B14" s="309"/>
      <c r="C14" s="309"/>
      <c r="D14" s="229"/>
    </row>
    <row r="15" spans="1:6" x14ac:dyDescent="0.3">
      <c r="A15" s="253" t="s">
        <v>238</v>
      </c>
      <c r="B15" s="247" t="s">
        <v>348</v>
      </c>
      <c r="C15" s="247"/>
      <c r="D15" s="229"/>
    </row>
    <row r="16" spans="1:6" x14ac:dyDescent="0.3">
      <c r="A16" s="253" t="s">
        <v>349</v>
      </c>
      <c r="B16" s="247" t="s">
        <v>350</v>
      </c>
      <c r="C16" s="247"/>
      <c r="D16" s="229"/>
    </row>
    <row r="17" spans="1:4" x14ac:dyDescent="0.3">
      <c r="A17" s="253" t="s">
        <v>351</v>
      </c>
      <c r="B17" s="247" t="s">
        <v>352</v>
      </c>
      <c r="C17" s="247"/>
      <c r="D17" s="229"/>
    </row>
    <row r="18" spans="1:4" x14ac:dyDescent="0.3">
      <c r="A18" s="253" t="s">
        <v>353</v>
      </c>
      <c r="B18" s="247" t="s">
        <v>354</v>
      </c>
      <c r="C18" s="247"/>
      <c r="D18" s="229"/>
    </row>
    <row r="19" spans="1:4" x14ac:dyDescent="0.3">
      <c r="A19" s="253" t="s">
        <v>355</v>
      </c>
      <c r="B19" s="247" t="s">
        <v>356</v>
      </c>
      <c r="C19" s="247"/>
      <c r="D19" s="229"/>
    </row>
    <row r="20" spans="1:4" x14ac:dyDescent="0.3">
      <c r="A20" s="253" t="s">
        <v>357</v>
      </c>
      <c r="B20" s="247" t="s">
        <v>358</v>
      </c>
      <c r="C20" s="247"/>
      <c r="D20" s="229"/>
    </row>
    <row r="21" spans="1:4" x14ac:dyDescent="0.3">
      <c r="A21" s="253" t="s">
        <v>341</v>
      </c>
      <c r="B21" s="310" t="s">
        <v>359</v>
      </c>
      <c r="C21" s="310"/>
      <c r="D21" s="229"/>
    </row>
    <row r="22" spans="1:4" x14ac:dyDescent="0.3">
      <c r="A22" s="253" t="s">
        <v>344</v>
      </c>
      <c r="B22" s="247" t="s">
        <v>360</v>
      </c>
      <c r="C22" s="254" t="s">
        <v>361</v>
      </c>
      <c r="D22" s="229"/>
    </row>
    <row r="23" spans="1:4" x14ac:dyDescent="0.3">
      <c r="A23" s="253" t="s">
        <v>347</v>
      </c>
      <c r="B23" s="255">
        <v>47.7</v>
      </c>
      <c r="C23" s="247"/>
      <c r="D23" s="229"/>
    </row>
    <row r="24" spans="1:4" x14ac:dyDescent="0.3">
      <c r="A24" s="229"/>
      <c r="B24" s="229"/>
      <c r="C24" s="229"/>
      <c r="D24" s="229"/>
    </row>
    <row r="25" spans="1:4" x14ac:dyDescent="0.3">
      <c r="A25" s="307" t="s">
        <v>362</v>
      </c>
      <c r="B25" s="307"/>
      <c r="C25" s="307"/>
      <c r="D25" s="229"/>
    </row>
    <row r="26" spans="1:4" x14ac:dyDescent="0.3">
      <c r="A26" s="250" t="s">
        <v>363</v>
      </c>
      <c r="B26" s="250" t="s">
        <v>364</v>
      </c>
      <c r="C26" s="250"/>
      <c r="D26" s="229"/>
    </row>
    <row r="27" spans="1:4" x14ac:dyDescent="0.3">
      <c r="A27" s="250" t="s">
        <v>353</v>
      </c>
      <c r="B27" s="250" t="s">
        <v>365</v>
      </c>
      <c r="C27" s="250"/>
      <c r="D27" s="229"/>
    </row>
    <row r="28" spans="1:4" x14ac:dyDescent="0.3">
      <c r="A28" s="250" t="s">
        <v>351</v>
      </c>
      <c r="B28" s="250" t="s">
        <v>366</v>
      </c>
      <c r="C28" s="250"/>
      <c r="D28" s="229"/>
    </row>
    <row r="29" spans="1:4" x14ac:dyDescent="0.3">
      <c r="A29" s="250" t="s">
        <v>367</v>
      </c>
      <c r="B29" s="250" t="s">
        <v>368</v>
      </c>
      <c r="C29" s="250"/>
      <c r="D29" s="229"/>
    </row>
    <row r="30" spans="1:4" x14ac:dyDescent="0.3">
      <c r="A30" s="250" t="s">
        <v>369</v>
      </c>
      <c r="B30" s="250" t="s">
        <v>370</v>
      </c>
      <c r="C30" s="250"/>
      <c r="D30" s="229"/>
    </row>
    <row r="31" spans="1:4" x14ac:dyDescent="0.3">
      <c r="A31" s="250" t="s">
        <v>371</v>
      </c>
      <c r="B31" s="305" t="s">
        <v>372</v>
      </c>
      <c r="C31" s="306"/>
      <c r="D31" s="229"/>
    </row>
    <row r="32" spans="1:4" ht="28.8" x14ac:dyDescent="0.3">
      <c r="A32" s="250" t="s">
        <v>344</v>
      </c>
      <c r="B32" s="250" t="s">
        <v>373</v>
      </c>
      <c r="C32" s="249" t="s">
        <v>374</v>
      </c>
      <c r="D32" s="229"/>
    </row>
    <row r="33" spans="1:4" x14ac:dyDescent="0.3">
      <c r="A33" s="250" t="s">
        <v>347</v>
      </c>
      <c r="B33" s="250">
        <v>245.99</v>
      </c>
      <c r="C33" s="250"/>
      <c r="D33" s="229"/>
    </row>
    <row r="34" spans="1:4" x14ac:dyDescent="0.3">
      <c r="A34" s="229"/>
      <c r="B34" s="229"/>
      <c r="C34" s="229"/>
      <c r="D34" s="229"/>
    </row>
    <row r="35" spans="1:4" ht="15" thickBot="1" x14ac:dyDescent="0.35">
      <c r="A35" s="312" t="s">
        <v>375</v>
      </c>
      <c r="B35" s="312"/>
      <c r="C35" s="312"/>
      <c r="D35" s="312"/>
    </row>
    <row r="36" spans="1:4" x14ac:dyDescent="0.3">
      <c r="A36" s="313" t="s">
        <v>376</v>
      </c>
      <c r="B36" s="314"/>
      <c r="C36" s="315" t="s">
        <v>377</v>
      </c>
      <c r="D36" s="316"/>
    </row>
    <row r="37" spans="1:4" x14ac:dyDescent="0.3">
      <c r="A37" s="257" t="s">
        <v>378</v>
      </c>
      <c r="B37" s="258" t="s">
        <v>379</v>
      </c>
      <c r="C37" s="257" t="s">
        <v>396</v>
      </c>
      <c r="D37" s="258" t="s">
        <v>397</v>
      </c>
    </row>
    <row r="38" spans="1:4" x14ac:dyDescent="0.3">
      <c r="A38" s="257" t="s">
        <v>380</v>
      </c>
      <c r="B38" s="258">
        <v>2</v>
      </c>
      <c r="C38" s="257"/>
      <c r="D38" s="258"/>
    </row>
    <row r="39" spans="1:4" x14ac:dyDescent="0.3">
      <c r="A39" s="257" t="s">
        <v>381</v>
      </c>
      <c r="B39" s="258" t="s">
        <v>382</v>
      </c>
      <c r="C39" s="257"/>
      <c r="D39" s="258"/>
    </row>
    <row r="40" spans="1:4" x14ac:dyDescent="0.3">
      <c r="A40" s="257" t="s">
        <v>415</v>
      </c>
      <c r="B40" s="266" t="s">
        <v>416</v>
      </c>
      <c r="C40" s="257"/>
      <c r="D40" s="258"/>
    </row>
    <row r="41" spans="1:4" x14ac:dyDescent="0.3">
      <c r="A41" s="257"/>
      <c r="B41" s="258"/>
      <c r="C41" s="257"/>
      <c r="D41" s="258"/>
    </row>
    <row r="42" spans="1:4" ht="15" thickBot="1" x14ac:dyDescent="0.35">
      <c r="A42" s="259"/>
      <c r="B42" s="260"/>
      <c r="C42" s="259"/>
      <c r="D42" s="260"/>
    </row>
    <row r="43" spans="1:4" x14ac:dyDescent="0.3">
      <c r="A43" s="317" t="s">
        <v>341</v>
      </c>
      <c r="B43" s="318"/>
      <c r="C43" s="318"/>
      <c r="D43" s="319"/>
    </row>
    <row r="44" spans="1:4" x14ac:dyDescent="0.3">
      <c r="A44" s="257" t="s">
        <v>383</v>
      </c>
      <c r="B44" s="256" t="s">
        <v>384</v>
      </c>
      <c r="C44" s="256" t="s">
        <v>391</v>
      </c>
      <c r="D44" s="258" t="s">
        <v>392</v>
      </c>
    </row>
    <row r="45" spans="1:4" x14ac:dyDescent="0.3">
      <c r="A45" s="257" t="s">
        <v>385</v>
      </c>
      <c r="B45" s="256" t="s">
        <v>386</v>
      </c>
      <c r="C45" s="256" t="s">
        <v>393</v>
      </c>
      <c r="D45" s="258" t="s">
        <v>394</v>
      </c>
    </row>
    <row r="46" spans="1:4" x14ac:dyDescent="0.3">
      <c r="A46" s="257" t="s">
        <v>387</v>
      </c>
      <c r="B46" s="256" t="s">
        <v>388</v>
      </c>
      <c r="C46" s="256" t="s">
        <v>395</v>
      </c>
      <c r="D46" s="258" t="s">
        <v>394</v>
      </c>
    </row>
    <row r="47" spans="1:4" s="231" customFormat="1" x14ac:dyDescent="0.3">
      <c r="A47" s="257" t="s">
        <v>389</v>
      </c>
      <c r="B47" s="256" t="s">
        <v>390</v>
      </c>
      <c r="C47" s="256" t="s">
        <v>398</v>
      </c>
      <c r="D47" s="258" t="s">
        <v>399</v>
      </c>
    </row>
    <row r="48" spans="1:4" ht="15" thickBot="1" x14ac:dyDescent="0.35">
      <c r="A48" s="261"/>
      <c r="B48" s="262"/>
      <c r="C48" s="262" t="s">
        <v>400</v>
      </c>
      <c r="D48" s="263" t="s">
        <v>401</v>
      </c>
    </row>
    <row r="49" spans="1:4" s="231" customFormat="1" x14ac:dyDescent="0.3">
      <c r="A49" s="267" t="s">
        <v>428</v>
      </c>
      <c r="B49" s="268" t="s">
        <v>427</v>
      </c>
      <c r="C49" s="268"/>
      <c r="D49" s="269"/>
    </row>
    <row r="50" spans="1:4" s="231" customFormat="1" x14ac:dyDescent="0.3">
      <c r="A50" s="257" t="s">
        <v>429</v>
      </c>
      <c r="B50" s="270" t="s">
        <v>430</v>
      </c>
      <c r="C50" s="270"/>
      <c r="D50" s="266"/>
    </row>
    <row r="51" spans="1:4" s="231" customFormat="1" x14ac:dyDescent="0.3">
      <c r="A51" s="257" t="s">
        <v>431</v>
      </c>
      <c r="B51" s="323" t="s">
        <v>432</v>
      </c>
      <c r="C51" s="324"/>
      <c r="D51" s="325"/>
    </row>
    <row r="52" spans="1:4" s="231" customFormat="1" x14ac:dyDescent="0.3">
      <c r="A52" s="257" t="s">
        <v>434</v>
      </c>
      <c r="B52" s="323" t="s">
        <v>433</v>
      </c>
      <c r="C52" s="324"/>
      <c r="D52" s="325"/>
    </row>
    <row r="53" spans="1:4" s="231" customFormat="1" ht="15" thickBot="1" x14ac:dyDescent="0.35">
      <c r="A53" s="259"/>
      <c r="B53" s="326"/>
      <c r="C53" s="327"/>
      <c r="D53" s="328"/>
    </row>
    <row r="54" spans="1:4" x14ac:dyDescent="0.3">
      <c r="A54" s="229"/>
      <c r="B54" s="229"/>
      <c r="C54" s="229"/>
      <c r="D54" s="229"/>
    </row>
    <row r="55" spans="1:4" x14ac:dyDescent="0.3">
      <c r="A55" s="311" t="s">
        <v>402</v>
      </c>
      <c r="B55" s="311"/>
      <c r="C55" s="311"/>
      <c r="D55" s="229"/>
    </row>
    <row r="56" spans="1:4" x14ac:dyDescent="0.3">
      <c r="A56" s="264" t="s">
        <v>403</v>
      </c>
      <c r="B56" s="264" t="s">
        <v>404</v>
      </c>
      <c r="C56" s="264"/>
      <c r="D56" s="229"/>
    </row>
    <row r="57" spans="1:4" x14ac:dyDescent="0.3">
      <c r="A57" s="264" t="s">
        <v>405</v>
      </c>
      <c r="B57" s="264" t="s">
        <v>406</v>
      </c>
      <c r="C57" s="264"/>
      <c r="D57" s="229"/>
    </row>
    <row r="58" spans="1:4" x14ac:dyDescent="0.3">
      <c r="A58" s="264" t="s">
        <v>363</v>
      </c>
      <c r="B58" s="264" t="s">
        <v>407</v>
      </c>
      <c r="C58" s="264"/>
      <c r="D58" s="229"/>
    </row>
    <row r="59" spans="1:4" x14ac:dyDescent="0.3">
      <c r="A59" s="264" t="s">
        <v>408</v>
      </c>
      <c r="B59" s="264">
        <v>1.2</v>
      </c>
      <c r="C59" s="264"/>
      <c r="D59" s="229"/>
    </row>
    <row r="60" spans="1:4" x14ac:dyDescent="0.3">
      <c r="A60" s="264" t="s">
        <v>409</v>
      </c>
      <c r="B60" s="264" t="s">
        <v>410</v>
      </c>
      <c r="C60" s="264"/>
      <c r="D60" s="229"/>
    </row>
    <row r="61" spans="1:4" s="231" customFormat="1" x14ac:dyDescent="0.3">
      <c r="A61" s="264"/>
      <c r="B61" s="264"/>
      <c r="C61" s="264"/>
      <c r="D61" s="229"/>
    </row>
    <row r="62" spans="1:4" x14ac:dyDescent="0.3">
      <c r="A62" s="264" t="s">
        <v>411</v>
      </c>
      <c r="B62" s="265" t="s">
        <v>412</v>
      </c>
      <c r="C62" s="264"/>
      <c r="D62" s="229"/>
    </row>
    <row r="63" spans="1:4" x14ac:dyDescent="0.3">
      <c r="A63" s="264" t="s">
        <v>398</v>
      </c>
      <c r="B63" s="264" t="s">
        <v>417</v>
      </c>
      <c r="C63" s="264"/>
      <c r="D63" s="229"/>
    </row>
    <row r="64" spans="1:4" x14ac:dyDescent="0.3">
      <c r="A64" s="264" t="s">
        <v>413</v>
      </c>
      <c r="B64" s="264" t="s">
        <v>414</v>
      </c>
      <c r="C64" s="264"/>
      <c r="D64" s="229"/>
    </row>
    <row r="65" spans="1:4" x14ac:dyDescent="0.3">
      <c r="A65" s="229"/>
      <c r="B65" s="229"/>
      <c r="C65" s="229"/>
      <c r="D65" s="229"/>
    </row>
    <row r="66" spans="1:4" x14ac:dyDescent="0.3">
      <c r="A66" s="311" t="s">
        <v>418</v>
      </c>
      <c r="B66" s="311"/>
      <c r="C66" s="311"/>
      <c r="D66" s="229"/>
    </row>
    <row r="67" spans="1:4" x14ac:dyDescent="0.3">
      <c r="A67" s="264" t="s">
        <v>403</v>
      </c>
      <c r="B67" s="264" t="s">
        <v>419</v>
      </c>
      <c r="C67" s="264"/>
      <c r="D67" s="229"/>
    </row>
    <row r="68" spans="1:4" x14ac:dyDescent="0.3">
      <c r="A68" s="264" t="s">
        <v>405</v>
      </c>
      <c r="B68" s="264" t="s">
        <v>421</v>
      </c>
      <c r="C68" s="320" t="s">
        <v>420</v>
      </c>
      <c r="D68" s="229"/>
    </row>
    <row r="69" spans="1:4" x14ac:dyDescent="0.3">
      <c r="A69" s="264" t="s">
        <v>363</v>
      </c>
      <c r="B69" s="264" t="s">
        <v>422</v>
      </c>
      <c r="C69" s="321"/>
      <c r="D69" s="229"/>
    </row>
    <row r="70" spans="1:4" x14ac:dyDescent="0.3">
      <c r="A70" s="264" t="s">
        <v>408</v>
      </c>
      <c r="B70" s="264">
        <v>1.1499999999999999</v>
      </c>
      <c r="C70" s="321"/>
      <c r="D70" s="229"/>
    </row>
    <row r="71" spans="1:4" x14ac:dyDescent="0.3">
      <c r="A71" s="264" t="s">
        <v>409</v>
      </c>
      <c r="B71" s="264" t="s">
        <v>423</v>
      </c>
      <c r="C71" s="321"/>
      <c r="D71" s="229"/>
    </row>
    <row r="72" spans="1:4" x14ac:dyDescent="0.3">
      <c r="A72" s="264" t="s">
        <v>424</v>
      </c>
      <c r="B72" s="264" t="s">
        <v>423</v>
      </c>
      <c r="C72" s="321"/>
      <c r="D72" s="229"/>
    </row>
    <row r="73" spans="1:4" x14ac:dyDescent="0.3">
      <c r="A73" s="264" t="s">
        <v>411</v>
      </c>
      <c r="B73" s="265" t="s">
        <v>412</v>
      </c>
      <c r="C73" s="321"/>
      <c r="D73" s="229"/>
    </row>
    <row r="74" spans="1:4" x14ac:dyDescent="0.3">
      <c r="A74" s="264" t="s">
        <v>398</v>
      </c>
      <c r="B74" s="264" t="s">
        <v>425</v>
      </c>
      <c r="C74" s="322"/>
      <c r="D74" s="229"/>
    </row>
    <row r="75" spans="1:4" x14ac:dyDescent="0.3">
      <c r="A75" s="264" t="s">
        <v>413</v>
      </c>
      <c r="B75" s="264" t="s">
        <v>426</v>
      </c>
      <c r="C75" s="264"/>
      <c r="D75" s="229"/>
    </row>
    <row r="76" spans="1:4" x14ac:dyDescent="0.3">
      <c r="A76" s="229"/>
      <c r="B76" s="229"/>
      <c r="C76" s="229"/>
      <c r="D76" s="229"/>
    </row>
    <row r="77" spans="1:4" x14ac:dyDescent="0.3">
      <c r="A77" s="311" t="s">
        <v>458</v>
      </c>
      <c r="B77" s="311"/>
      <c r="C77" s="311"/>
      <c r="D77" s="229"/>
    </row>
    <row r="78" spans="1:4" x14ac:dyDescent="0.3">
      <c r="A78" s="264" t="s">
        <v>238</v>
      </c>
      <c r="B78" s="264" t="s">
        <v>456</v>
      </c>
      <c r="C78" s="264" t="s">
        <v>12</v>
      </c>
      <c r="D78" s="289" t="s">
        <v>459</v>
      </c>
    </row>
    <row r="79" spans="1:4" x14ac:dyDescent="0.3">
      <c r="A79" s="264" t="s">
        <v>74</v>
      </c>
      <c r="B79" s="264">
        <v>24</v>
      </c>
      <c r="C79" s="264" t="s">
        <v>38</v>
      </c>
      <c r="D79" s="229"/>
    </row>
    <row r="80" spans="1:4" x14ac:dyDescent="0.3">
      <c r="A80" s="264" t="s">
        <v>455</v>
      </c>
      <c r="B80" s="264">
        <v>0.8</v>
      </c>
      <c r="C80" s="264" t="s">
        <v>38</v>
      </c>
      <c r="D80" s="229"/>
    </row>
    <row r="81" spans="1:4" x14ac:dyDescent="0.3">
      <c r="A81" s="264" t="s">
        <v>457</v>
      </c>
      <c r="B81" s="264">
        <v>1.5</v>
      </c>
      <c r="C81" s="264" t="s">
        <v>38</v>
      </c>
      <c r="D81" s="229"/>
    </row>
    <row r="82" spans="1:4" x14ac:dyDescent="0.3">
      <c r="A82" s="264" t="s">
        <v>460</v>
      </c>
      <c r="B82" s="264">
        <v>23</v>
      </c>
      <c r="C82" s="264" t="s">
        <v>46</v>
      </c>
      <c r="D82" s="229"/>
    </row>
    <row r="83" spans="1:4" x14ac:dyDescent="0.3">
      <c r="A83" s="264" t="s">
        <v>461</v>
      </c>
      <c r="B83" s="264">
        <v>36</v>
      </c>
      <c r="C83" s="264" t="s">
        <v>46</v>
      </c>
      <c r="D83" s="229"/>
    </row>
    <row r="84" spans="1:4" x14ac:dyDescent="0.3">
      <c r="A84" s="229"/>
      <c r="B84" s="229"/>
      <c r="C84" s="229"/>
      <c r="D84" s="229"/>
    </row>
    <row r="85" spans="1:4" x14ac:dyDescent="0.3">
      <c r="A85" s="311" t="s">
        <v>462</v>
      </c>
      <c r="B85" s="311"/>
      <c r="C85" s="311"/>
      <c r="D85" s="229"/>
    </row>
    <row r="86" spans="1:4" x14ac:dyDescent="0.3">
      <c r="A86" s="264" t="s">
        <v>238</v>
      </c>
      <c r="B86" s="264" t="s">
        <v>463</v>
      </c>
      <c r="C86" s="264" t="s">
        <v>12</v>
      </c>
      <c r="D86" s="289" t="s">
        <v>468</v>
      </c>
    </row>
    <row r="87" spans="1:4" x14ac:dyDescent="0.3">
      <c r="A87" s="264" t="s">
        <v>74</v>
      </c>
      <c r="B87" s="264">
        <v>26</v>
      </c>
      <c r="C87" s="264" t="s">
        <v>38</v>
      </c>
      <c r="D87" s="229"/>
    </row>
    <row r="88" spans="1:4" x14ac:dyDescent="0.3">
      <c r="A88" s="264" t="s">
        <v>455</v>
      </c>
      <c r="B88" s="264" t="s">
        <v>464</v>
      </c>
      <c r="C88" s="264"/>
      <c r="D88" s="229"/>
    </row>
    <row r="89" spans="1:4" x14ac:dyDescent="0.3">
      <c r="A89" s="264" t="s">
        <v>465</v>
      </c>
      <c r="B89" s="264">
        <v>36</v>
      </c>
      <c r="C89" s="264" t="s">
        <v>46</v>
      </c>
      <c r="D89" s="229"/>
    </row>
    <row r="90" spans="1:4" x14ac:dyDescent="0.3">
      <c r="A90" s="264" t="s">
        <v>466</v>
      </c>
      <c r="B90" s="264">
        <v>33</v>
      </c>
      <c r="C90" s="264" t="s">
        <v>46</v>
      </c>
      <c r="D90" s="229"/>
    </row>
    <row r="91" spans="1:4" x14ac:dyDescent="0.3">
      <c r="A91" s="264" t="s">
        <v>457</v>
      </c>
      <c r="B91" s="264">
        <v>1.7</v>
      </c>
      <c r="C91" s="264" t="s">
        <v>467</v>
      </c>
      <c r="D91" s="229"/>
    </row>
  </sheetData>
  <mergeCells count="18">
    <mergeCell ref="A85:C85"/>
    <mergeCell ref="A35:D35"/>
    <mergeCell ref="A36:B36"/>
    <mergeCell ref="C36:D36"/>
    <mergeCell ref="A43:D43"/>
    <mergeCell ref="A55:C55"/>
    <mergeCell ref="A66:C66"/>
    <mergeCell ref="C68:C74"/>
    <mergeCell ref="B51:D51"/>
    <mergeCell ref="B52:D52"/>
    <mergeCell ref="B53:D53"/>
    <mergeCell ref="A77:C77"/>
    <mergeCell ref="B31:C31"/>
    <mergeCell ref="A1:C1"/>
    <mergeCell ref="B10:C10"/>
    <mergeCell ref="A14:C14"/>
    <mergeCell ref="B21:C21"/>
    <mergeCell ref="A25:C25"/>
  </mergeCells>
  <hyperlinks>
    <hyperlink ref="C22" r:id="rId1" xr:uid="{925E4311-2CEB-4202-AEAE-8AA54933D18F}"/>
    <hyperlink ref="D78" r:id="rId2" xr:uid="{3D83A1EC-78F0-4F30-BD8B-E999C01F3ECF}"/>
    <hyperlink ref="D86" r:id="rId3" xr:uid="{4BE79D7D-C931-4C0E-A3F0-15F476AC2DEB}"/>
  </hyperlinks>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68"/>
  <sheetViews>
    <sheetView topLeftCell="E1" zoomScale="115" zoomScaleNormal="115" workbookViewId="0">
      <selection activeCell="T16" sqref="T16"/>
    </sheetView>
  </sheetViews>
  <sheetFormatPr defaultColWidth="0" defaultRowHeight="14.7" customHeight="1" zeroHeight="1" x14ac:dyDescent="0.3"/>
  <cols>
    <col min="1" max="17" width="3.33203125" customWidth="1"/>
    <col min="18" max="21" width="10.44140625" customWidth="1"/>
    <col min="22" max="26" width="8.6640625" customWidth="1"/>
    <col min="27" max="43" width="3.33203125" customWidth="1"/>
    <col min="44" max="16384" width="8.6640625" hidden="1"/>
  </cols>
  <sheetData>
    <row r="1" spans="1:43" s="1" customFormat="1" ht="14.7" customHeight="1" thickBot="1" x14ac:dyDescent="0.35">
      <c r="U1" s="2"/>
    </row>
    <row r="2" spans="1:43" s="1" customFormat="1" ht="14.7" customHeight="1" thickBot="1" x14ac:dyDescent="0.35">
      <c r="A2" s="7"/>
      <c r="B2" s="7"/>
      <c r="C2" s="7"/>
      <c r="D2" s="7"/>
      <c r="E2" s="7"/>
      <c r="F2" s="7"/>
      <c r="G2" s="7"/>
      <c r="H2" s="7"/>
      <c r="I2" s="7"/>
      <c r="J2" s="7"/>
      <c r="K2" s="7"/>
      <c r="L2" s="7"/>
      <c r="M2" s="7"/>
      <c r="N2" s="7"/>
      <c r="O2" s="7"/>
      <c r="P2" s="7"/>
      <c r="Q2" s="7"/>
      <c r="R2" s="290" t="s">
        <v>0</v>
      </c>
      <c r="S2" s="291"/>
      <c r="T2" s="291"/>
      <c r="U2" s="291"/>
      <c r="V2" s="291"/>
      <c r="W2" s="291"/>
      <c r="X2" s="291"/>
      <c r="Y2" s="291"/>
      <c r="Z2" s="292"/>
      <c r="AA2" s="7"/>
      <c r="AB2" s="7"/>
      <c r="AC2" s="7"/>
      <c r="AD2" s="7"/>
      <c r="AE2" s="7"/>
      <c r="AF2" s="7"/>
      <c r="AG2" s="7"/>
      <c r="AH2" s="7"/>
      <c r="AI2" s="7"/>
      <c r="AJ2" s="7"/>
      <c r="AK2" s="7"/>
      <c r="AL2" s="7"/>
      <c r="AM2" s="7"/>
      <c r="AN2" s="7"/>
      <c r="AO2" s="7"/>
      <c r="AP2" s="7"/>
      <c r="AQ2" s="7"/>
    </row>
    <row r="3" spans="1:43" ht="15" thickBot="1"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31"/>
      <c r="Q6" s="32"/>
      <c r="R6" s="293" t="s">
        <v>40</v>
      </c>
      <c r="S6" s="294"/>
      <c r="T6" s="294"/>
      <c r="U6" s="294"/>
      <c r="V6" s="294"/>
      <c r="W6" s="294"/>
      <c r="X6" s="294"/>
      <c r="Y6" s="294"/>
      <c r="Z6" s="295"/>
      <c r="AA6" s="32"/>
      <c r="AB6" s="33"/>
      <c r="AC6" s="30"/>
      <c r="AD6" s="7"/>
      <c r="AE6" s="7"/>
      <c r="AF6" s="7"/>
      <c r="AG6" s="7"/>
      <c r="AH6" s="7"/>
      <c r="AI6" s="7"/>
      <c r="AJ6" s="7"/>
      <c r="AK6" s="7"/>
      <c r="AL6" s="7"/>
      <c r="AM6" s="7"/>
      <c r="AN6" s="7"/>
      <c r="AO6" s="7"/>
      <c r="AP6" s="7"/>
      <c r="AQ6" s="7"/>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30"/>
      <c r="AD7" s="7"/>
      <c r="AE7" s="7"/>
      <c r="AF7" s="7"/>
      <c r="AG7" s="7"/>
      <c r="AH7" s="7"/>
      <c r="AI7" s="7"/>
      <c r="AJ7" s="7"/>
      <c r="AK7" s="7"/>
      <c r="AL7" s="7"/>
      <c r="AM7" s="7"/>
      <c r="AN7" s="7"/>
      <c r="AO7" s="7"/>
      <c r="AP7" s="7"/>
      <c r="AQ7" s="7"/>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30"/>
      <c r="AD8" s="7"/>
      <c r="AE8" s="7"/>
      <c r="AF8" s="7"/>
      <c r="AG8" s="7"/>
      <c r="AH8" s="7"/>
      <c r="AI8" s="7"/>
      <c r="AJ8" s="7"/>
      <c r="AK8" s="7"/>
      <c r="AL8" s="7"/>
      <c r="AM8" s="7"/>
      <c r="AN8" s="7"/>
      <c r="AO8" s="7"/>
      <c r="AP8" s="7"/>
      <c r="AQ8" s="7"/>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30"/>
      <c r="AD9" s="7"/>
      <c r="AE9" s="7"/>
      <c r="AF9" s="7"/>
      <c r="AG9" s="7"/>
      <c r="AH9" s="7"/>
      <c r="AI9" s="7"/>
      <c r="AJ9" s="7"/>
      <c r="AK9" s="7"/>
      <c r="AL9" s="7"/>
      <c r="AM9" s="7"/>
      <c r="AN9" s="7"/>
      <c r="AO9" s="7"/>
      <c r="AP9" s="7"/>
      <c r="AQ9" s="7"/>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30"/>
      <c r="AD10" s="7"/>
      <c r="AE10" s="7"/>
      <c r="AF10" s="7"/>
      <c r="AG10" s="7"/>
      <c r="AH10" s="7"/>
      <c r="AI10" s="7"/>
      <c r="AJ10" s="7"/>
      <c r="AK10" s="7"/>
      <c r="AL10" s="7"/>
      <c r="AM10" s="7"/>
      <c r="AN10" s="7"/>
      <c r="AO10" s="7"/>
      <c r="AP10" s="7"/>
      <c r="AQ10" s="7"/>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30"/>
      <c r="AD11" s="7"/>
      <c r="AE11" s="7"/>
      <c r="AF11" s="7"/>
      <c r="AG11" s="7"/>
      <c r="AH11" s="7"/>
      <c r="AI11" s="7"/>
      <c r="AJ11" s="7"/>
      <c r="AK11" s="7"/>
      <c r="AL11" s="7"/>
      <c r="AM11" s="7"/>
      <c r="AN11" s="7"/>
      <c r="AO11" s="7"/>
      <c r="AP11" s="7"/>
      <c r="AQ11" s="7"/>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30"/>
      <c r="AD12" s="7"/>
      <c r="AE12" s="7"/>
      <c r="AF12" s="7"/>
      <c r="AG12" s="7"/>
      <c r="AH12" s="7"/>
      <c r="AI12" s="7"/>
      <c r="AJ12" s="7"/>
      <c r="AK12" s="7"/>
      <c r="AL12" s="7"/>
      <c r="AM12" s="7"/>
      <c r="AN12" s="7"/>
      <c r="AO12" s="7"/>
      <c r="AP12" s="7"/>
      <c r="AQ12" s="7"/>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30"/>
      <c r="AD13" s="7"/>
      <c r="AE13" s="7"/>
      <c r="AF13" s="7"/>
      <c r="AG13" s="7"/>
      <c r="AH13" s="7"/>
      <c r="AI13" s="7"/>
      <c r="AJ13" s="7"/>
      <c r="AK13" s="7"/>
      <c r="AL13" s="7"/>
      <c r="AM13" s="7"/>
      <c r="AN13" s="7"/>
      <c r="AO13" s="7"/>
      <c r="AP13" s="7"/>
      <c r="AQ13" s="7"/>
    </row>
    <row r="14" spans="1:43" ht="14.4" x14ac:dyDescent="0.3">
      <c r="A14" s="1"/>
      <c r="B14" s="1"/>
      <c r="C14" s="1"/>
      <c r="D14" s="1"/>
      <c r="E14" s="1"/>
      <c r="F14" s="1"/>
      <c r="G14" s="1"/>
      <c r="H14" s="1"/>
      <c r="I14" s="1"/>
      <c r="J14" s="1"/>
      <c r="K14" s="1"/>
      <c r="L14" s="1"/>
      <c r="M14" s="1"/>
      <c r="N14" s="1"/>
      <c r="O14" s="1"/>
      <c r="P14" s="31"/>
      <c r="Q14" s="32"/>
      <c r="R14" s="331" t="s">
        <v>41</v>
      </c>
      <c r="S14" s="331"/>
      <c r="T14" s="331"/>
      <c r="U14" s="131"/>
      <c r="V14" s="32"/>
      <c r="W14" s="32"/>
      <c r="X14" s="32"/>
      <c r="Y14" s="32"/>
      <c r="Z14" s="32"/>
      <c r="AA14" s="32"/>
      <c r="AB14" s="33"/>
      <c r="AC14" s="30"/>
      <c r="AD14" s="7"/>
      <c r="AE14" s="7"/>
      <c r="AF14" s="7"/>
      <c r="AG14" s="7"/>
      <c r="AH14" s="7"/>
      <c r="AI14" s="7"/>
      <c r="AJ14" s="7"/>
      <c r="AK14" s="7"/>
      <c r="AL14" s="7"/>
      <c r="AM14" s="7"/>
      <c r="AN14" s="7"/>
      <c r="AO14" s="7"/>
      <c r="AP14" s="7"/>
      <c r="AQ14" s="7"/>
    </row>
    <row r="15" spans="1:43" ht="14.4" x14ac:dyDescent="0.3">
      <c r="A15" s="1"/>
      <c r="B15" s="1"/>
      <c r="C15" s="1"/>
      <c r="D15" s="1"/>
      <c r="E15" s="1"/>
      <c r="F15" s="1"/>
      <c r="G15" s="1"/>
      <c r="H15" s="1"/>
      <c r="I15" s="1"/>
      <c r="J15" s="1"/>
      <c r="K15" s="1"/>
      <c r="L15" s="1"/>
      <c r="M15" s="1"/>
      <c r="N15" s="1"/>
      <c r="O15" s="1"/>
      <c r="P15" s="31"/>
      <c r="Q15" s="32"/>
      <c r="R15" s="332" t="s">
        <v>42</v>
      </c>
      <c r="S15" s="332"/>
      <c r="T15" s="130">
        <v>1</v>
      </c>
      <c r="U15" s="32" t="s">
        <v>43</v>
      </c>
      <c r="V15" s="32"/>
      <c r="W15" s="32"/>
      <c r="X15" s="32"/>
      <c r="Y15" s="32"/>
      <c r="Z15" s="32"/>
      <c r="AA15" s="32"/>
      <c r="AB15" s="33"/>
      <c r="AC15" s="30"/>
      <c r="AD15" s="7"/>
      <c r="AE15" s="7"/>
      <c r="AF15" s="7"/>
      <c r="AG15" s="7"/>
      <c r="AH15" s="7"/>
      <c r="AI15" s="7"/>
      <c r="AJ15" s="7"/>
      <c r="AK15" s="7"/>
      <c r="AL15" s="7"/>
      <c r="AM15" s="7"/>
      <c r="AN15" s="7"/>
      <c r="AO15" s="7"/>
      <c r="AP15" s="7"/>
      <c r="AQ15" s="7"/>
    </row>
    <row r="16" spans="1:43" ht="14.4" x14ac:dyDescent="0.3">
      <c r="A16" s="1"/>
      <c r="B16" s="1"/>
      <c r="C16" s="1"/>
      <c r="D16" s="1"/>
      <c r="E16" s="1"/>
      <c r="F16" s="1"/>
      <c r="G16" s="1"/>
      <c r="H16" s="1"/>
      <c r="I16" s="1"/>
      <c r="J16" s="1"/>
      <c r="K16" s="1"/>
      <c r="L16" s="1"/>
      <c r="M16" s="1"/>
      <c r="N16" s="1"/>
      <c r="O16" s="1"/>
      <c r="P16" s="31"/>
      <c r="Q16" s="32"/>
      <c r="R16" s="332"/>
      <c r="S16" s="332"/>
      <c r="T16" s="204">
        <f>10*LOG10(T15)</f>
        <v>0</v>
      </c>
      <c r="U16" s="32" t="s">
        <v>44</v>
      </c>
      <c r="V16" s="32"/>
      <c r="W16" s="331" t="s">
        <v>45</v>
      </c>
      <c r="X16" s="331"/>
      <c r="Y16" s="331"/>
      <c r="Z16" s="131"/>
      <c r="AA16" s="32"/>
      <c r="AB16" s="33"/>
      <c r="AC16" s="30"/>
      <c r="AD16" s="7"/>
      <c r="AE16" s="7"/>
      <c r="AF16" s="7"/>
      <c r="AG16" s="7"/>
      <c r="AH16" s="7"/>
      <c r="AI16" s="7"/>
      <c r="AJ16" s="7"/>
      <c r="AK16" s="7"/>
      <c r="AL16" s="7"/>
      <c r="AM16" s="7"/>
      <c r="AN16" s="7"/>
      <c r="AO16" s="7"/>
      <c r="AP16" s="7"/>
      <c r="AQ16" s="7"/>
    </row>
    <row r="17" spans="1:43" ht="14.4" x14ac:dyDescent="0.3">
      <c r="A17" s="1"/>
      <c r="B17" s="1"/>
      <c r="C17" s="1"/>
      <c r="D17" s="1"/>
      <c r="E17" s="1"/>
      <c r="F17" s="1"/>
      <c r="G17" s="1"/>
      <c r="H17" s="1"/>
      <c r="I17" s="1"/>
      <c r="J17" s="1"/>
      <c r="K17" s="1"/>
      <c r="L17" s="1"/>
      <c r="M17" s="1"/>
      <c r="N17" s="1"/>
      <c r="O17" s="1"/>
      <c r="P17" s="31"/>
      <c r="Q17" s="32"/>
      <c r="R17" s="332"/>
      <c r="S17" s="332"/>
      <c r="T17" s="204">
        <f>T16+30</f>
        <v>30</v>
      </c>
      <c r="U17" s="32" t="s">
        <v>46</v>
      </c>
      <c r="V17" s="32"/>
      <c r="W17" s="329" t="s">
        <v>47</v>
      </c>
      <c r="X17" s="330"/>
      <c r="Y17" s="203">
        <v>2</v>
      </c>
      <c r="Z17" s="32" t="s">
        <v>32</v>
      </c>
      <c r="AA17" s="32"/>
      <c r="AB17" s="33"/>
      <c r="AC17" s="30"/>
      <c r="AD17" s="7"/>
      <c r="AE17" s="7"/>
      <c r="AF17" s="7"/>
      <c r="AG17" s="7"/>
      <c r="AH17" s="7"/>
      <c r="AI17" s="7"/>
      <c r="AJ17" s="7"/>
      <c r="AK17" s="7"/>
      <c r="AL17" s="7"/>
      <c r="AM17" s="7"/>
      <c r="AN17" s="7"/>
      <c r="AO17" s="7"/>
      <c r="AP17" s="7"/>
      <c r="AQ17" s="7"/>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329" t="s">
        <v>48</v>
      </c>
      <c r="X18" s="330"/>
      <c r="Y18" s="203">
        <v>0.5</v>
      </c>
      <c r="Z18" s="32" t="s">
        <v>32</v>
      </c>
      <c r="AA18" s="32"/>
      <c r="AB18" s="33"/>
      <c r="AC18" s="30"/>
      <c r="AD18" s="7"/>
      <c r="AE18" s="7"/>
      <c r="AF18" s="7"/>
      <c r="AG18" s="7"/>
      <c r="AH18" s="7"/>
      <c r="AI18" s="7"/>
      <c r="AJ18" s="7"/>
      <c r="AK18" s="7"/>
      <c r="AL18" s="7"/>
      <c r="AM18" s="7"/>
      <c r="AN18" s="7"/>
      <c r="AO18" s="7"/>
      <c r="AP18" s="7"/>
      <c r="AQ18" s="7"/>
    </row>
    <row r="19" spans="1:43" ht="14.4" x14ac:dyDescent="0.3">
      <c r="A19" s="1"/>
      <c r="B19" s="1"/>
      <c r="C19" s="1"/>
      <c r="D19" s="1"/>
      <c r="E19" s="1"/>
      <c r="F19" s="1"/>
      <c r="G19" s="1"/>
      <c r="H19" s="1"/>
      <c r="I19" s="1"/>
      <c r="J19" s="1"/>
      <c r="K19" s="1"/>
      <c r="L19" s="1"/>
      <c r="M19" s="1"/>
      <c r="N19" s="1"/>
      <c r="O19" s="1"/>
      <c r="P19" s="31"/>
      <c r="Q19" s="32"/>
      <c r="R19" s="331" t="s">
        <v>49</v>
      </c>
      <c r="S19" s="331"/>
      <c r="T19" s="331"/>
      <c r="U19" s="131"/>
      <c r="V19" s="32"/>
      <c r="W19" s="329" t="s">
        <v>50</v>
      </c>
      <c r="X19" s="330"/>
      <c r="Y19" s="203">
        <v>2</v>
      </c>
      <c r="Z19" s="32" t="s">
        <v>32</v>
      </c>
      <c r="AA19" s="32"/>
      <c r="AB19" s="33"/>
      <c r="AC19" s="30"/>
      <c r="AD19" s="7"/>
      <c r="AE19" s="7"/>
      <c r="AF19" s="7"/>
      <c r="AG19" s="7"/>
      <c r="AH19" s="7"/>
      <c r="AI19" s="7"/>
      <c r="AJ19" s="7"/>
      <c r="AK19" s="7"/>
      <c r="AL19" s="7"/>
      <c r="AM19" s="7"/>
      <c r="AN19" s="7"/>
      <c r="AO19" s="7"/>
      <c r="AP19" s="7"/>
      <c r="AQ19" s="7"/>
    </row>
    <row r="20" spans="1:43" ht="14.4" x14ac:dyDescent="0.3">
      <c r="A20" s="1"/>
      <c r="B20" s="1"/>
      <c r="C20" s="1"/>
      <c r="D20" s="1"/>
      <c r="E20" s="1"/>
      <c r="F20" s="1"/>
      <c r="G20" s="1"/>
      <c r="H20" s="1"/>
      <c r="I20" s="1"/>
      <c r="J20" s="1"/>
      <c r="K20" s="1"/>
      <c r="L20" s="1"/>
      <c r="M20" s="1"/>
      <c r="N20" s="1"/>
      <c r="O20" s="1"/>
      <c r="P20" s="31"/>
      <c r="Q20" s="32"/>
      <c r="R20" s="329" t="s">
        <v>51</v>
      </c>
      <c r="S20" s="330"/>
      <c r="T20" s="203">
        <v>8.9099999999999999E-2</v>
      </c>
      <c r="U20" s="32" t="s">
        <v>52</v>
      </c>
      <c r="V20" s="32"/>
      <c r="W20" s="329" t="s">
        <v>53</v>
      </c>
      <c r="X20" s="330"/>
      <c r="Y20" s="204">
        <f>SUM(Y17:Y19)</f>
        <v>4.5</v>
      </c>
      <c r="Z20" s="32" t="s">
        <v>32</v>
      </c>
      <c r="AA20" s="32"/>
      <c r="AB20" s="33"/>
      <c r="AC20" s="30"/>
      <c r="AD20" s="7"/>
      <c r="AE20" s="7"/>
      <c r="AF20" s="7"/>
      <c r="AG20" s="7"/>
      <c r="AH20" s="7"/>
      <c r="AI20" s="7"/>
      <c r="AJ20" s="7"/>
      <c r="AK20" s="7"/>
      <c r="AL20" s="7"/>
      <c r="AM20" s="7"/>
      <c r="AN20" s="7"/>
      <c r="AO20" s="7"/>
      <c r="AP20" s="7"/>
      <c r="AQ20" s="7"/>
    </row>
    <row r="21" spans="1:43" ht="14.4" x14ac:dyDescent="0.3">
      <c r="A21" s="1"/>
      <c r="B21" s="1"/>
      <c r="C21" s="1"/>
      <c r="D21" s="1"/>
      <c r="E21" s="1"/>
      <c r="F21" s="1"/>
      <c r="G21" s="1"/>
      <c r="H21" s="1"/>
      <c r="I21" s="1"/>
      <c r="J21" s="1"/>
      <c r="K21" s="1"/>
      <c r="L21" s="1"/>
      <c r="M21" s="1"/>
      <c r="N21" s="1"/>
      <c r="O21" s="1"/>
      <c r="P21" s="31"/>
      <c r="Q21" s="32"/>
      <c r="R21" s="329" t="s">
        <v>54</v>
      </c>
      <c r="S21" s="330"/>
      <c r="T21" s="206">
        <f>T20*Y20</f>
        <v>0.40094999999999997</v>
      </c>
      <c r="U21" s="32" t="s">
        <v>38</v>
      </c>
      <c r="V21" s="32"/>
      <c r="W21" s="32"/>
      <c r="X21" s="32"/>
      <c r="Y21" s="32"/>
      <c r="Z21" s="32"/>
      <c r="AA21" s="32"/>
      <c r="AB21" s="33"/>
      <c r="AC21" s="30"/>
      <c r="AD21" s="7"/>
      <c r="AE21" s="7"/>
      <c r="AF21" s="7"/>
      <c r="AG21" s="7"/>
      <c r="AH21" s="7"/>
      <c r="AI21" s="7"/>
      <c r="AJ21" s="7"/>
      <c r="AK21" s="7"/>
      <c r="AL21" s="7"/>
      <c r="AM21" s="7"/>
      <c r="AN21" s="7"/>
      <c r="AO21" s="7"/>
      <c r="AP21" s="7"/>
      <c r="AQ21" s="7"/>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32"/>
      <c r="X22" s="32"/>
      <c r="Y22" s="32"/>
      <c r="Z22" s="32"/>
      <c r="AA22" s="32"/>
      <c r="AB22" s="33"/>
      <c r="AC22" s="30"/>
      <c r="AD22" s="7"/>
      <c r="AE22" s="7"/>
      <c r="AF22" s="7"/>
      <c r="AG22" s="7"/>
      <c r="AH22" s="7"/>
      <c r="AI22" s="7"/>
      <c r="AJ22" s="7"/>
      <c r="AK22" s="7"/>
      <c r="AL22" s="7"/>
      <c r="AM22" s="7"/>
      <c r="AN22" s="7"/>
      <c r="AO22" s="7"/>
      <c r="AP22" s="7"/>
      <c r="AQ22" s="7"/>
    </row>
    <row r="23" spans="1:43" ht="14.4" x14ac:dyDescent="0.3">
      <c r="A23" s="1"/>
      <c r="B23" s="1"/>
      <c r="C23" s="1"/>
      <c r="D23" s="1"/>
      <c r="E23" s="1"/>
      <c r="F23" s="1"/>
      <c r="G23" s="1"/>
      <c r="H23" s="1"/>
      <c r="I23" s="1"/>
      <c r="J23" s="1"/>
      <c r="K23" s="1"/>
      <c r="L23" s="1"/>
      <c r="M23" s="1"/>
      <c r="N23" s="1"/>
      <c r="O23" s="1"/>
      <c r="P23" s="31"/>
      <c r="Q23" s="32"/>
      <c r="R23" s="331" t="s">
        <v>55</v>
      </c>
      <c r="S23" s="331"/>
      <c r="T23" s="331"/>
      <c r="U23" s="331"/>
      <c r="V23" s="331"/>
      <c r="W23" s="331"/>
      <c r="X23" s="331"/>
      <c r="Y23" s="131"/>
      <c r="Z23" s="131"/>
      <c r="AA23" s="32"/>
      <c r="AB23" s="33"/>
      <c r="AC23" s="30"/>
      <c r="AD23" s="7"/>
      <c r="AE23" s="7"/>
      <c r="AF23" s="7"/>
      <c r="AG23" s="7"/>
      <c r="AH23" s="7"/>
      <c r="AI23" s="7"/>
      <c r="AJ23" s="7"/>
      <c r="AK23" s="7"/>
      <c r="AL23" s="7"/>
      <c r="AM23" s="7"/>
      <c r="AN23" s="7"/>
      <c r="AO23" s="7"/>
      <c r="AP23" s="7"/>
      <c r="AQ23" s="7"/>
    </row>
    <row r="24" spans="1:43" ht="14.4" x14ac:dyDescent="0.3">
      <c r="A24" s="1"/>
      <c r="B24" s="1"/>
      <c r="C24" s="1"/>
      <c r="D24" s="1"/>
      <c r="E24" s="1"/>
      <c r="F24" s="1"/>
      <c r="G24" s="1"/>
      <c r="H24" s="1"/>
      <c r="I24" s="1"/>
      <c r="J24" s="1"/>
      <c r="K24" s="1"/>
      <c r="L24" s="1"/>
      <c r="M24" s="1"/>
      <c r="N24" s="1"/>
      <c r="O24" s="1"/>
      <c r="P24" s="31"/>
      <c r="Q24" s="32"/>
      <c r="R24" s="329" t="s">
        <v>56</v>
      </c>
      <c r="S24" s="329"/>
      <c r="T24" s="329"/>
      <c r="U24" s="330"/>
      <c r="V24" s="334"/>
      <c r="W24" s="334"/>
      <c r="X24" s="334"/>
      <c r="Y24" s="32" t="s">
        <v>57</v>
      </c>
      <c r="Z24" s="32"/>
      <c r="AA24" s="32"/>
      <c r="AB24" s="33"/>
      <c r="AC24" s="30"/>
      <c r="AD24" s="7"/>
      <c r="AE24" s="7"/>
      <c r="AF24" s="7"/>
      <c r="AG24" s="7"/>
      <c r="AH24" s="7"/>
      <c r="AI24" s="7"/>
      <c r="AJ24" s="7"/>
      <c r="AK24" s="7"/>
      <c r="AL24" s="7"/>
      <c r="AM24" s="7"/>
      <c r="AN24" s="7"/>
      <c r="AO24" s="7"/>
      <c r="AP24" s="7"/>
      <c r="AQ24" s="7"/>
    </row>
    <row r="25" spans="1:43" ht="14.4" x14ac:dyDescent="0.3">
      <c r="A25" s="1"/>
      <c r="B25" s="1"/>
      <c r="C25" s="1"/>
      <c r="D25" s="1"/>
      <c r="E25" s="1"/>
      <c r="F25" s="1"/>
      <c r="G25" s="1"/>
      <c r="H25" s="1"/>
      <c r="I25" s="1"/>
      <c r="J25" s="1"/>
      <c r="K25" s="1"/>
      <c r="L25" s="1"/>
      <c r="M25" s="1"/>
      <c r="N25" s="1"/>
      <c r="O25" s="1"/>
      <c r="P25" s="31"/>
      <c r="Q25" s="32"/>
      <c r="R25" s="329" t="s">
        <v>58</v>
      </c>
      <c r="S25" s="329"/>
      <c r="T25" s="329"/>
      <c r="U25" s="347"/>
      <c r="V25" s="335"/>
      <c r="W25" s="335"/>
      <c r="X25" s="335"/>
      <c r="Y25" s="32" t="s">
        <v>38</v>
      </c>
      <c r="Z25" s="32"/>
      <c r="AA25" s="32"/>
      <c r="AB25" s="33"/>
      <c r="AC25" s="30"/>
      <c r="AD25" s="7"/>
      <c r="AE25" s="7"/>
      <c r="AF25" s="7"/>
      <c r="AG25" s="7"/>
      <c r="AH25" s="7"/>
      <c r="AI25" s="7"/>
      <c r="AJ25" s="7"/>
      <c r="AK25" s="7"/>
      <c r="AL25" s="7"/>
      <c r="AM25" s="7"/>
      <c r="AN25" s="7"/>
      <c r="AO25" s="7"/>
      <c r="AP25" s="7"/>
      <c r="AQ25" s="7"/>
    </row>
    <row r="26" spans="1:43" ht="14.4" x14ac:dyDescent="0.3">
      <c r="A26" s="1"/>
      <c r="B26" s="1"/>
      <c r="C26" s="1"/>
      <c r="D26" s="1"/>
      <c r="E26" s="1"/>
      <c r="F26" s="1"/>
      <c r="G26" s="1"/>
      <c r="H26" s="1"/>
      <c r="I26" s="1"/>
      <c r="J26" s="1"/>
      <c r="K26" s="1"/>
      <c r="L26" s="1"/>
      <c r="M26" s="1"/>
      <c r="N26" s="1"/>
      <c r="O26" s="1"/>
      <c r="P26" s="31"/>
      <c r="Q26" s="32"/>
      <c r="R26" s="329" t="s">
        <v>59</v>
      </c>
      <c r="S26" s="329"/>
      <c r="T26" s="329"/>
      <c r="U26" s="330"/>
      <c r="V26" s="334"/>
      <c r="W26" s="334"/>
      <c r="X26" s="334"/>
      <c r="Y26" s="32" t="s">
        <v>38</v>
      </c>
      <c r="Z26" s="32"/>
      <c r="AA26" s="32"/>
      <c r="AB26" s="33"/>
      <c r="AC26" s="30"/>
      <c r="AD26" s="7"/>
      <c r="AE26" s="7"/>
      <c r="AF26" s="7"/>
      <c r="AG26" s="7"/>
      <c r="AH26" s="7"/>
      <c r="AI26" s="7"/>
      <c r="AJ26" s="7"/>
      <c r="AK26" s="7"/>
      <c r="AL26" s="7"/>
      <c r="AM26" s="7"/>
      <c r="AN26" s="7"/>
      <c r="AO26" s="7"/>
      <c r="AP26" s="7"/>
      <c r="AQ26" s="7"/>
    </row>
    <row r="27" spans="1:43" ht="14.4" x14ac:dyDescent="0.3">
      <c r="A27" s="1"/>
      <c r="B27" s="1"/>
      <c r="C27" s="1"/>
      <c r="D27" s="1"/>
      <c r="E27" s="1"/>
      <c r="F27" s="1"/>
      <c r="G27" s="1"/>
      <c r="H27" s="1"/>
      <c r="I27" s="1"/>
      <c r="J27" s="1"/>
      <c r="K27" s="1"/>
      <c r="L27" s="1"/>
      <c r="M27" s="1"/>
      <c r="N27" s="1"/>
      <c r="O27" s="1"/>
      <c r="P27" s="31"/>
      <c r="Q27" s="32"/>
      <c r="R27" s="329" t="s">
        <v>60</v>
      </c>
      <c r="S27" s="329"/>
      <c r="T27" s="329"/>
      <c r="U27" s="330"/>
      <c r="V27" s="334"/>
      <c r="W27" s="334"/>
      <c r="X27" s="334"/>
      <c r="Y27" s="32" t="s">
        <v>38</v>
      </c>
      <c r="Z27" s="32"/>
      <c r="AA27" s="32"/>
      <c r="AB27" s="33"/>
      <c r="AC27" s="30"/>
      <c r="AD27" s="7"/>
      <c r="AE27" s="7"/>
      <c r="AF27" s="7"/>
      <c r="AG27" s="7"/>
      <c r="AH27" s="7"/>
      <c r="AI27" s="7"/>
      <c r="AJ27" s="7"/>
      <c r="AK27" s="7"/>
      <c r="AL27" s="7"/>
      <c r="AM27" s="7"/>
      <c r="AN27" s="7"/>
      <c r="AO27" s="7"/>
      <c r="AP27" s="7"/>
      <c r="AQ27" s="7"/>
    </row>
    <row r="28" spans="1:43" ht="14.4" x14ac:dyDescent="0.3">
      <c r="A28" s="1"/>
      <c r="B28" s="1"/>
      <c r="C28" s="1"/>
      <c r="D28" s="1"/>
      <c r="E28" s="1"/>
      <c r="F28" s="1"/>
      <c r="G28" s="1"/>
      <c r="H28" s="1"/>
      <c r="I28" s="1"/>
      <c r="J28" s="1"/>
      <c r="K28" s="1"/>
      <c r="L28" s="1"/>
      <c r="M28" s="1"/>
      <c r="N28" s="1"/>
      <c r="O28" s="1"/>
      <c r="P28" s="31"/>
      <c r="Q28" s="32"/>
      <c r="R28" s="329" t="s">
        <v>61</v>
      </c>
      <c r="S28" s="329"/>
      <c r="T28" s="329"/>
      <c r="U28" s="330"/>
      <c r="V28" s="334"/>
      <c r="W28" s="334"/>
      <c r="X28" s="334"/>
      <c r="Y28" s="32" t="s">
        <v>38</v>
      </c>
      <c r="Z28" s="32"/>
      <c r="AA28" s="32"/>
      <c r="AB28" s="33"/>
      <c r="AC28" s="30"/>
      <c r="AD28" s="7"/>
      <c r="AE28" s="7"/>
      <c r="AF28" s="7"/>
      <c r="AG28" s="7"/>
      <c r="AH28" s="7"/>
      <c r="AI28" s="7"/>
      <c r="AJ28" s="7"/>
      <c r="AK28" s="7"/>
      <c r="AL28" s="7"/>
      <c r="AM28" s="7"/>
      <c r="AN28" s="7"/>
      <c r="AO28" s="7"/>
      <c r="AP28" s="7"/>
      <c r="AQ28" s="7"/>
    </row>
    <row r="29" spans="1:43" ht="14.4" x14ac:dyDescent="0.3">
      <c r="A29" s="1"/>
      <c r="B29" s="1"/>
      <c r="C29" s="1"/>
      <c r="D29" s="1"/>
      <c r="E29" s="1"/>
      <c r="F29" s="1"/>
      <c r="G29" s="1"/>
      <c r="H29" s="1"/>
      <c r="I29" s="1"/>
      <c r="J29" s="1"/>
      <c r="K29" s="1"/>
      <c r="L29" s="1"/>
      <c r="M29" s="1"/>
      <c r="N29" s="1"/>
      <c r="O29" s="1"/>
      <c r="P29" s="31"/>
      <c r="Q29" s="32"/>
      <c r="R29" s="32"/>
      <c r="S29" s="32"/>
      <c r="T29" s="32"/>
      <c r="U29" s="32"/>
      <c r="V29" s="32"/>
      <c r="W29" s="32"/>
      <c r="X29" s="32"/>
      <c r="Y29" s="32"/>
      <c r="Z29" s="32"/>
      <c r="AA29" s="32"/>
      <c r="AB29" s="33"/>
      <c r="AC29" s="30"/>
      <c r="AD29" s="7"/>
      <c r="AE29" s="7"/>
      <c r="AF29" s="7"/>
      <c r="AG29" s="7"/>
      <c r="AH29" s="7"/>
      <c r="AI29" s="7"/>
      <c r="AJ29" s="7"/>
      <c r="AK29" s="7"/>
      <c r="AL29" s="7"/>
      <c r="AM29" s="7"/>
      <c r="AN29" s="7"/>
      <c r="AO29" s="7"/>
      <c r="AP29" s="7"/>
      <c r="AQ29" s="7"/>
    </row>
    <row r="30" spans="1:43" ht="14.4" x14ac:dyDescent="0.3">
      <c r="A30" s="1"/>
      <c r="B30" s="1"/>
      <c r="C30" s="1"/>
      <c r="D30" s="1"/>
      <c r="E30" s="1"/>
      <c r="F30" s="1"/>
      <c r="G30" s="1"/>
      <c r="H30" s="1"/>
      <c r="I30" s="1"/>
      <c r="J30" s="1"/>
      <c r="K30" s="1"/>
      <c r="L30" s="1"/>
      <c r="M30" s="1"/>
      <c r="N30" s="1"/>
      <c r="O30" s="1"/>
      <c r="P30" s="31"/>
      <c r="Q30" s="32"/>
      <c r="R30" s="32"/>
      <c r="S30" s="32"/>
      <c r="T30" s="331" t="s">
        <v>62</v>
      </c>
      <c r="U30" s="331"/>
      <c r="V30" s="331"/>
      <c r="W30" s="331"/>
      <c r="X30" s="131"/>
      <c r="Y30" s="32"/>
      <c r="Z30" s="32"/>
      <c r="AA30" s="329"/>
      <c r="AB30" s="330"/>
      <c r="AC30" s="30"/>
      <c r="AD30" s="7"/>
      <c r="AE30" s="7"/>
      <c r="AF30" s="7"/>
      <c r="AG30" s="7"/>
      <c r="AH30" s="7"/>
      <c r="AI30" s="7"/>
      <c r="AJ30" s="7"/>
      <c r="AK30" s="7"/>
      <c r="AL30" s="7"/>
      <c r="AM30" s="7"/>
      <c r="AN30" s="7"/>
      <c r="AO30" s="7"/>
      <c r="AP30" s="7"/>
      <c r="AQ30" s="7"/>
    </row>
    <row r="31" spans="1:43" ht="14.4" x14ac:dyDescent="0.3">
      <c r="A31" s="1"/>
      <c r="B31" s="1"/>
      <c r="C31" s="1"/>
      <c r="D31" s="1"/>
      <c r="E31" s="1"/>
      <c r="F31" s="1"/>
      <c r="G31" s="1"/>
      <c r="H31" s="1"/>
      <c r="I31" s="1"/>
      <c r="J31" s="1"/>
      <c r="K31" s="1"/>
      <c r="L31" s="1"/>
      <c r="M31" s="1"/>
      <c r="N31" s="1"/>
      <c r="O31" s="1"/>
      <c r="P31" s="31"/>
      <c r="Q31" s="32"/>
      <c r="R31" s="32"/>
      <c r="S31" s="32"/>
      <c r="T31" s="329" t="s">
        <v>63</v>
      </c>
      <c r="U31" s="330"/>
      <c r="V31" s="335">
        <f>T21+SUM(V25:X28)</f>
        <v>0.40094999999999997</v>
      </c>
      <c r="W31" s="335"/>
      <c r="X31" s="32" t="s">
        <v>38</v>
      </c>
      <c r="Y31" s="32"/>
      <c r="Z31" s="32"/>
      <c r="AA31" s="32"/>
      <c r="AB31" s="33"/>
      <c r="AC31" s="30"/>
      <c r="AD31" s="7"/>
      <c r="AE31" s="7"/>
      <c r="AF31" s="7"/>
      <c r="AG31" s="7"/>
      <c r="AH31" s="7"/>
      <c r="AI31" s="7"/>
      <c r="AJ31" s="7"/>
      <c r="AK31" s="7"/>
      <c r="AL31" s="7"/>
      <c r="AM31" s="7"/>
      <c r="AN31" s="7"/>
      <c r="AO31" s="7"/>
      <c r="AP31" s="7"/>
      <c r="AQ31" s="7"/>
    </row>
    <row r="32" spans="1:43" ht="14.4" x14ac:dyDescent="0.3">
      <c r="A32" s="1"/>
      <c r="B32" s="1"/>
      <c r="C32" s="1"/>
      <c r="D32" s="1"/>
      <c r="E32" s="1"/>
      <c r="F32" s="1"/>
      <c r="G32" s="1"/>
      <c r="H32" s="1"/>
      <c r="I32" s="1"/>
      <c r="J32" s="1"/>
      <c r="K32" s="1"/>
      <c r="L32" s="1"/>
      <c r="M32" s="1"/>
      <c r="N32" s="1"/>
      <c r="O32" s="1"/>
      <c r="P32" s="31"/>
      <c r="Q32" s="32"/>
      <c r="R32" s="32"/>
      <c r="S32" s="32"/>
      <c r="T32" s="329" t="s">
        <v>64</v>
      </c>
      <c r="U32" s="330"/>
      <c r="V32" s="335">
        <f>T16-V31</f>
        <v>-0.40094999999999997</v>
      </c>
      <c r="W32" s="337"/>
      <c r="X32" s="32" t="s">
        <v>44</v>
      </c>
      <c r="Y32" s="32"/>
      <c r="Z32" s="32"/>
      <c r="AA32" s="32"/>
      <c r="AB32" s="33"/>
      <c r="AC32" s="30"/>
      <c r="AD32" s="7"/>
      <c r="AE32" s="7"/>
      <c r="AF32" s="7"/>
      <c r="AG32" s="7"/>
      <c r="AH32" s="7"/>
      <c r="AI32" s="7"/>
      <c r="AJ32" s="7"/>
      <c r="AK32" s="7"/>
      <c r="AL32" s="7"/>
      <c r="AM32" s="7"/>
      <c r="AN32" s="7"/>
      <c r="AO32" s="7"/>
      <c r="AP32" s="7"/>
      <c r="AQ32" s="7"/>
    </row>
    <row r="33" spans="1:43" ht="14.4" x14ac:dyDescent="0.3">
      <c r="A33" s="1"/>
      <c r="B33" s="1"/>
      <c r="C33" s="1"/>
      <c r="D33" s="1"/>
      <c r="E33" s="1"/>
      <c r="F33" s="1"/>
      <c r="G33" s="1"/>
      <c r="H33" s="1"/>
      <c r="I33" s="1"/>
      <c r="J33" s="1"/>
      <c r="K33" s="1"/>
      <c r="L33" s="1"/>
      <c r="M33" s="1"/>
      <c r="N33" s="1"/>
      <c r="O33" s="1"/>
      <c r="P33" s="31"/>
      <c r="Q33" s="32"/>
      <c r="R33" s="32"/>
      <c r="S33" s="32"/>
      <c r="T33" s="32"/>
      <c r="U33" s="32"/>
      <c r="V33" s="32"/>
      <c r="W33" s="32"/>
      <c r="X33" s="32"/>
      <c r="Y33" s="32"/>
      <c r="Z33" s="32"/>
      <c r="AA33" s="32"/>
      <c r="AB33" s="33"/>
      <c r="AC33" s="30"/>
      <c r="AD33" s="7"/>
      <c r="AE33" s="7"/>
      <c r="AF33" s="7"/>
      <c r="AG33" s="7"/>
      <c r="AH33" s="7"/>
      <c r="AI33" s="7"/>
      <c r="AJ33" s="7"/>
      <c r="AK33" s="7"/>
      <c r="AL33" s="7"/>
      <c r="AM33" s="7"/>
      <c r="AN33" s="7"/>
      <c r="AO33" s="7"/>
      <c r="AP33" s="7"/>
      <c r="AQ33" s="7"/>
    </row>
    <row r="34" spans="1:43" ht="15" thickBot="1" x14ac:dyDescent="0.35">
      <c r="A34" s="1"/>
      <c r="B34" s="1"/>
      <c r="C34" s="1"/>
      <c r="D34" s="1"/>
      <c r="E34" s="1"/>
      <c r="F34" s="1"/>
      <c r="G34" s="1"/>
      <c r="H34" s="1"/>
      <c r="I34" s="1"/>
      <c r="J34" s="1"/>
      <c r="K34" s="1"/>
      <c r="L34" s="1"/>
      <c r="M34" s="1"/>
      <c r="N34" s="1"/>
      <c r="O34" s="1"/>
      <c r="P34" s="34"/>
      <c r="Q34" s="35"/>
      <c r="R34" s="35"/>
      <c r="S34" s="35"/>
      <c r="T34" s="35"/>
      <c r="U34" s="35"/>
      <c r="V34" s="35"/>
      <c r="W34" s="35"/>
      <c r="X34" s="35"/>
      <c r="Y34" s="35"/>
      <c r="Z34" s="35"/>
      <c r="AA34" s="35"/>
      <c r="AB34" s="36"/>
      <c r="AC34" s="30"/>
      <c r="AD34" s="7"/>
      <c r="AE34" s="7"/>
      <c r="AF34" s="7"/>
      <c r="AG34" s="7"/>
      <c r="AH34" s="7"/>
      <c r="AI34" s="7"/>
      <c r="AJ34" s="7"/>
      <c r="AK34" s="7"/>
      <c r="AL34" s="7"/>
      <c r="AM34" s="7"/>
      <c r="AN34" s="7"/>
      <c r="AO34" s="7"/>
      <c r="AP34" s="7"/>
      <c r="AQ34" s="7"/>
    </row>
    <row r="35" spans="1:43" ht="14.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7"/>
      <c r="AD35" s="7"/>
      <c r="AE35" s="7"/>
      <c r="AF35" s="7"/>
      <c r="AG35" s="7"/>
      <c r="AH35" s="7"/>
      <c r="AI35" s="7"/>
      <c r="AJ35" s="7"/>
      <c r="AK35" s="7"/>
      <c r="AL35" s="7"/>
      <c r="AM35" s="7"/>
      <c r="AN35" s="7"/>
      <c r="AO35" s="7"/>
      <c r="AP35" s="7"/>
      <c r="AQ35" s="7"/>
    </row>
    <row r="36" spans="1:43" ht="15" thickBo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7"/>
      <c r="AD36" s="7"/>
      <c r="AE36" s="7"/>
      <c r="AF36" s="7"/>
      <c r="AG36" s="7"/>
      <c r="AH36" s="7"/>
      <c r="AI36" s="7"/>
      <c r="AJ36" s="7"/>
      <c r="AK36" s="7"/>
      <c r="AL36" s="7"/>
      <c r="AM36" s="7"/>
      <c r="AN36" s="7"/>
      <c r="AO36" s="7"/>
      <c r="AP36" s="7"/>
      <c r="AQ36" s="7"/>
    </row>
    <row r="37" spans="1:43" ht="14.4" x14ac:dyDescent="0.3">
      <c r="A37" s="1"/>
      <c r="B37" s="1"/>
      <c r="C37" s="1"/>
      <c r="D37" s="1"/>
      <c r="E37" s="1"/>
      <c r="F37" s="1"/>
      <c r="G37" s="1"/>
      <c r="H37" s="1"/>
      <c r="I37" s="1"/>
      <c r="J37" s="1"/>
      <c r="K37" s="1"/>
      <c r="L37" s="1"/>
      <c r="M37" s="1"/>
      <c r="N37" s="1"/>
      <c r="O37" s="1"/>
      <c r="P37" s="37"/>
      <c r="Q37" s="38"/>
      <c r="R37" s="38"/>
      <c r="S37" s="38"/>
      <c r="T37" s="38"/>
      <c r="U37" s="38"/>
      <c r="V37" s="38"/>
      <c r="W37" s="38"/>
      <c r="X37" s="38"/>
      <c r="Y37" s="38"/>
      <c r="Z37" s="38"/>
      <c r="AA37" s="38"/>
      <c r="AB37" s="39"/>
      <c r="AC37" s="30"/>
      <c r="AD37" s="7"/>
      <c r="AE37" s="7"/>
      <c r="AF37" s="7"/>
      <c r="AG37" s="7"/>
      <c r="AH37" s="7"/>
      <c r="AI37" s="7"/>
      <c r="AJ37" s="7"/>
      <c r="AK37" s="7"/>
      <c r="AL37" s="7"/>
      <c r="AM37" s="7"/>
      <c r="AN37" s="7"/>
      <c r="AO37" s="7"/>
      <c r="AP37" s="7"/>
      <c r="AQ37" s="7"/>
    </row>
    <row r="38" spans="1:43" ht="15" thickBot="1" x14ac:dyDescent="0.35">
      <c r="A38" s="1"/>
      <c r="B38" s="1"/>
      <c r="C38" s="1"/>
      <c r="D38" s="1"/>
      <c r="E38" s="1"/>
      <c r="F38" s="1"/>
      <c r="G38" s="1"/>
      <c r="H38" s="1"/>
      <c r="I38" s="1"/>
      <c r="J38" s="1"/>
      <c r="K38" s="1"/>
      <c r="L38" s="1"/>
      <c r="M38" s="1"/>
      <c r="N38" s="1"/>
      <c r="O38" s="1"/>
      <c r="P38" s="40"/>
      <c r="Q38" s="41"/>
      <c r="R38" s="41" t="s">
        <v>65</v>
      </c>
      <c r="S38" s="41"/>
      <c r="T38" s="41"/>
      <c r="U38" s="41"/>
      <c r="V38" s="41"/>
      <c r="W38" s="41"/>
      <c r="X38" s="41"/>
      <c r="Y38" s="41"/>
      <c r="Z38" s="41"/>
      <c r="AA38" s="41"/>
      <c r="AB38" s="42"/>
      <c r="AC38" s="30"/>
      <c r="AD38" s="7"/>
      <c r="AE38" s="7"/>
      <c r="AF38" s="7"/>
      <c r="AG38" s="7"/>
      <c r="AH38" s="7"/>
      <c r="AI38" s="7"/>
      <c r="AJ38" s="7"/>
      <c r="AK38" s="7"/>
      <c r="AL38" s="7"/>
      <c r="AM38" s="7"/>
      <c r="AN38" s="7"/>
      <c r="AO38" s="7"/>
      <c r="AP38" s="7"/>
      <c r="AQ38" s="7"/>
    </row>
    <row r="39" spans="1:43" ht="30.6" thickBot="1" x14ac:dyDescent="0.35">
      <c r="A39" s="1"/>
      <c r="B39" s="1"/>
      <c r="C39" s="1"/>
      <c r="D39" s="1"/>
      <c r="E39" s="1"/>
      <c r="F39" s="1"/>
      <c r="G39" s="1"/>
      <c r="H39" s="1"/>
      <c r="I39" s="1"/>
      <c r="J39" s="1"/>
      <c r="K39" s="1"/>
      <c r="L39" s="1"/>
      <c r="M39" s="1"/>
      <c r="N39" s="1"/>
      <c r="O39" s="1"/>
      <c r="P39" s="40"/>
      <c r="Q39" s="41"/>
      <c r="R39" s="293" t="s">
        <v>66</v>
      </c>
      <c r="S39" s="294"/>
      <c r="T39" s="294"/>
      <c r="U39" s="294"/>
      <c r="V39" s="294"/>
      <c r="W39" s="294"/>
      <c r="X39" s="294"/>
      <c r="Y39" s="294"/>
      <c r="Z39" s="295"/>
      <c r="AA39" s="41"/>
      <c r="AB39" s="42"/>
      <c r="AC39" s="30"/>
      <c r="AD39" s="7"/>
      <c r="AE39" s="7"/>
      <c r="AF39" s="7"/>
      <c r="AG39" s="7"/>
      <c r="AH39" s="7"/>
      <c r="AI39" s="7"/>
      <c r="AJ39" s="7"/>
      <c r="AK39" s="7"/>
      <c r="AL39" s="7"/>
      <c r="AM39" s="7"/>
      <c r="AN39" s="7"/>
      <c r="AO39" s="7"/>
      <c r="AP39" s="7"/>
      <c r="AQ39" s="7"/>
    </row>
    <row r="40" spans="1:43" ht="14.4" x14ac:dyDescent="0.3">
      <c r="A40" s="1"/>
      <c r="B40" s="1"/>
      <c r="C40" s="1"/>
      <c r="D40" s="1"/>
      <c r="E40" s="1"/>
      <c r="F40" s="1"/>
      <c r="G40" s="1"/>
      <c r="H40" s="1"/>
      <c r="I40" s="1"/>
      <c r="J40" s="1"/>
      <c r="K40" s="1"/>
      <c r="L40" s="1"/>
      <c r="M40" s="1"/>
      <c r="N40" s="1"/>
      <c r="O40" s="1"/>
      <c r="P40" s="40"/>
      <c r="Q40" s="41"/>
      <c r="R40" s="41"/>
      <c r="S40" s="41"/>
      <c r="T40" s="41"/>
      <c r="U40" s="41"/>
      <c r="V40" s="41"/>
      <c r="W40" s="41"/>
      <c r="X40" s="41"/>
      <c r="Y40" s="41"/>
      <c r="Z40" s="41"/>
      <c r="AA40" s="41"/>
      <c r="AB40" s="42"/>
      <c r="AC40" s="30"/>
      <c r="AD40" s="7"/>
      <c r="AE40" s="7"/>
      <c r="AF40" s="7"/>
      <c r="AG40" s="7"/>
      <c r="AH40" s="7"/>
      <c r="AI40" s="7"/>
      <c r="AJ40" s="7"/>
      <c r="AK40" s="7"/>
      <c r="AL40" s="7"/>
      <c r="AM40" s="7"/>
      <c r="AN40" s="7"/>
      <c r="AO40" s="7"/>
      <c r="AP40" s="7"/>
      <c r="AQ40" s="7"/>
    </row>
    <row r="41" spans="1:43" ht="14.4"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1"/>
      <c r="AA41" s="41"/>
      <c r="AB41" s="42"/>
      <c r="AC41" s="30"/>
      <c r="AD41" s="7"/>
      <c r="AE41" s="7"/>
      <c r="AF41" s="7"/>
      <c r="AG41" s="7"/>
      <c r="AH41" s="7"/>
      <c r="AI41" s="7"/>
      <c r="AJ41" s="7"/>
      <c r="AK41" s="7"/>
      <c r="AL41" s="7"/>
      <c r="AM41" s="7"/>
      <c r="AN41" s="7"/>
      <c r="AO41" s="7"/>
      <c r="AP41" s="7"/>
      <c r="AQ41" s="7"/>
    </row>
    <row r="42" spans="1:43" ht="14.4" x14ac:dyDescent="0.3">
      <c r="A42" s="1"/>
      <c r="B42" s="1"/>
      <c r="C42" s="1"/>
      <c r="D42" s="1"/>
      <c r="E42" s="1"/>
      <c r="F42" s="1"/>
      <c r="G42" s="1"/>
      <c r="H42" s="1"/>
      <c r="I42" s="1"/>
      <c r="J42" s="1"/>
      <c r="K42" s="1"/>
      <c r="L42" s="1"/>
      <c r="M42" s="1"/>
      <c r="N42" s="1"/>
      <c r="O42" s="1"/>
      <c r="P42" s="40"/>
      <c r="Q42" s="41"/>
      <c r="R42" s="41"/>
      <c r="S42" s="41"/>
      <c r="T42" s="41"/>
      <c r="U42" s="41"/>
      <c r="V42" s="41"/>
      <c r="W42" s="41"/>
      <c r="X42" s="41"/>
      <c r="Y42" s="41"/>
      <c r="Z42" s="41"/>
      <c r="AA42" s="41"/>
      <c r="AB42" s="42"/>
      <c r="AC42" s="30"/>
      <c r="AD42" s="7"/>
      <c r="AE42" s="7"/>
      <c r="AF42" s="7"/>
      <c r="AG42" s="7"/>
      <c r="AH42" s="7"/>
      <c r="AI42" s="7"/>
      <c r="AJ42" s="7"/>
      <c r="AK42" s="7"/>
      <c r="AL42" s="7"/>
      <c r="AM42" s="7"/>
      <c r="AN42" s="7"/>
      <c r="AO42" s="7"/>
      <c r="AP42" s="7"/>
      <c r="AQ42" s="7"/>
    </row>
    <row r="43" spans="1:43" ht="14.4" x14ac:dyDescent="0.3">
      <c r="A43" s="1"/>
      <c r="B43" s="1"/>
      <c r="C43" s="1"/>
      <c r="D43" s="1"/>
      <c r="E43" s="1"/>
      <c r="F43" s="1"/>
      <c r="G43" s="1"/>
      <c r="H43" s="1"/>
      <c r="I43" s="1"/>
      <c r="J43" s="1"/>
      <c r="K43" s="1"/>
      <c r="L43" s="1"/>
      <c r="M43" s="1"/>
      <c r="N43" s="1"/>
      <c r="O43" s="1"/>
      <c r="P43" s="40"/>
      <c r="Q43" s="41"/>
      <c r="R43" s="41"/>
      <c r="S43" s="41"/>
      <c r="T43" s="41"/>
      <c r="U43" s="41"/>
      <c r="V43" s="41"/>
      <c r="W43" s="41"/>
      <c r="X43" s="41"/>
      <c r="Y43" s="41"/>
      <c r="Z43" s="41"/>
      <c r="AA43" s="41"/>
      <c r="AB43" s="42"/>
      <c r="AC43" s="30"/>
      <c r="AD43" s="7"/>
      <c r="AE43" s="7"/>
      <c r="AF43" s="7"/>
      <c r="AG43" s="7"/>
      <c r="AH43" s="7"/>
      <c r="AI43" s="7"/>
      <c r="AJ43" s="7"/>
      <c r="AK43" s="7"/>
      <c r="AL43" s="7"/>
      <c r="AM43" s="7"/>
      <c r="AN43" s="7"/>
      <c r="AO43" s="7"/>
      <c r="AP43" s="7"/>
      <c r="AQ43" s="7"/>
    </row>
    <row r="44" spans="1:43" ht="14.4" x14ac:dyDescent="0.3">
      <c r="A44" s="1"/>
      <c r="B44" s="1"/>
      <c r="C44" s="1"/>
      <c r="D44" s="1"/>
      <c r="E44" s="1"/>
      <c r="F44" s="1"/>
      <c r="G44" s="1"/>
      <c r="H44" s="1"/>
      <c r="I44" s="1"/>
      <c r="J44" s="1"/>
      <c r="K44" s="1"/>
      <c r="L44" s="1"/>
      <c r="M44" s="1"/>
      <c r="N44" s="1"/>
      <c r="O44" s="1"/>
      <c r="P44" s="40"/>
      <c r="Q44" s="41"/>
      <c r="R44" s="41"/>
      <c r="S44" s="41"/>
      <c r="T44" s="41"/>
      <c r="U44" s="41"/>
      <c r="V44" s="41"/>
      <c r="W44" s="41"/>
      <c r="X44" s="41"/>
      <c r="Y44" s="41"/>
      <c r="Z44" s="41"/>
      <c r="AA44" s="41"/>
      <c r="AB44" s="42"/>
      <c r="AC44" s="30"/>
      <c r="AD44" s="7"/>
      <c r="AE44" s="7"/>
      <c r="AF44" s="7"/>
      <c r="AG44" s="7"/>
      <c r="AH44" s="7"/>
      <c r="AI44" s="7"/>
      <c r="AJ44" s="7"/>
      <c r="AK44" s="7"/>
      <c r="AL44" s="7"/>
      <c r="AM44" s="7"/>
      <c r="AN44" s="7"/>
      <c r="AO44" s="7"/>
      <c r="AP44" s="7"/>
      <c r="AQ44" s="7"/>
    </row>
    <row r="45" spans="1:43" ht="14.4" x14ac:dyDescent="0.3">
      <c r="A45" s="1"/>
      <c r="B45" s="1"/>
      <c r="C45" s="1"/>
      <c r="D45" s="1"/>
      <c r="E45" s="1"/>
      <c r="F45" s="1"/>
      <c r="G45" s="1"/>
      <c r="H45" s="1"/>
      <c r="I45" s="1"/>
      <c r="J45" s="1"/>
      <c r="K45" s="1"/>
      <c r="L45" s="1"/>
      <c r="M45" s="1"/>
      <c r="N45" s="1"/>
      <c r="O45" s="1"/>
      <c r="P45" s="40"/>
      <c r="Q45" s="41"/>
      <c r="R45" s="41"/>
      <c r="S45" s="41"/>
      <c r="T45" s="41"/>
      <c r="U45" s="41"/>
      <c r="V45" s="41"/>
      <c r="W45" s="41"/>
      <c r="X45" s="41"/>
      <c r="Y45" s="41"/>
      <c r="Z45" s="41"/>
      <c r="AA45" s="41"/>
      <c r="AB45" s="42"/>
      <c r="AC45" s="30"/>
      <c r="AD45" s="7"/>
      <c r="AE45" s="7"/>
      <c r="AF45" s="7"/>
      <c r="AG45" s="7"/>
      <c r="AH45" s="7"/>
      <c r="AI45" s="7"/>
      <c r="AJ45" s="7"/>
      <c r="AK45" s="7"/>
      <c r="AL45" s="7"/>
      <c r="AM45" s="7"/>
      <c r="AN45" s="7"/>
      <c r="AO45" s="7"/>
      <c r="AP45" s="7"/>
      <c r="AQ45" s="7"/>
    </row>
    <row r="46" spans="1:43" ht="14.4" x14ac:dyDescent="0.3">
      <c r="A46" s="1"/>
      <c r="B46" s="1"/>
      <c r="C46" s="1"/>
      <c r="D46" s="1"/>
      <c r="E46" s="1"/>
      <c r="F46" s="1"/>
      <c r="G46" s="1"/>
      <c r="H46" s="1"/>
      <c r="I46" s="1"/>
      <c r="J46" s="1"/>
      <c r="K46" s="1"/>
      <c r="L46" s="1"/>
      <c r="M46" s="1"/>
      <c r="N46" s="1"/>
      <c r="O46" s="1"/>
      <c r="P46" s="40"/>
      <c r="Q46" s="41"/>
      <c r="R46" s="41"/>
      <c r="S46" s="41"/>
      <c r="T46" s="41"/>
      <c r="U46" s="41"/>
      <c r="V46" s="41"/>
      <c r="W46" s="41"/>
      <c r="X46" s="41"/>
      <c r="Y46" s="41"/>
      <c r="Z46" s="41"/>
      <c r="AA46" s="41"/>
      <c r="AB46" s="42"/>
      <c r="AC46" s="30"/>
      <c r="AD46" s="7"/>
      <c r="AE46" s="7"/>
      <c r="AF46" s="7"/>
      <c r="AG46" s="7"/>
      <c r="AH46" s="7"/>
      <c r="AI46" s="7"/>
      <c r="AJ46" s="7"/>
      <c r="AK46" s="7"/>
      <c r="AL46" s="7"/>
      <c r="AM46" s="7"/>
      <c r="AN46" s="7"/>
      <c r="AO46" s="7"/>
      <c r="AP46" s="7"/>
      <c r="AQ46" s="7"/>
    </row>
    <row r="47" spans="1:43" ht="14.4" x14ac:dyDescent="0.3">
      <c r="A47" s="1"/>
      <c r="B47" s="1"/>
      <c r="C47" s="1"/>
      <c r="D47" s="1"/>
      <c r="E47" s="1"/>
      <c r="F47" s="1"/>
      <c r="G47" s="1"/>
      <c r="H47" s="1"/>
      <c r="I47" s="1"/>
      <c r="J47" s="1"/>
      <c r="K47" s="1"/>
      <c r="L47" s="1"/>
      <c r="M47" s="1"/>
      <c r="N47" s="1"/>
      <c r="O47" s="1"/>
      <c r="P47" s="40"/>
      <c r="Q47" s="41"/>
      <c r="R47" s="333" t="s">
        <v>41</v>
      </c>
      <c r="S47" s="333"/>
      <c r="T47" s="333"/>
      <c r="U47" s="143"/>
      <c r="V47" s="41"/>
      <c r="W47" s="41"/>
      <c r="X47" s="41"/>
      <c r="Y47" s="41"/>
      <c r="Z47" s="41"/>
      <c r="AA47" s="41"/>
      <c r="AB47" s="42"/>
      <c r="AC47" s="30"/>
      <c r="AD47" s="7"/>
      <c r="AE47" s="7"/>
      <c r="AF47" s="7"/>
      <c r="AG47" s="7"/>
      <c r="AH47" s="7"/>
      <c r="AI47" s="7"/>
      <c r="AJ47" s="7"/>
      <c r="AK47" s="7"/>
      <c r="AL47" s="7"/>
      <c r="AM47" s="7"/>
      <c r="AN47" s="7"/>
      <c r="AO47" s="7"/>
      <c r="AP47" s="7"/>
      <c r="AQ47" s="7"/>
    </row>
    <row r="48" spans="1:43" ht="14.4" x14ac:dyDescent="0.3">
      <c r="A48" s="1"/>
      <c r="B48" s="1"/>
      <c r="C48" s="1"/>
      <c r="D48" s="1"/>
      <c r="E48" s="1"/>
      <c r="F48" s="1"/>
      <c r="G48" s="1"/>
      <c r="H48" s="1"/>
      <c r="I48" s="1"/>
      <c r="J48" s="1"/>
      <c r="K48" s="1"/>
      <c r="L48" s="1"/>
      <c r="M48" s="1"/>
      <c r="N48" s="1"/>
      <c r="O48" s="1"/>
      <c r="P48" s="40"/>
      <c r="Q48" s="41"/>
      <c r="R48" s="338" t="s">
        <v>42</v>
      </c>
      <c r="S48" s="338"/>
      <c r="T48" s="145">
        <v>1</v>
      </c>
      <c r="U48" s="41" t="s">
        <v>43</v>
      </c>
      <c r="V48" s="41"/>
      <c r="W48" s="41"/>
      <c r="X48" s="41"/>
      <c r="Y48" s="41"/>
      <c r="Z48" s="41"/>
      <c r="AA48" s="41"/>
      <c r="AB48" s="42"/>
      <c r="AC48" s="30"/>
      <c r="AD48" s="7"/>
      <c r="AE48" s="7"/>
      <c r="AF48" s="7"/>
      <c r="AG48" s="7"/>
      <c r="AH48" s="7"/>
      <c r="AI48" s="7"/>
      <c r="AJ48" s="7"/>
      <c r="AK48" s="7"/>
      <c r="AL48" s="7"/>
      <c r="AM48" s="7"/>
      <c r="AN48" s="7"/>
      <c r="AO48" s="7"/>
      <c r="AP48" s="7"/>
      <c r="AQ48" s="7"/>
    </row>
    <row r="49" spans="1:43" ht="14.4" x14ac:dyDescent="0.3">
      <c r="A49" s="1"/>
      <c r="B49" s="1"/>
      <c r="C49" s="1"/>
      <c r="D49" s="1"/>
      <c r="E49" s="1"/>
      <c r="F49" s="1"/>
      <c r="G49" s="1"/>
      <c r="H49" s="1"/>
      <c r="I49" s="1"/>
      <c r="J49" s="1"/>
      <c r="K49" s="1"/>
      <c r="L49" s="1"/>
      <c r="M49" s="1"/>
      <c r="N49" s="1"/>
      <c r="O49" s="1"/>
      <c r="P49" s="40"/>
      <c r="Q49" s="41"/>
      <c r="R49" s="338"/>
      <c r="S49" s="338"/>
      <c r="T49" s="204">
        <f>10*LOG10(T48)</f>
        <v>0</v>
      </c>
      <c r="U49" s="41" t="s">
        <v>44</v>
      </c>
      <c r="V49" s="41"/>
      <c r="W49" s="333" t="s">
        <v>45</v>
      </c>
      <c r="X49" s="333"/>
      <c r="Y49" s="333"/>
      <c r="Z49" s="41"/>
      <c r="AA49" s="41"/>
      <c r="AB49" s="42"/>
      <c r="AC49" s="30"/>
      <c r="AD49" s="7"/>
      <c r="AE49" s="7"/>
      <c r="AF49" s="7"/>
      <c r="AG49" s="7"/>
      <c r="AH49" s="7"/>
      <c r="AI49" s="7"/>
      <c r="AJ49" s="7"/>
      <c r="AK49" s="7"/>
      <c r="AL49" s="7"/>
      <c r="AM49" s="7"/>
      <c r="AN49" s="7"/>
      <c r="AO49" s="7"/>
      <c r="AP49" s="7"/>
      <c r="AQ49" s="7"/>
    </row>
    <row r="50" spans="1:43" ht="14.4" x14ac:dyDescent="0.3">
      <c r="A50" s="1"/>
      <c r="B50" s="1"/>
      <c r="C50" s="1"/>
      <c r="D50" s="1"/>
      <c r="E50" s="1"/>
      <c r="F50" s="1"/>
      <c r="G50" s="1"/>
      <c r="H50" s="1"/>
      <c r="I50" s="1"/>
      <c r="J50" s="1"/>
      <c r="K50" s="1"/>
      <c r="L50" s="1"/>
      <c r="M50" s="1"/>
      <c r="N50" s="1"/>
      <c r="O50" s="1"/>
      <c r="P50" s="40"/>
      <c r="Q50" s="41"/>
      <c r="R50" s="338"/>
      <c r="S50" s="338"/>
      <c r="T50" s="204">
        <f>T49+30</f>
        <v>30</v>
      </c>
      <c r="U50" s="41" t="s">
        <v>46</v>
      </c>
      <c r="V50" s="41"/>
      <c r="W50" s="336" t="s">
        <v>47</v>
      </c>
      <c r="X50" s="336"/>
      <c r="Y50" s="146">
        <v>0.1</v>
      </c>
      <c r="Z50" s="41" t="s">
        <v>32</v>
      </c>
      <c r="AA50" s="41"/>
      <c r="AB50" s="42"/>
      <c r="AC50" s="30"/>
      <c r="AD50" s="7"/>
      <c r="AE50" s="7"/>
      <c r="AF50" s="7"/>
      <c r="AG50" s="7"/>
      <c r="AH50" s="7"/>
      <c r="AI50" s="7"/>
      <c r="AJ50" s="7"/>
      <c r="AK50" s="7"/>
      <c r="AL50" s="7"/>
      <c r="AM50" s="7"/>
      <c r="AN50" s="7"/>
      <c r="AO50" s="7"/>
      <c r="AP50" s="7"/>
      <c r="AQ50" s="7"/>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336" t="s">
        <v>48</v>
      </c>
      <c r="X51" s="336"/>
      <c r="Y51" s="146"/>
      <c r="Z51" s="41" t="s">
        <v>32</v>
      </c>
      <c r="AA51" s="41"/>
      <c r="AB51" s="42"/>
      <c r="AC51" s="30"/>
      <c r="AD51" s="7"/>
      <c r="AE51" s="7"/>
      <c r="AF51" s="7"/>
      <c r="AG51" s="7"/>
      <c r="AH51" s="7"/>
      <c r="AI51" s="7"/>
      <c r="AJ51" s="7"/>
      <c r="AK51" s="7"/>
      <c r="AL51" s="7"/>
      <c r="AM51" s="7"/>
      <c r="AN51" s="7"/>
      <c r="AO51" s="7"/>
      <c r="AP51" s="7"/>
      <c r="AQ51" s="7"/>
    </row>
    <row r="52" spans="1:43" ht="14.4" x14ac:dyDescent="0.3">
      <c r="A52" s="1"/>
      <c r="B52" s="1"/>
      <c r="C52" s="1"/>
      <c r="D52" s="1"/>
      <c r="E52" s="1"/>
      <c r="F52" s="1"/>
      <c r="G52" s="1"/>
      <c r="H52" s="1"/>
      <c r="I52" s="1"/>
      <c r="J52" s="1"/>
      <c r="K52" s="1"/>
      <c r="L52" s="1"/>
      <c r="M52" s="1"/>
      <c r="N52" s="1"/>
      <c r="O52" s="1"/>
      <c r="P52" s="40"/>
      <c r="Q52" s="41"/>
      <c r="R52" s="333" t="s">
        <v>49</v>
      </c>
      <c r="S52" s="333"/>
      <c r="T52" s="333"/>
      <c r="U52" s="143"/>
      <c r="V52" s="41"/>
      <c r="W52" s="336" t="s">
        <v>50</v>
      </c>
      <c r="X52" s="336"/>
      <c r="Y52" s="146"/>
      <c r="Z52" s="41" t="s">
        <v>32</v>
      </c>
      <c r="AA52" s="41"/>
      <c r="AB52" s="42"/>
      <c r="AC52" s="30"/>
      <c r="AD52" s="7"/>
      <c r="AE52" s="7"/>
      <c r="AF52" s="7"/>
      <c r="AG52" s="7"/>
      <c r="AH52" s="7"/>
      <c r="AI52" s="7"/>
      <c r="AJ52" s="7"/>
      <c r="AK52" s="7"/>
      <c r="AL52" s="7"/>
      <c r="AM52" s="7"/>
      <c r="AN52" s="7"/>
      <c r="AO52" s="7"/>
      <c r="AP52" s="7"/>
      <c r="AQ52" s="7"/>
    </row>
    <row r="53" spans="1:43" ht="14.4" x14ac:dyDescent="0.3">
      <c r="A53" s="1"/>
      <c r="B53" s="1"/>
      <c r="C53" s="1"/>
      <c r="D53" s="1"/>
      <c r="E53" s="1"/>
      <c r="F53" s="1"/>
      <c r="G53" s="1"/>
      <c r="H53" s="1"/>
      <c r="I53" s="1"/>
      <c r="J53" s="1"/>
      <c r="K53" s="1"/>
      <c r="L53" s="1"/>
      <c r="M53" s="1"/>
      <c r="N53" s="1"/>
      <c r="O53" s="1"/>
      <c r="P53" s="40"/>
      <c r="Q53" s="41"/>
      <c r="R53" s="336" t="s">
        <v>51</v>
      </c>
      <c r="S53" s="336"/>
      <c r="T53" s="146">
        <v>1.19</v>
      </c>
      <c r="U53" s="41" t="s">
        <v>52</v>
      </c>
      <c r="V53" s="41"/>
      <c r="W53" s="336" t="s">
        <v>53</v>
      </c>
      <c r="X53" s="336"/>
      <c r="Y53" s="206">
        <f>SUM(Y50:Y52)</f>
        <v>0.1</v>
      </c>
      <c r="Z53" s="41" t="s">
        <v>32</v>
      </c>
      <c r="AA53" s="41"/>
      <c r="AB53" s="42"/>
      <c r="AC53" s="30"/>
      <c r="AD53" s="7"/>
      <c r="AE53" s="7"/>
      <c r="AF53" s="7"/>
      <c r="AG53" s="7"/>
      <c r="AH53" s="7"/>
      <c r="AI53" s="7"/>
      <c r="AJ53" s="7"/>
      <c r="AK53" s="7"/>
      <c r="AL53" s="7"/>
      <c r="AM53" s="7"/>
      <c r="AN53" s="7"/>
      <c r="AO53" s="7"/>
      <c r="AP53" s="7"/>
      <c r="AQ53" s="7"/>
    </row>
    <row r="54" spans="1:43" ht="14.4" x14ac:dyDescent="0.3">
      <c r="A54" s="1"/>
      <c r="B54" s="1"/>
      <c r="C54" s="1"/>
      <c r="D54" s="1"/>
      <c r="E54" s="1"/>
      <c r="F54" s="1"/>
      <c r="G54" s="1"/>
      <c r="H54" s="1"/>
      <c r="I54" s="1"/>
      <c r="J54" s="1"/>
      <c r="K54" s="1"/>
      <c r="L54" s="1"/>
      <c r="M54" s="1"/>
      <c r="N54" s="1"/>
      <c r="O54" s="1"/>
      <c r="P54" s="40"/>
      <c r="Q54" s="41"/>
      <c r="R54" s="336" t="s">
        <v>54</v>
      </c>
      <c r="S54" s="336"/>
      <c r="T54" s="204">
        <f>T53*Y53</f>
        <v>0.11899999999999999</v>
      </c>
      <c r="U54" s="41" t="s">
        <v>38</v>
      </c>
      <c r="V54" s="41"/>
      <c r="W54" s="41"/>
      <c r="X54" s="41"/>
      <c r="Y54" s="41"/>
      <c r="Z54" s="41"/>
      <c r="AA54" s="41"/>
      <c r="AB54" s="42"/>
      <c r="AC54" s="30"/>
      <c r="AD54" s="7"/>
      <c r="AE54" s="7"/>
      <c r="AF54" s="7"/>
      <c r="AG54" s="7"/>
      <c r="AH54" s="7"/>
      <c r="AI54" s="7"/>
      <c r="AJ54" s="7"/>
      <c r="AK54" s="7"/>
      <c r="AL54" s="7"/>
      <c r="AM54" s="7"/>
      <c r="AN54" s="7"/>
      <c r="AO54" s="7"/>
      <c r="AP54" s="7"/>
      <c r="AQ54" s="7"/>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30"/>
      <c r="AD55" s="7"/>
      <c r="AE55" s="7"/>
      <c r="AF55" s="7"/>
      <c r="AG55" s="7"/>
      <c r="AH55" s="7"/>
      <c r="AI55" s="7"/>
      <c r="AJ55" s="7"/>
      <c r="AK55" s="7"/>
      <c r="AL55" s="7"/>
      <c r="AM55" s="7"/>
      <c r="AN55" s="7"/>
      <c r="AO55" s="7"/>
      <c r="AP55" s="7"/>
      <c r="AQ55" s="7"/>
    </row>
    <row r="56" spans="1:43" ht="14.4" x14ac:dyDescent="0.3">
      <c r="A56" s="1"/>
      <c r="B56" s="1"/>
      <c r="C56" s="1"/>
      <c r="D56" s="1"/>
      <c r="E56" s="1"/>
      <c r="F56" s="1"/>
      <c r="G56" s="1"/>
      <c r="H56" s="1"/>
      <c r="I56" s="1"/>
      <c r="J56" s="1"/>
      <c r="K56" s="1"/>
      <c r="L56" s="1"/>
      <c r="M56" s="1"/>
      <c r="N56" s="1"/>
      <c r="O56" s="1"/>
      <c r="P56" s="40"/>
      <c r="Q56" s="41"/>
      <c r="R56" s="333" t="s">
        <v>55</v>
      </c>
      <c r="S56" s="333"/>
      <c r="T56" s="333"/>
      <c r="U56" s="333"/>
      <c r="V56" s="333"/>
      <c r="W56" s="333"/>
      <c r="X56" s="333"/>
      <c r="Y56" s="143"/>
      <c r="Z56" s="143"/>
      <c r="AA56" s="41"/>
      <c r="AB56" s="42"/>
      <c r="AC56" s="30"/>
      <c r="AD56" s="7"/>
      <c r="AE56" s="7"/>
      <c r="AF56" s="7"/>
      <c r="AG56" s="7"/>
      <c r="AH56" s="7"/>
      <c r="AI56" s="7"/>
      <c r="AJ56" s="7"/>
      <c r="AK56" s="7"/>
      <c r="AL56" s="7"/>
      <c r="AM56" s="7"/>
      <c r="AN56" s="7"/>
      <c r="AO56" s="7"/>
      <c r="AP56" s="7"/>
      <c r="AQ56" s="7"/>
    </row>
    <row r="57" spans="1:43" ht="14.4" x14ac:dyDescent="0.3">
      <c r="A57" s="1"/>
      <c r="B57" s="1"/>
      <c r="C57" s="1"/>
      <c r="D57" s="1"/>
      <c r="E57" s="1"/>
      <c r="F57" s="1"/>
      <c r="G57" s="1"/>
      <c r="H57" s="1"/>
      <c r="I57" s="1"/>
      <c r="J57" s="1"/>
      <c r="K57" s="1"/>
      <c r="L57" s="1"/>
      <c r="M57" s="1"/>
      <c r="N57" s="1"/>
      <c r="O57" s="1"/>
      <c r="P57" s="40"/>
      <c r="Q57" s="41"/>
      <c r="R57" s="336" t="s">
        <v>56</v>
      </c>
      <c r="S57" s="336"/>
      <c r="T57" s="336"/>
      <c r="U57" s="336"/>
      <c r="V57" s="339">
        <v>0</v>
      </c>
      <c r="W57" s="340"/>
      <c r="X57" s="341"/>
      <c r="Y57" s="41" t="s">
        <v>57</v>
      </c>
      <c r="Z57" s="41"/>
      <c r="AA57" s="41"/>
      <c r="AB57" s="42"/>
      <c r="AC57" s="30"/>
      <c r="AD57" s="7"/>
      <c r="AE57" s="7"/>
      <c r="AF57" s="7"/>
      <c r="AG57" s="7"/>
      <c r="AH57" s="7"/>
      <c r="AI57" s="7"/>
      <c r="AJ57" s="7"/>
      <c r="AK57" s="7"/>
      <c r="AL57" s="7"/>
      <c r="AM57" s="7"/>
      <c r="AN57" s="7"/>
      <c r="AO57" s="7"/>
      <c r="AP57" s="7"/>
      <c r="AQ57" s="7"/>
    </row>
    <row r="58" spans="1:43" ht="14.4" x14ac:dyDescent="0.3">
      <c r="A58" s="1"/>
      <c r="B58" s="1"/>
      <c r="C58" s="1"/>
      <c r="D58" s="1"/>
      <c r="E58" s="1"/>
      <c r="F58" s="1"/>
      <c r="G58" s="1"/>
      <c r="H58" s="1"/>
      <c r="I58" s="1"/>
      <c r="J58" s="1"/>
      <c r="K58" s="1"/>
      <c r="L58" s="1"/>
      <c r="M58" s="1"/>
      <c r="N58" s="1"/>
      <c r="O58" s="1"/>
      <c r="P58" s="40"/>
      <c r="Q58" s="41"/>
      <c r="R58" s="336" t="s">
        <v>58</v>
      </c>
      <c r="S58" s="336"/>
      <c r="T58" s="336"/>
      <c r="U58" s="336"/>
      <c r="V58" s="342">
        <v>0.2</v>
      </c>
      <c r="W58" s="343"/>
      <c r="X58" s="344"/>
      <c r="Y58" s="41" t="s">
        <v>38</v>
      </c>
      <c r="Z58" s="41"/>
      <c r="AA58" s="41"/>
      <c r="AB58" s="42"/>
      <c r="AC58" s="30"/>
      <c r="AD58" s="7"/>
      <c r="AE58" s="7"/>
      <c r="AF58" s="7"/>
      <c r="AG58" s="7"/>
      <c r="AH58" s="7"/>
      <c r="AI58" s="7"/>
      <c r="AJ58" s="7"/>
      <c r="AK58" s="7"/>
      <c r="AL58" s="7"/>
      <c r="AM58" s="7"/>
      <c r="AN58" s="7"/>
      <c r="AO58" s="7"/>
      <c r="AP58" s="7"/>
      <c r="AQ58" s="7"/>
    </row>
    <row r="59" spans="1:43" ht="14.4" x14ac:dyDescent="0.3">
      <c r="A59" s="1"/>
      <c r="B59" s="1"/>
      <c r="C59" s="1"/>
      <c r="D59" s="1"/>
      <c r="E59" s="1"/>
      <c r="F59" s="1"/>
      <c r="G59" s="1"/>
      <c r="H59" s="1"/>
      <c r="I59" s="1"/>
      <c r="J59" s="1"/>
      <c r="K59" s="1"/>
      <c r="L59" s="1"/>
      <c r="M59" s="1"/>
      <c r="N59" s="1"/>
      <c r="O59" s="1"/>
      <c r="P59" s="40"/>
      <c r="Q59" s="41"/>
      <c r="R59" s="336" t="s">
        <v>59</v>
      </c>
      <c r="S59" s="336"/>
      <c r="T59" s="336"/>
      <c r="U59" s="336"/>
      <c r="V59" s="339">
        <v>0</v>
      </c>
      <c r="W59" s="340"/>
      <c r="X59" s="341"/>
      <c r="Y59" s="41" t="s">
        <v>38</v>
      </c>
      <c r="Z59" s="41"/>
      <c r="AA59" s="41"/>
      <c r="AB59" s="42"/>
      <c r="AC59" s="30"/>
      <c r="AD59" s="7"/>
      <c r="AE59" s="7"/>
      <c r="AF59" s="7"/>
      <c r="AG59" s="7"/>
      <c r="AH59" s="7"/>
      <c r="AI59" s="7"/>
      <c r="AJ59" s="7"/>
      <c r="AK59" s="7"/>
      <c r="AL59" s="7"/>
      <c r="AM59" s="7"/>
      <c r="AN59" s="7"/>
      <c r="AO59" s="7"/>
      <c r="AP59" s="7"/>
      <c r="AQ59" s="7"/>
    </row>
    <row r="60" spans="1:43" ht="14.4" x14ac:dyDescent="0.3">
      <c r="A60" s="1"/>
      <c r="B60" s="1"/>
      <c r="C60" s="1"/>
      <c r="D60" s="1"/>
      <c r="E60" s="1"/>
      <c r="F60" s="1"/>
      <c r="G60" s="1"/>
      <c r="H60" s="1"/>
      <c r="I60" s="1"/>
      <c r="J60" s="1"/>
      <c r="K60" s="1"/>
      <c r="L60" s="1"/>
      <c r="M60" s="1"/>
      <c r="N60" s="1"/>
      <c r="O60" s="1"/>
      <c r="P60" s="40"/>
      <c r="Q60" s="41"/>
      <c r="R60" s="336" t="s">
        <v>60</v>
      </c>
      <c r="S60" s="336"/>
      <c r="T60" s="336"/>
      <c r="U60" s="336"/>
      <c r="V60" s="339">
        <v>0</v>
      </c>
      <c r="W60" s="340"/>
      <c r="X60" s="341"/>
      <c r="Y60" s="41" t="s">
        <v>38</v>
      </c>
      <c r="Z60" s="41"/>
      <c r="AA60" s="41"/>
      <c r="AB60" s="42"/>
      <c r="AC60" s="30"/>
      <c r="AD60" s="7"/>
      <c r="AE60" s="7"/>
      <c r="AF60" s="7"/>
      <c r="AG60" s="7"/>
      <c r="AH60" s="7"/>
      <c r="AI60" s="7"/>
      <c r="AJ60" s="7"/>
      <c r="AK60" s="7"/>
      <c r="AL60" s="7"/>
      <c r="AM60" s="7"/>
      <c r="AN60" s="7"/>
      <c r="AO60" s="7"/>
      <c r="AP60" s="7"/>
      <c r="AQ60" s="7"/>
    </row>
    <row r="61" spans="1:43" ht="14.4" x14ac:dyDescent="0.3">
      <c r="A61" s="1"/>
      <c r="B61" s="1"/>
      <c r="C61" s="1"/>
      <c r="D61" s="1"/>
      <c r="E61" s="1"/>
      <c r="F61" s="1"/>
      <c r="G61" s="1"/>
      <c r="H61" s="1"/>
      <c r="I61" s="1"/>
      <c r="J61" s="1"/>
      <c r="K61" s="1"/>
      <c r="L61" s="1"/>
      <c r="M61" s="1"/>
      <c r="N61" s="1"/>
      <c r="O61" s="1"/>
      <c r="P61" s="40"/>
      <c r="Q61" s="41"/>
      <c r="R61" s="336" t="s">
        <v>61</v>
      </c>
      <c r="S61" s="336"/>
      <c r="T61" s="336"/>
      <c r="U61" s="336"/>
      <c r="V61" s="339">
        <v>7.4999999999999997E-2</v>
      </c>
      <c r="W61" s="340"/>
      <c r="X61" s="341"/>
      <c r="Y61" s="41" t="s">
        <v>38</v>
      </c>
      <c r="Z61" s="41"/>
      <c r="AA61" s="41"/>
      <c r="AB61" s="42"/>
      <c r="AC61" s="30"/>
      <c r="AD61" s="7"/>
      <c r="AE61" s="7"/>
      <c r="AF61" s="7"/>
      <c r="AG61" s="7"/>
      <c r="AH61" s="7"/>
      <c r="AI61" s="7"/>
      <c r="AJ61" s="7"/>
      <c r="AK61" s="7"/>
      <c r="AL61" s="7"/>
      <c r="AM61" s="7"/>
      <c r="AN61" s="7"/>
      <c r="AO61" s="7"/>
      <c r="AP61" s="7"/>
      <c r="AQ61" s="7"/>
    </row>
    <row r="62" spans="1:43" ht="14.4" x14ac:dyDescent="0.3">
      <c r="A62" s="1"/>
      <c r="B62" s="1"/>
      <c r="C62" s="1"/>
      <c r="D62" s="1"/>
      <c r="E62" s="1"/>
      <c r="F62" s="1"/>
      <c r="G62" s="1"/>
      <c r="H62" s="1"/>
      <c r="I62" s="1"/>
      <c r="J62" s="1"/>
      <c r="K62" s="1"/>
      <c r="L62" s="1"/>
      <c r="M62" s="1"/>
      <c r="N62" s="1"/>
      <c r="O62" s="1"/>
      <c r="P62" s="40"/>
      <c r="Q62" s="41"/>
      <c r="R62" s="41"/>
      <c r="S62" s="41"/>
      <c r="T62" s="41"/>
      <c r="U62" s="41"/>
      <c r="V62" s="41"/>
      <c r="W62" s="41"/>
      <c r="X62" s="41"/>
      <c r="Y62" s="41"/>
      <c r="Z62" s="41"/>
      <c r="AA62" s="41"/>
      <c r="AB62" s="42"/>
      <c r="AC62" s="30"/>
      <c r="AD62" s="7"/>
      <c r="AE62" s="7"/>
      <c r="AF62" s="7"/>
      <c r="AG62" s="7"/>
      <c r="AH62" s="7"/>
      <c r="AI62" s="7"/>
      <c r="AJ62" s="7"/>
      <c r="AK62" s="7"/>
      <c r="AL62" s="7"/>
      <c r="AM62" s="7"/>
      <c r="AN62" s="7"/>
      <c r="AO62" s="7"/>
      <c r="AP62" s="7"/>
      <c r="AQ62" s="7"/>
    </row>
    <row r="63" spans="1:43" ht="14.4" x14ac:dyDescent="0.3">
      <c r="A63" s="1"/>
      <c r="B63" s="1"/>
      <c r="C63" s="1"/>
      <c r="D63" s="1"/>
      <c r="E63" s="1"/>
      <c r="F63" s="1"/>
      <c r="G63" s="1"/>
      <c r="H63" s="1"/>
      <c r="I63" s="1"/>
      <c r="J63" s="1"/>
      <c r="K63" s="1"/>
      <c r="L63" s="1"/>
      <c r="M63" s="1"/>
      <c r="N63" s="1"/>
      <c r="O63" s="1"/>
      <c r="P63" s="40"/>
      <c r="Q63" s="41"/>
      <c r="R63" s="41"/>
      <c r="S63" s="41"/>
      <c r="T63" s="333" t="s">
        <v>62</v>
      </c>
      <c r="U63" s="333"/>
      <c r="V63" s="333"/>
      <c r="W63" s="333"/>
      <c r="X63" s="333"/>
      <c r="Y63" s="41"/>
      <c r="Z63" s="41"/>
      <c r="AA63" s="41"/>
      <c r="AB63" s="42"/>
      <c r="AC63" s="30"/>
      <c r="AD63" s="7"/>
      <c r="AE63" s="7"/>
      <c r="AF63" s="7"/>
      <c r="AG63" s="7"/>
      <c r="AH63" s="7"/>
      <c r="AI63" s="7"/>
      <c r="AJ63" s="7"/>
      <c r="AK63" s="7"/>
      <c r="AL63" s="7"/>
      <c r="AM63" s="7"/>
      <c r="AN63" s="7"/>
      <c r="AO63" s="7"/>
      <c r="AP63" s="7"/>
      <c r="AQ63" s="7"/>
    </row>
    <row r="64" spans="1:43" ht="14.4" x14ac:dyDescent="0.3">
      <c r="A64" s="1"/>
      <c r="B64" s="1"/>
      <c r="C64" s="1"/>
      <c r="D64" s="1"/>
      <c r="E64" s="1"/>
      <c r="F64" s="1"/>
      <c r="G64" s="1"/>
      <c r="H64" s="1"/>
      <c r="I64" s="1"/>
      <c r="J64" s="1"/>
      <c r="K64" s="1"/>
      <c r="L64" s="1"/>
      <c r="M64" s="1"/>
      <c r="N64" s="1"/>
      <c r="O64" s="1"/>
      <c r="P64" s="40"/>
      <c r="Q64" s="41"/>
      <c r="R64" s="41"/>
      <c r="S64" s="41"/>
      <c r="T64" s="336" t="s">
        <v>63</v>
      </c>
      <c r="U64" s="336"/>
      <c r="V64" s="345">
        <f>T54+SUM(V58:X61)</f>
        <v>0.39400000000000002</v>
      </c>
      <c r="W64" s="346"/>
      <c r="X64" s="41" t="s">
        <v>38</v>
      </c>
      <c r="Y64" s="41"/>
      <c r="Z64" s="41"/>
      <c r="AA64" s="41"/>
      <c r="AB64" s="42"/>
      <c r="AC64" s="30"/>
      <c r="AD64" s="7"/>
      <c r="AE64" s="7"/>
      <c r="AF64" s="7"/>
      <c r="AG64" s="7"/>
      <c r="AH64" s="7"/>
      <c r="AI64" s="7"/>
      <c r="AJ64" s="7"/>
      <c r="AK64" s="7"/>
      <c r="AL64" s="7"/>
      <c r="AM64" s="7"/>
      <c r="AN64" s="7"/>
      <c r="AO64" s="7"/>
      <c r="AP64" s="7"/>
      <c r="AQ64" s="7"/>
    </row>
    <row r="65" spans="1:43" ht="14.4" x14ac:dyDescent="0.3">
      <c r="A65" s="1"/>
      <c r="B65" s="1"/>
      <c r="C65" s="1"/>
      <c r="D65" s="1"/>
      <c r="E65" s="1"/>
      <c r="F65" s="1"/>
      <c r="G65" s="1"/>
      <c r="H65" s="1"/>
      <c r="I65" s="1"/>
      <c r="J65" s="1"/>
      <c r="K65" s="1"/>
      <c r="L65" s="1"/>
      <c r="M65" s="1"/>
      <c r="N65" s="1"/>
      <c r="O65" s="1"/>
      <c r="P65" s="40"/>
      <c r="Q65" s="41"/>
      <c r="R65" s="41"/>
      <c r="S65" s="41"/>
      <c r="T65" s="336" t="s">
        <v>64</v>
      </c>
      <c r="U65" s="336"/>
      <c r="V65" s="345">
        <f>T49-V64</f>
        <v>-0.39400000000000002</v>
      </c>
      <c r="W65" s="346"/>
      <c r="X65" s="41" t="s">
        <v>44</v>
      </c>
      <c r="Y65" s="41"/>
      <c r="Z65" s="41"/>
      <c r="AA65" s="41"/>
      <c r="AB65" s="42"/>
      <c r="AC65" s="30"/>
      <c r="AD65" s="7"/>
      <c r="AE65" s="7"/>
      <c r="AF65" s="7"/>
      <c r="AG65" s="7"/>
      <c r="AH65" s="7"/>
      <c r="AI65" s="7"/>
      <c r="AJ65" s="7"/>
      <c r="AK65" s="7"/>
      <c r="AL65" s="7"/>
      <c r="AM65" s="7"/>
      <c r="AN65" s="7"/>
      <c r="AO65" s="7"/>
      <c r="AP65" s="7"/>
      <c r="AQ65" s="7"/>
    </row>
    <row r="66" spans="1:43" ht="14.4" x14ac:dyDescent="0.3">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30"/>
      <c r="AD66" s="7"/>
      <c r="AE66" s="7"/>
      <c r="AF66" s="7"/>
      <c r="AG66" s="7"/>
      <c r="AH66" s="7"/>
      <c r="AI66" s="7"/>
      <c r="AJ66" s="7"/>
      <c r="AK66" s="7"/>
      <c r="AL66" s="7"/>
      <c r="AM66" s="7"/>
      <c r="AN66" s="7"/>
      <c r="AO66" s="7"/>
      <c r="AP66" s="7"/>
      <c r="AQ66" s="7"/>
    </row>
    <row r="67" spans="1:43" ht="15" thickBot="1" x14ac:dyDescent="0.35">
      <c r="A67" s="1"/>
      <c r="B67" s="1"/>
      <c r="C67" s="1"/>
      <c r="D67" s="1"/>
      <c r="E67" s="1"/>
      <c r="F67" s="1"/>
      <c r="G67" s="1"/>
      <c r="H67" s="1"/>
      <c r="I67" s="1"/>
      <c r="J67" s="1"/>
      <c r="K67" s="1"/>
      <c r="L67" s="1"/>
      <c r="M67" s="1"/>
      <c r="N67" s="1"/>
      <c r="O67" s="1"/>
      <c r="P67" s="43"/>
      <c r="Q67" s="44"/>
      <c r="R67" s="44"/>
      <c r="S67" s="44"/>
      <c r="T67" s="44"/>
      <c r="U67" s="44"/>
      <c r="V67" s="44"/>
      <c r="W67" s="44"/>
      <c r="X67" s="44"/>
      <c r="Y67" s="44"/>
      <c r="Z67" s="44"/>
      <c r="AA67" s="44"/>
      <c r="AB67" s="45"/>
      <c r="AC67" s="30"/>
      <c r="AD67" s="7"/>
      <c r="AE67" s="7"/>
      <c r="AF67" s="7"/>
      <c r="AG67" s="7"/>
      <c r="AH67" s="7"/>
      <c r="AI67" s="7"/>
      <c r="AJ67" s="7"/>
      <c r="AK67" s="7"/>
      <c r="AL67" s="7"/>
      <c r="AM67" s="7"/>
      <c r="AN67" s="7"/>
      <c r="AO67" s="7"/>
      <c r="AP67" s="7"/>
      <c r="AQ67" s="7"/>
    </row>
    <row r="68" spans="1:43"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7"/>
      <c r="AD68" s="7"/>
      <c r="AE68" s="7"/>
      <c r="AF68" s="7"/>
      <c r="AG68" s="7"/>
      <c r="AH68" s="7"/>
      <c r="AI68" s="7"/>
      <c r="AJ68" s="7"/>
      <c r="AK68" s="7"/>
      <c r="AL68" s="7"/>
      <c r="AM68" s="7"/>
      <c r="AN68" s="7"/>
      <c r="AO68" s="7"/>
      <c r="AP68" s="7"/>
      <c r="AQ68" s="7"/>
    </row>
  </sheetData>
  <mergeCells count="56">
    <mergeCell ref="R47:T47"/>
    <mergeCell ref="W49:Y49"/>
    <mergeCell ref="AA30:AB30"/>
    <mergeCell ref="R23:X23"/>
    <mergeCell ref="T30:W30"/>
    <mergeCell ref="R26:U26"/>
    <mergeCell ref="V26:X26"/>
    <mergeCell ref="R27:U27"/>
    <mergeCell ref="V27:X27"/>
    <mergeCell ref="R24:U24"/>
    <mergeCell ref="V24:X24"/>
    <mergeCell ref="R25:U25"/>
    <mergeCell ref="V25:X25"/>
    <mergeCell ref="T65:U65"/>
    <mergeCell ref="V65:W65"/>
    <mergeCell ref="R61:U61"/>
    <mergeCell ref="V61:X61"/>
    <mergeCell ref="T63:X63"/>
    <mergeCell ref="T64:U64"/>
    <mergeCell ref="V64:W64"/>
    <mergeCell ref="R59:U59"/>
    <mergeCell ref="V59:X59"/>
    <mergeCell ref="R60:U60"/>
    <mergeCell ref="V60:X60"/>
    <mergeCell ref="R57:U57"/>
    <mergeCell ref="V57:X57"/>
    <mergeCell ref="R58:U58"/>
    <mergeCell ref="V58:X58"/>
    <mergeCell ref="R56:X56"/>
    <mergeCell ref="R28:U28"/>
    <mergeCell ref="V28:X28"/>
    <mergeCell ref="T31:U31"/>
    <mergeCell ref="V31:W31"/>
    <mergeCell ref="R54:S54"/>
    <mergeCell ref="T32:U32"/>
    <mergeCell ref="V32:W32"/>
    <mergeCell ref="R39:Z39"/>
    <mergeCell ref="R48:S50"/>
    <mergeCell ref="W50:X50"/>
    <mergeCell ref="W51:X51"/>
    <mergeCell ref="W52:X52"/>
    <mergeCell ref="R53:S53"/>
    <mergeCell ref="W53:X53"/>
    <mergeCell ref="R52:T52"/>
    <mergeCell ref="R2:Z2"/>
    <mergeCell ref="R6:Z6"/>
    <mergeCell ref="R15:S17"/>
    <mergeCell ref="W17:X17"/>
    <mergeCell ref="W18:X18"/>
    <mergeCell ref="R14:T14"/>
    <mergeCell ref="W16:Y16"/>
    <mergeCell ref="W19:X19"/>
    <mergeCell ref="R20:S20"/>
    <mergeCell ref="W20:X20"/>
    <mergeCell ref="R21:S21"/>
    <mergeCell ref="R19:T19"/>
  </mergeCells>
  <pageMargins left="0.7" right="0.7" top="0.75" bottom="0.75" header="0.3" footer="0.3"/>
  <pageSetup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20B5-B888-4E71-A815-94B8066574EC}">
  <sheetPr>
    <tabColor rgb="FFE1CDFF"/>
  </sheetPr>
  <dimension ref="A1:AX58"/>
  <sheetViews>
    <sheetView topLeftCell="A19" zoomScale="85" zoomScaleNormal="85" workbookViewId="0">
      <selection activeCell="W39" sqref="W39"/>
    </sheetView>
  </sheetViews>
  <sheetFormatPr defaultColWidth="0" defaultRowHeight="14.4" zeroHeight="1" x14ac:dyDescent="0.3"/>
  <cols>
    <col min="1" max="17" width="3.33203125" style="173" customWidth="1"/>
    <col min="18" max="18" width="8.6640625" style="173" customWidth="1"/>
    <col min="19" max="19" width="16.109375" style="173" bestFit="1" customWidth="1"/>
    <col min="20" max="20" width="14.5546875" style="173" bestFit="1" customWidth="1"/>
    <col min="21" max="21" width="8.5546875" style="173" customWidth="1"/>
    <col min="22" max="22" width="18" style="173" bestFit="1" customWidth="1"/>
    <col min="23" max="23" width="10" style="173" bestFit="1" customWidth="1"/>
    <col min="24" max="24" width="15.88671875" style="173" bestFit="1" customWidth="1"/>
    <col min="25" max="41" width="3.33203125" style="176" customWidth="1"/>
    <col min="42" max="50" width="3.33203125" style="173" hidden="1" customWidth="1"/>
    <col min="51" max="16384" width="0" style="173" hidden="1"/>
  </cols>
  <sheetData>
    <row r="1" spans="1:5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ht="16.2" thickBot="1" x14ac:dyDescent="0.35">
      <c r="A2" s="7"/>
      <c r="B2" s="7"/>
      <c r="C2" s="7"/>
      <c r="D2" s="7"/>
      <c r="E2" s="7"/>
      <c r="F2" s="7"/>
      <c r="G2" s="7"/>
      <c r="H2" s="7"/>
      <c r="I2" s="7"/>
      <c r="J2" s="7"/>
      <c r="K2" s="7"/>
      <c r="L2" s="7"/>
      <c r="M2" s="7"/>
      <c r="N2" s="7"/>
      <c r="O2" s="7"/>
      <c r="P2" s="7"/>
      <c r="Q2" s="7"/>
      <c r="R2" s="290" t="s">
        <v>0</v>
      </c>
      <c r="S2" s="291"/>
      <c r="T2" s="291"/>
      <c r="U2" s="291"/>
      <c r="V2" s="291"/>
      <c r="W2" s="291"/>
      <c r="X2" s="291"/>
      <c r="Y2" s="185"/>
      <c r="Z2" s="186"/>
      <c r="AA2" s="186"/>
      <c r="AB2" s="186"/>
      <c r="AC2" s="186"/>
      <c r="AD2" s="186"/>
      <c r="AE2" s="186"/>
      <c r="AF2" s="186"/>
      <c r="AG2" s="186"/>
      <c r="AH2" s="7"/>
      <c r="AI2" s="7"/>
      <c r="AJ2" s="7"/>
      <c r="AK2" s="7"/>
      <c r="AL2" s="7"/>
      <c r="AM2" s="7"/>
      <c r="AN2" s="7"/>
      <c r="AO2" s="7"/>
      <c r="AP2" s="7"/>
      <c r="AQ2" s="7"/>
      <c r="AR2" s="7"/>
      <c r="AS2" s="1"/>
      <c r="AT2" s="1"/>
      <c r="AU2" s="1"/>
      <c r="AV2" s="1"/>
      <c r="AW2" s="1"/>
      <c r="AX2" s="1"/>
    </row>
    <row r="3" spans="1:50" ht="15" thickBot="1" x14ac:dyDescent="0.35">
      <c r="A3" s="1" t="s">
        <v>67</v>
      </c>
      <c r="B3" s="1"/>
      <c r="C3" s="1"/>
      <c r="D3" s="1"/>
      <c r="E3" s="1"/>
      <c r="F3" s="1"/>
      <c r="G3" s="1"/>
      <c r="H3" s="1"/>
      <c r="I3" s="1"/>
      <c r="J3" s="1"/>
      <c r="K3" s="1"/>
      <c r="L3" s="1"/>
      <c r="M3" s="1"/>
      <c r="N3" s="1"/>
      <c r="O3" s="1"/>
      <c r="P3" s="1"/>
      <c r="Q3" s="1"/>
      <c r="R3" s="1"/>
      <c r="S3" s="1"/>
      <c r="T3" s="1"/>
      <c r="U3" s="1"/>
      <c r="V3" s="1"/>
      <c r="W3" s="1"/>
      <c r="X3" s="1"/>
      <c r="Y3" s="1"/>
      <c r="Z3" s="1"/>
      <c r="AA3" s="1"/>
      <c r="AB3" s="1"/>
      <c r="AC3" s="1" t="s">
        <v>67</v>
      </c>
      <c r="AD3" s="1"/>
      <c r="AE3" s="1"/>
      <c r="AF3" s="1"/>
      <c r="AG3" s="1"/>
      <c r="AH3" s="1"/>
      <c r="AI3" s="1"/>
      <c r="AJ3" s="1"/>
      <c r="AK3" s="1"/>
      <c r="AL3" s="1"/>
      <c r="AM3" s="1"/>
      <c r="AN3" s="1"/>
      <c r="AO3" s="1"/>
      <c r="AP3" s="1"/>
      <c r="AQ3" s="1"/>
      <c r="AR3" s="1"/>
      <c r="AS3" s="1"/>
      <c r="AT3" s="1"/>
      <c r="AU3" s="1"/>
      <c r="AV3" s="1"/>
      <c r="AW3" s="1"/>
      <c r="AX3" s="1"/>
    </row>
    <row r="4" spans="1:50" x14ac:dyDescent="0.3">
      <c r="A4" s="1"/>
      <c r="B4" s="1"/>
      <c r="C4" s="1"/>
      <c r="D4" s="1"/>
      <c r="E4" s="1"/>
      <c r="F4" s="1"/>
      <c r="G4" s="1"/>
      <c r="H4" s="1"/>
      <c r="I4" s="1"/>
      <c r="J4" s="1"/>
      <c r="K4" s="1"/>
      <c r="L4" s="1"/>
      <c r="M4" s="1"/>
      <c r="N4" s="1"/>
      <c r="O4" s="1"/>
      <c r="P4" s="27"/>
      <c r="Q4" s="28"/>
      <c r="R4" s="28"/>
      <c r="S4" s="28"/>
      <c r="T4" s="28"/>
      <c r="U4" s="28"/>
      <c r="V4" s="28"/>
      <c r="W4" s="28"/>
      <c r="X4" s="28"/>
      <c r="Y4" s="28"/>
      <c r="Z4" s="29"/>
      <c r="AA4" s="180"/>
      <c r="AB4" s="180"/>
      <c r="AC4" s="1"/>
      <c r="AD4" s="1"/>
      <c r="AE4" s="1"/>
      <c r="AF4" s="1"/>
      <c r="AG4" s="1"/>
      <c r="AH4" s="1"/>
      <c r="AI4" s="1"/>
      <c r="AJ4" s="1"/>
      <c r="AK4" s="1"/>
      <c r="AL4" s="1"/>
      <c r="AM4" s="1"/>
      <c r="AN4" s="1"/>
      <c r="AO4" s="1"/>
      <c r="AP4" s="1"/>
      <c r="AQ4" s="1"/>
      <c r="AR4" s="1"/>
      <c r="AS4" s="1"/>
      <c r="AT4" s="1"/>
      <c r="AU4" s="1"/>
      <c r="AV4" s="1"/>
      <c r="AW4" s="1"/>
      <c r="AX4" s="1"/>
    </row>
    <row r="5" spans="1:50" ht="15" thickBot="1" x14ac:dyDescent="0.35">
      <c r="A5" s="1"/>
      <c r="B5" s="1"/>
      <c r="C5" s="1"/>
      <c r="D5" s="1"/>
      <c r="E5" s="1"/>
      <c r="F5" s="1"/>
      <c r="G5" s="1"/>
      <c r="H5" s="1"/>
      <c r="I5" s="1"/>
      <c r="J5" s="1"/>
      <c r="K5" s="1"/>
      <c r="L5" s="1"/>
      <c r="M5" s="1"/>
      <c r="N5" s="1"/>
      <c r="O5" s="1"/>
      <c r="P5" s="31"/>
      <c r="Q5" s="32"/>
      <c r="R5" s="32"/>
      <c r="S5" s="200"/>
      <c r="T5" s="32"/>
      <c r="U5" s="32"/>
      <c r="V5" s="32"/>
      <c r="W5" s="32"/>
      <c r="X5" s="32"/>
      <c r="Y5" s="32"/>
      <c r="Z5" s="33"/>
      <c r="AA5" s="180"/>
      <c r="AB5" s="180"/>
      <c r="AC5" s="1"/>
      <c r="AD5" s="1"/>
      <c r="AE5" s="1"/>
      <c r="AF5" s="1"/>
      <c r="AG5" s="1"/>
      <c r="AH5" s="1"/>
      <c r="AI5" s="1"/>
      <c r="AJ5" s="1"/>
      <c r="AK5" s="1"/>
      <c r="AL5" s="1"/>
      <c r="AM5" s="1"/>
      <c r="AN5" s="1"/>
      <c r="AO5" s="1"/>
      <c r="AP5" s="1"/>
      <c r="AQ5" s="1"/>
      <c r="AR5" s="1"/>
      <c r="AS5" s="1"/>
      <c r="AT5" s="1"/>
      <c r="AU5" s="1"/>
      <c r="AV5" s="1"/>
      <c r="AW5" s="1"/>
      <c r="AX5" s="1"/>
    </row>
    <row r="6" spans="1:50" ht="30.6" thickBot="1" x14ac:dyDescent="0.35">
      <c r="A6" s="1"/>
      <c r="B6" s="1"/>
      <c r="C6" s="1"/>
      <c r="D6" s="1"/>
      <c r="E6" s="1"/>
      <c r="F6" s="1"/>
      <c r="G6" s="1"/>
      <c r="H6" s="1"/>
      <c r="I6" s="1"/>
      <c r="J6" s="1"/>
      <c r="K6" s="1"/>
      <c r="L6" s="1"/>
      <c r="M6" s="1"/>
      <c r="N6" s="1"/>
      <c r="O6" s="1"/>
      <c r="P6" s="31"/>
      <c r="Q6" s="32"/>
      <c r="R6" s="293" t="s">
        <v>68</v>
      </c>
      <c r="S6" s="294"/>
      <c r="T6" s="294"/>
      <c r="U6" s="294"/>
      <c r="V6" s="294"/>
      <c r="W6" s="294"/>
      <c r="X6" s="295"/>
      <c r="Y6" s="31"/>
      <c r="Z6" s="33"/>
      <c r="AA6" s="180"/>
      <c r="AB6" s="180"/>
      <c r="AC6" s="1"/>
      <c r="AD6" s="1"/>
      <c r="AE6" s="1"/>
      <c r="AF6" s="1"/>
      <c r="AG6" s="1"/>
      <c r="AH6" s="1"/>
      <c r="AI6" s="1"/>
      <c r="AJ6" s="1"/>
      <c r="AK6" s="1"/>
      <c r="AL6" s="1"/>
      <c r="AM6" s="1"/>
      <c r="AN6" s="1"/>
      <c r="AO6" s="1"/>
      <c r="AP6" s="1"/>
      <c r="AQ6" s="1"/>
      <c r="AR6" s="1"/>
      <c r="AS6" s="1"/>
      <c r="AT6" s="1"/>
      <c r="AU6" s="1"/>
      <c r="AV6" s="1"/>
      <c r="AW6" s="1"/>
      <c r="AX6" s="1"/>
    </row>
    <row r="7" spans="1:50" x14ac:dyDescent="0.3">
      <c r="A7" s="1"/>
      <c r="B7" s="1"/>
      <c r="C7" s="1"/>
      <c r="D7" s="1"/>
      <c r="E7" s="1"/>
      <c r="F7" s="1"/>
      <c r="G7" s="1"/>
      <c r="H7" s="1"/>
      <c r="I7" s="1"/>
      <c r="J7" s="1"/>
      <c r="K7" s="1"/>
      <c r="L7" s="1"/>
      <c r="M7" s="1"/>
      <c r="N7" s="1"/>
      <c r="O7" s="1"/>
      <c r="P7" s="31"/>
      <c r="Q7" s="32"/>
      <c r="R7" s="32"/>
      <c r="S7" s="32"/>
      <c r="T7" s="32"/>
      <c r="U7" s="32"/>
      <c r="V7" s="32"/>
      <c r="W7" s="32"/>
      <c r="X7" s="32"/>
      <c r="Y7" s="32"/>
      <c r="Z7" s="33"/>
      <c r="AA7" s="180"/>
      <c r="AB7" s="180"/>
      <c r="AC7" s="1"/>
      <c r="AD7" s="1"/>
      <c r="AE7" s="1"/>
      <c r="AF7" s="1"/>
      <c r="AG7" s="1"/>
      <c r="AH7" s="1"/>
      <c r="AI7" s="1"/>
      <c r="AJ7" s="1"/>
      <c r="AK7" s="1"/>
      <c r="AL7" s="1"/>
      <c r="AM7" s="1"/>
      <c r="AN7" s="1"/>
      <c r="AO7" s="1"/>
      <c r="AP7" s="1"/>
      <c r="AQ7" s="1"/>
      <c r="AR7" s="1"/>
      <c r="AS7" s="1"/>
      <c r="AT7" s="1"/>
      <c r="AU7" s="1"/>
      <c r="AV7" s="1"/>
      <c r="AW7" s="1"/>
      <c r="AX7" s="1"/>
    </row>
    <row r="8" spans="1:50" x14ac:dyDescent="0.3">
      <c r="A8" s="1"/>
      <c r="B8" s="1"/>
      <c r="C8" s="1"/>
      <c r="D8" s="1"/>
      <c r="E8" s="1"/>
      <c r="F8" s="1"/>
      <c r="G8" s="1"/>
      <c r="H8" s="1"/>
      <c r="I8" s="1"/>
      <c r="J8" s="1"/>
      <c r="K8" s="1"/>
      <c r="L8" s="1"/>
      <c r="M8" s="1"/>
      <c r="N8" s="1"/>
      <c r="O8" s="1"/>
      <c r="P8" s="31"/>
      <c r="Q8" s="32"/>
      <c r="R8" s="329" t="s">
        <v>11</v>
      </c>
      <c r="S8" s="329"/>
      <c r="T8" s="181">
        <f>Inputs!V15</f>
        <v>437.30500000000001</v>
      </c>
      <c r="U8" s="68" t="s">
        <v>12</v>
      </c>
      <c r="V8" s="177"/>
      <c r="W8" s="32"/>
      <c r="X8" s="49"/>
      <c r="Y8" s="32"/>
      <c r="Z8" s="33"/>
      <c r="AA8" s="180"/>
      <c r="AB8" s="180"/>
      <c r="AC8" s="1"/>
      <c r="AD8" s="1"/>
      <c r="AE8" s="1"/>
      <c r="AF8" s="1"/>
      <c r="AG8" s="1"/>
      <c r="AH8" s="1"/>
      <c r="AI8" s="1"/>
      <c r="AJ8" s="1"/>
      <c r="AK8" s="1"/>
      <c r="AL8" s="1"/>
      <c r="AM8" s="1"/>
      <c r="AN8" s="1"/>
      <c r="AO8" s="1"/>
      <c r="AP8" s="1"/>
      <c r="AQ8" s="1"/>
      <c r="AR8" s="1"/>
      <c r="AS8" s="1"/>
      <c r="AT8" s="1"/>
      <c r="AU8" s="1"/>
      <c r="AV8" s="1"/>
      <c r="AW8" s="1"/>
      <c r="AX8" s="1"/>
    </row>
    <row r="9" spans="1:50" x14ac:dyDescent="0.3">
      <c r="A9" s="1"/>
      <c r="B9" s="1"/>
      <c r="C9" s="1"/>
      <c r="D9" s="1"/>
      <c r="E9" s="1"/>
      <c r="F9" s="1"/>
      <c r="G9" s="1"/>
      <c r="H9" s="1"/>
      <c r="I9" s="1"/>
      <c r="J9" s="1"/>
      <c r="K9" s="1"/>
      <c r="L9" s="1"/>
      <c r="M9" s="1"/>
      <c r="N9" s="1"/>
      <c r="O9" s="1"/>
      <c r="P9" s="31"/>
      <c r="Q9" s="32"/>
      <c r="R9" s="329" t="s">
        <v>69</v>
      </c>
      <c r="S9" s="329"/>
      <c r="T9" s="184">
        <f>Orbit!V27</f>
        <v>0.68554546140565509</v>
      </c>
      <c r="U9" s="68" t="s">
        <v>32</v>
      </c>
      <c r="V9" s="32"/>
      <c r="W9" s="49"/>
      <c r="X9" s="49"/>
      <c r="Y9" s="32"/>
      <c r="Z9" s="33"/>
      <c r="AA9" s="180"/>
      <c r="AB9" s="180"/>
      <c r="AC9" s="1"/>
      <c r="AD9" s="1"/>
      <c r="AE9" s="1"/>
      <c r="AF9" s="1"/>
      <c r="AG9" s="1"/>
      <c r="AH9" s="1"/>
      <c r="AI9" s="1"/>
      <c r="AJ9" s="1"/>
      <c r="AK9" s="1"/>
      <c r="AL9" s="1"/>
      <c r="AM9" s="1"/>
      <c r="AN9" s="1"/>
      <c r="AO9" s="1"/>
      <c r="AP9" s="1"/>
      <c r="AQ9" s="1"/>
      <c r="AR9" s="1"/>
      <c r="AS9" s="1"/>
      <c r="AT9" s="1"/>
      <c r="AU9" s="1"/>
      <c r="AV9" s="1"/>
      <c r="AW9" s="1"/>
      <c r="AX9" s="1"/>
    </row>
    <row r="10" spans="1:50" x14ac:dyDescent="0.3">
      <c r="A10" s="1"/>
      <c r="B10" s="1"/>
      <c r="C10" s="1"/>
      <c r="D10" s="1"/>
      <c r="E10" s="1"/>
      <c r="F10" s="1"/>
      <c r="G10" s="1"/>
      <c r="H10" s="1"/>
      <c r="I10" s="1"/>
      <c r="J10" s="1"/>
      <c r="K10" s="1"/>
      <c r="L10" s="1"/>
      <c r="M10" s="1"/>
      <c r="N10" s="1"/>
      <c r="O10" s="1"/>
      <c r="P10" s="31"/>
      <c r="Q10" s="32"/>
      <c r="R10" s="32"/>
      <c r="S10" s="32"/>
      <c r="T10" s="32"/>
      <c r="U10" s="32"/>
      <c r="V10" s="32"/>
      <c r="W10" s="49"/>
      <c r="X10" s="49"/>
      <c r="Y10" s="32"/>
      <c r="Z10" s="33"/>
      <c r="AA10" s="180"/>
      <c r="AB10" s="180"/>
      <c r="AC10" s="1"/>
      <c r="AD10" s="1"/>
      <c r="AE10" s="1"/>
      <c r="AF10" s="1"/>
      <c r="AG10" s="1"/>
      <c r="AH10" s="1"/>
      <c r="AI10" s="1"/>
      <c r="AJ10" s="1"/>
      <c r="AK10" s="1"/>
      <c r="AL10" s="1"/>
      <c r="AM10" s="1"/>
      <c r="AN10" s="1"/>
      <c r="AO10" s="1"/>
      <c r="AP10" s="1"/>
      <c r="AQ10" s="1"/>
      <c r="AR10" s="1"/>
      <c r="AS10" s="1"/>
      <c r="AT10" s="1"/>
      <c r="AU10" s="1"/>
      <c r="AV10" s="1"/>
      <c r="AW10" s="1"/>
      <c r="AX10" s="1"/>
    </row>
    <row r="11" spans="1:50" x14ac:dyDescent="0.3">
      <c r="A11" s="1"/>
      <c r="B11" s="1"/>
      <c r="C11" s="1"/>
      <c r="D11" s="1"/>
      <c r="E11" s="1"/>
      <c r="F11" s="1"/>
      <c r="G11" s="1"/>
      <c r="H11" s="1"/>
      <c r="I11" s="1"/>
      <c r="J11" s="1"/>
      <c r="K11" s="1"/>
      <c r="L11" s="1"/>
      <c r="M11" s="1"/>
      <c r="N11" s="1"/>
      <c r="O11" s="1"/>
      <c r="P11" s="31"/>
      <c r="Q11" s="32"/>
      <c r="R11" s="329" t="s">
        <v>70</v>
      </c>
      <c r="S11" s="329"/>
      <c r="T11" s="181" t="s">
        <v>71</v>
      </c>
      <c r="U11" s="68"/>
      <c r="V11" s="32"/>
      <c r="W11" s="32"/>
      <c r="X11" s="32"/>
      <c r="Y11" s="32"/>
      <c r="Z11" s="33"/>
      <c r="AA11" s="180"/>
      <c r="AB11" s="180"/>
      <c r="AC11" s="1"/>
      <c r="AD11" s="1"/>
      <c r="AE11" s="1"/>
      <c r="AF11" s="1"/>
      <c r="AG11" s="1"/>
      <c r="AH11" s="1"/>
      <c r="AI11" s="1"/>
      <c r="AJ11" s="1"/>
      <c r="AK11" s="1"/>
      <c r="AL11" s="1"/>
      <c r="AM11" s="1"/>
      <c r="AN11" s="1"/>
      <c r="AO11" s="1"/>
      <c r="AP11" s="1"/>
      <c r="AQ11" s="1"/>
      <c r="AR11" s="1"/>
      <c r="AS11" s="1"/>
      <c r="AT11" s="1"/>
      <c r="AU11" s="1"/>
      <c r="AV11" s="1"/>
      <c r="AW11" s="1"/>
      <c r="AX11" s="1"/>
    </row>
    <row r="12" spans="1:50" x14ac:dyDescent="0.3">
      <c r="A12" s="1"/>
      <c r="B12" s="1"/>
      <c r="C12" s="1"/>
      <c r="D12" s="1"/>
      <c r="E12" s="1"/>
      <c r="F12" s="1"/>
      <c r="G12" s="1"/>
      <c r="H12" s="1"/>
      <c r="I12" s="1"/>
      <c r="J12" s="1"/>
      <c r="K12" s="1"/>
      <c r="L12" s="1"/>
      <c r="M12" s="1"/>
      <c r="N12" s="1"/>
      <c r="O12" s="1"/>
      <c r="P12" s="31"/>
      <c r="Q12" s="32"/>
      <c r="R12" s="329" t="s">
        <v>72</v>
      </c>
      <c r="S12" s="329"/>
      <c r="T12" s="148" t="s">
        <v>73</v>
      </c>
      <c r="U12" s="32"/>
      <c r="V12" s="202" t="s">
        <v>74</v>
      </c>
      <c r="W12" s="148">
        <v>13.3</v>
      </c>
      <c r="X12" s="175" t="s">
        <v>75</v>
      </c>
      <c r="Y12" s="32"/>
      <c r="Z12" s="33"/>
      <c r="AA12" s="180"/>
      <c r="AB12" s="180"/>
      <c r="AC12" s="1"/>
      <c r="AD12" s="1"/>
      <c r="AE12" s="1"/>
      <c r="AF12" s="1"/>
      <c r="AG12" s="1"/>
      <c r="AH12" s="1"/>
      <c r="AI12" s="1"/>
      <c r="AJ12" s="1"/>
      <c r="AK12" s="1"/>
      <c r="AL12" s="1"/>
      <c r="AM12" s="1"/>
      <c r="AN12" s="1"/>
      <c r="AO12" s="1"/>
      <c r="AP12" s="1"/>
      <c r="AQ12" s="1"/>
      <c r="AR12" s="1"/>
      <c r="AS12" s="1"/>
      <c r="AT12" s="1"/>
      <c r="AU12" s="1"/>
      <c r="AV12" s="1"/>
      <c r="AW12" s="1"/>
      <c r="AX12" s="1"/>
    </row>
    <row r="13" spans="1:50" x14ac:dyDescent="0.3">
      <c r="A13" s="1"/>
      <c r="B13" s="1"/>
      <c r="C13" s="1"/>
      <c r="D13" s="1"/>
      <c r="E13" s="1"/>
      <c r="F13" s="1"/>
      <c r="G13" s="1"/>
      <c r="H13" s="1"/>
      <c r="I13" s="1"/>
      <c r="J13" s="1"/>
      <c r="K13" s="1"/>
      <c r="L13" s="1"/>
      <c r="M13" s="1"/>
      <c r="N13" s="1"/>
      <c r="O13" s="1"/>
      <c r="P13" s="31"/>
      <c r="Q13" s="32"/>
      <c r="R13" s="329" t="s">
        <v>76</v>
      </c>
      <c r="S13" s="329"/>
      <c r="T13" s="183">
        <v>3</v>
      </c>
      <c r="U13" s="32" t="s">
        <v>32</v>
      </c>
      <c r="V13" s="202" t="s">
        <v>77</v>
      </c>
      <c r="W13" s="148">
        <v>42</v>
      </c>
      <c r="X13" s="32" t="s">
        <v>27</v>
      </c>
      <c r="Y13" s="32"/>
      <c r="Z13" s="33"/>
      <c r="AA13" s="180"/>
      <c r="AB13" s="180"/>
      <c r="AC13" s="1"/>
      <c r="AD13" s="1"/>
      <c r="AE13" s="1"/>
      <c r="AF13" s="1"/>
      <c r="AG13" s="1"/>
      <c r="AH13" s="1"/>
      <c r="AI13" s="1"/>
      <c r="AJ13" s="1"/>
      <c r="AK13" s="1"/>
      <c r="AL13" s="1"/>
      <c r="AM13" s="1"/>
      <c r="AN13" s="1"/>
      <c r="AO13" s="1"/>
      <c r="AP13" s="1"/>
      <c r="AQ13" s="1"/>
      <c r="AR13" s="1"/>
      <c r="AS13" s="1"/>
      <c r="AT13" s="1"/>
      <c r="AU13" s="1"/>
      <c r="AV13" s="1"/>
      <c r="AW13" s="1"/>
      <c r="AX13" s="1"/>
    </row>
    <row r="14" spans="1:50" ht="15" thickBot="1" x14ac:dyDescent="0.35">
      <c r="A14" s="1"/>
      <c r="B14" s="1"/>
      <c r="C14" s="1"/>
      <c r="D14" s="1"/>
      <c r="E14" s="1"/>
      <c r="F14" s="1"/>
      <c r="G14" s="1"/>
      <c r="H14" s="1"/>
      <c r="I14" s="1"/>
      <c r="J14" s="1"/>
      <c r="K14" s="1"/>
      <c r="L14" s="1"/>
      <c r="M14" s="1"/>
      <c r="N14" s="1"/>
      <c r="O14" s="1"/>
      <c r="P14" s="31"/>
      <c r="Q14" s="32"/>
      <c r="R14" s="32"/>
      <c r="S14" s="32"/>
      <c r="T14" s="32"/>
      <c r="U14" s="32"/>
      <c r="V14" s="32"/>
      <c r="W14" s="32"/>
      <c r="X14" s="32"/>
      <c r="Y14" s="32"/>
      <c r="Z14" s="33"/>
      <c r="AA14" s="180"/>
      <c r="AB14" s="180"/>
      <c r="AC14" s="1"/>
      <c r="AD14" s="1"/>
      <c r="AE14" s="1"/>
      <c r="AF14" s="1"/>
      <c r="AG14" s="1"/>
      <c r="AH14" s="1"/>
      <c r="AI14" s="1"/>
      <c r="AJ14" s="1"/>
      <c r="AK14" s="1"/>
      <c r="AL14" s="1"/>
      <c r="AM14" s="1"/>
      <c r="AN14" s="1"/>
      <c r="AO14" s="1"/>
      <c r="AP14" s="1"/>
      <c r="AQ14" s="1"/>
      <c r="AR14" s="1"/>
      <c r="AS14" s="1"/>
      <c r="AT14" s="1"/>
      <c r="AU14" s="1"/>
      <c r="AV14" s="1"/>
      <c r="AW14" s="1"/>
      <c r="AX14" s="1"/>
    </row>
    <row r="15" spans="1:50" ht="30.6" thickBot="1" x14ac:dyDescent="0.35">
      <c r="A15" s="1"/>
      <c r="B15" s="1"/>
      <c r="C15" s="1"/>
      <c r="D15" s="1"/>
      <c r="E15" s="1"/>
      <c r="F15" s="1"/>
      <c r="G15" s="1"/>
      <c r="H15" s="1"/>
      <c r="I15" s="1"/>
      <c r="J15" s="1"/>
      <c r="K15" s="1"/>
      <c r="L15" s="1"/>
      <c r="M15" s="1"/>
      <c r="N15" s="1"/>
      <c r="O15" s="1"/>
      <c r="P15" s="31"/>
      <c r="Q15" s="32"/>
      <c r="R15" s="293" t="s">
        <v>78</v>
      </c>
      <c r="S15" s="294"/>
      <c r="T15" s="294"/>
      <c r="U15" s="294"/>
      <c r="V15" s="294"/>
      <c r="W15" s="294"/>
      <c r="X15" s="295"/>
      <c r="Y15" s="31"/>
      <c r="Z15" s="33"/>
      <c r="AA15" s="180"/>
      <c r="AB15" s="180"/>
      <c r="AC15" s="1"/>
      <c r="AD15" s="1"/>
      <c r="AE15" s="1"/>
      <c r="AF15" s="1"/>
      <c r="AG15" s="1"/>
      <c r="AH15" s="1"/>
      <c r="AI15" s="1"/>
      <c r="AJ15" s="1"/>
      <c r="AK15" s="1"/>
      <c r="AL15" s="1"/>
      <c r="AM15" s="1"/>
      <c r="AN15" s="1"/>
      <c r="AO15" s="1"/>
      <c r="AP15" s="1"/>
      <c r="AQ15" s="1"/>
      <c r="AR15" s="1"/>
      <c r="AS15" s="1"/>
      <c r="AT15" s="1"/>
      <c r="AU15" s="1"/>
      <c r="AV15" s="1"/>
      <c r="AW15" s="1"/>
      <c r="AX15" s="1"/>
    </row>
    <row r="16" spans="1:50"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3"/>
      <c r="AA16" s="180"/>
      <c r="AB16" s="180"/>
      <c r="AC16" s="1"/>
      <c r="AD16" s="1"/>
      <c r="AE16" s="1"/>
      <c r="AF16" s="1"/>
      <c r="AG16" s="1"/>
      <c r="AH16" s="1"/>
      <c r="AI16" s="1"/>
      <c r="AJ16" s="1"/>
      <c r="AK16" s="1"/>
      <c r="AL16" s="1"/>
      <c r="AM16" s="1"/>
      <c r="AN16" s="1"/>
      <c r="AO16" s="1"/>
      <c r="AP16" s="1"/>
      <c r="AQ16" s="1"/>
      <c r="AR16" s="1"/>
      <c r="AS16" s="1"/>
      <c r="AT16" s="1"/>
      <c r="AU16" s="1"/>
      <c r="AV16" s="1"/>
      <c r="AW16" s="1"/>
      <c r="AX16" s="1"/>
    </row>
    <row r="17" spans="1:50" x14ac:dyDescent="0.3">
      <c r="A17" s="1"/>
      <c r="B17" s="1"/>
      <c r="C17" s="1"/>
      <c r="D17" s="1"/>
      <c r="E17" s="1"/>
      <c r="F17" s="1"/>
      <c r="G17" s="1"/>
      <c r="H17" s="1"/>
      <c r="I17" s="1"/>
      <c r="J17" s="1"/>
      <c r="K17" s="1"/>
      <c r="L17" s="1"/>
      <c r="M17" s="1"/>
      <c r="N17" s="1"/>
      <c r="O17" s="1"/>
      <c r="P17" s="31"/>
      <c r="Q17" s="32"/>
      <c r="R17" s="329" t="s">
        <v>11</v>
      </c>
      <c r="S17" s="329"/>
      <c r="T17" s="181">
        <f>Inputs!V15</f>
        <v>437.30500000000001</v>
      </c>
      <c r="U17" s="32" t="s">
        <v>12</v>
      </c>
      <c r="V17" s="32"/>
      <c r="W17" s="49"/>
      <c r="X17" s="49"/>
      <c r="Y17" s="32"/>
      <c r="Z17" s="33"/>
      <c r="AA17" s="180"/>
      <c r="AB17" s="180"/>
      <c r="AC17" s="1"/>
      <c r="AD17" s="1"/>
      <c r="AE17" s="1"/>
      <c r="AF17" s="1"/>
      <c r="AG17" s="1"/>
      <c r="AH17" s="1"/>
      <c r="AI17" s="1"/>
      <c r="AJ17" s="1"/>
      <c r="AK17" s="1"/>
      <c r="AL17" s="1"/>
      <c r="AM17" s="1"/>
      <c r="AN17" s="1"/>
      <c r="AO17" s="1"/>
      <c r="AP17" s="1"/>
      <c r="AQ17" s="1"/>
      <c r="AR17" s="1"/>
      <c r="AS17" s="1"/>
      <c r="AT17" s="1"/>
      <c r="AU17" s="1"/>
      <c r="AV17" s="1"/>
      <c r="AW17" s="1"/>
      <c r="AX17" s="1"/>
    </row>
    <row r="18" spans="1:50" x14ac:dyDescent="0.3">
      <c r="A18" s="1"/>
      <c r="B18" s="1"/>
      <c r="C18" s="1"/>
      <c r="D18" s="1"/>
      <c r="E18" s="1"/>
      <c r="F18" s="1"/>
      <c r="G18" s="1"/>
      <c r="H18" s="1"/>
      <c r="I18" s="1"/>
      <c r="J18" s="1"/>
      <c r="K18" s="1"/>
      <c r="L18" s="1"/>
      <c r="M18" s="1"/>
      <c r="N18" s="1"/>
      <c r="O18" s="1"/>
      <c r="P18" s="31"/>
      <c r="Q18" s="32"/>
      <c r="R18" s="329" t="s">
        <v>69</v>
      </c>
      <c r="S18" s="329"/>
      <c r="T18" s="184">
        <f>Orbit!V28</f>
        <v>0.68554546140565509</v>
      </c>
      <c r="U18" s="32" t="s">
        <v>32</v>
      </c>
      <c r="V18" s="32"/>
      <c r="W18" s="49"/>
      <c r="X18" s="49"/>
      <c r="Y18" s="32"/>
      <c r="Z18" s="33"/>
      <c r="AA18" s="180"/>
      <c r="AB18" s="180"/>
      <c r="AC18" s="1"/>
      <c r="AD18" s="1"/>
      <c r="AE18" s="1"/>
      <c r="AF18" s="1"/>
      <c r="AG18" s="1"/>
      <c r="AH18" s="1"/>
      <c r="AI18" s="1"/>
      <c r="AJ18" s="1"/>
      <c r="AK18" s="1"/>
      <c r="AL18" s="1"/>
      <c r="AM18" s="1"/>
      <c r="AN18" s="1"/>
      <c r="AO18" s="1"/>
      <c r="AP18" s="1"/>
      <c r="AQ18" s="1"/>
      <c r="AR18" s="1"/>
      <c r="AS18" s="1"/>
      <c r="AT18" s="1"/>
      <c r="AU18" s="1"/>
      <c r="AV18" s="1"/>
      <c r="AW18" s="1"/>
      <c r="AX18" s="1"/>
    </row>
    <row r="19" spans="1:50" x14ac:dyDescent="0.3">
      <c r="A19" s="1"/>
      <c r="B19" s="1"/>
      <c r="C19" s="1"/>
      <c r="D19" s="1"/>
      <c r="E19" s="1"/>
      <c r="F19" s="1"/>
      <c r="G19" s="1"/>
      <c r="H19" s="1"/>
      <c r="I19" s="1"/>
      <c r="J19" s="1"/>
      <c r="K19" s="1"/>
      <c r="L19" s="1"/>
      <c r="M19" s="1"/>
      <c r="N19" s="1"/>
      <c r="O19" s="1"/>
      <c r="P19" s="31"/>
      <c r="Q19" s="32"/>
      <c r="R19" s="32"/>
      <c r="S19" s="32"/>
      <c r="T19" s="32"/>
      <c r="U19" s="32"/>
      <c r="V19" s="32"/>
      <c r="W19" s="32"/>
      <c r="X19" s="32"/>
      <c r="Y19" s="32"/>
      <c r="Z19" s="33"/>
      <c r="AA19" s="180"/>
      <c r="AB19" s="180"/>
      <c r="AC19" s="1"/>
      <c r="AD19" s="1"/>
      <c r="AE19" s="1"/>
      <c r="AF19" s="1"/>
      <c r="AG19" s="1"/>
      <c r="AH19" s="1"/>
      <c r="AI19" s="1"/>
      <c r="AJ19" s="1"/>
      <c r="AK19" s="1"/>
      <c r="AL19" s="1"/>
      <c r="AM19" s="1"/>
      <c r="AN19" s="1"/>
      <c r="AO19" s="1"/>
      <c r="AP19" s="1"/>
      <c r="AQ19" s="1"/>
      <c r="AR19" s="1"/>
      <c r="AS19" s="1"/>
      <c r="AT19" s="1"/>
      <c r="AU19" s="1"/>
      <c r="AV19" s="1"/>
      <c r="AW19" s="1"/>
      <c r="AX19" s="1"/>
    </row>
    <row r="20" spans="1:50" x14ac:dyDescent="0.3">
      <c r="A20" s="1"/>
      <c r="B20" s="1"/>
      <c r="C20" s="1"/>
      <c r="D20" s="1"/>
      <c r="E20" s="1"/>
      <c r="F20" s="1"/>
      <c r="G20" s="1"/>
      <c r="H20" s="1"/>
      <c r="I20" s="1"/>
      <c r="J20" s="1"/>
      <c r="K20" s="1"/>
      <c r="L20" s="1"/>
      <c r="M20" s="1"/>
      <c r="N20" s="1"/>
      <c r="O20" s="1"/>
      <c r="P20" s="31"/>
      <c r="Q20" s="32"/>
      <c r="R20" s="329" t="s">
        <v>70</v>
      </c>
      <c r="S20" s="329"/>
      <c r="T20" s="181" t="s">
        <v>79</v>
      </c>
      <c r="U20" s="68"/>
      <c r="V20" s="32"/>
      <c r="W20" s="32"/>
      <c r="X20" s="32"/>
      <c r="Y20" s="32"/>
      <c r="Z20" s="33"/>
      <c r="AA20" s="180"/>
      <c r="AB20" s="180"/>
      <c r="AC20" s="1"/>
      <c r="AD20" s="1"/>
      <c r="AE20" s="1"/>
      <c r="AF20" s="1"/>
      <c r="AG20" s="1"/>
      <c r="AH20" s="1"/>
      <c r="AI20" s="1"/>
      <c r="AJ20" s="1"/>
      <c r="AK20" s="1"/>
      <c r="AL20" s="1"/>
      <c r="AM20" s="1"/>
      <c r="AN20" s="1"/>
      <c r="AO20" s="1"/>
      <c r="AP20" s="1"/>
      <c r="AQ20" s="1"/>
      <c r="AR20" s="1"/>
      <c r="AS20" s="1"/>
      <c r="AT20" s="1"/>
      <c r="AU20" s="1"/>
      <c r="AV20" s="1"/>
      <c r="AW20" s="1"/>
      <c r="AX20" s="1"/>
    </row>
    <row r="21" spans="1:50" x14ac:dyDescent="0.3">
      <c r="A21" s="1"/>
      <c r="B21" s="1"/>
      <c r="C21" s="1"/>
      <c r="D21" s="1"/>
      <c r="E21" s="1"/>
      <c r="F21" s="1"/>
      <c r="G21" s="1"/>
      <c r="H21" s="1"/>
      <c r="I21" s="1"/>
      <c r="J21" s="1"/>
      <c r="K21" s="1"/>
      <c r="L21" s="1"/>
      <c r="M21" s="1"/>
      <c r="N21" s="1"/>
      <c r="O21" s="1"/>
      <c r="P21" s="31"/>
      <c r="Q21" s="32"/>
      <c r="R21" s="329" t="s">
        <v>72</v>
      </c>
      <c r="S21" s="329"/>
      <c r="T21" s="148" t="s">
        <v>73</v>
      </c>
      <c r="U21" s="32"/>
      <c r="V21" s="202" t="s">
        <v>74</v>
      </c>
      <c r="W21" s="148">
        <v>1.5</v>
      </c>
      <c r="X21" s="175" t="s">
        <v>75</v>
      </c>
      <c r="Y21" s="32"/>
      <c r="Z21" s="33"/>
      <c r="AA21" s="180"/>
      <c r="AB21" s="180"/>
      <c r="AC21" s="1"/>
      <c r="AD21" s="1"/>
      <c r="AE21" s="1"/>
      <c r="AF21" s="1"/>
      <c r="AG21" s="1"/>
      <c r="AH21" s="1"/>
      <c r="AI21" s="1"/>
      <c r="AJ21" s="1"/>
      <c r="AK21" s="1"/>
      <c r="AL21" s="1"/>
      <c r="AM21" s="1"/>
      <c r="AN21" s="1"/>
      <c r="AO21" s="1"/>
      <c r="AP21" s="1"/>
      <c r="AQ21" s="1"/>
      <c r="AR21" s="1"/>
      <c r="AS21" s="1"/>
      <c r="AT21" s="1"/>
      <c r="AU21" s="1"/>
      <c r="AV21" s="1"/>
      <c r="AW21" s="1"/>
      <c r="AX21" s="1"/>
    </row>
    <row r="22" spans="1:50" x14ac:dyDescent="0.3">
      <c r="A22" s="1"/>
      <c r="B22" s="1"/>
      <c r="C22" s="1"/>
      <c r="D22" s="1"/>
      <c r="E22" s="1"/>
      <c r="F22" s="1"/>
      <c r="G22" s="1"/>
      <c r="H22" s="1"/>
      <c r="I22" s="1"/>
      <c r="J22" s="1"/>
      <c r="K22" s="1"/>
      <c r="L22" s="1"/>
      <c r="M22" s="1"/>
      <c r="N22" s="1"/>
      <c r="O22" s="1"/>
      <c r="P22" s="31"/>
      <c r="Q22" s="32"/>
      <c r="R22" s="329"/>
      <c r="S22" s="329"/>
      <c r="T22" s="179"/>
      <c r="U22" s="32"/>
      <c r="V22" s="202" t="s">
        <v>77</v>
      </c>
      <c r="W22" s="148">
        <v>360</v>
      </c>
      <c r="X22" s="32" t="s">
        <v>27</v>
      </c>
      <c r="Y22" s="32"/>
      <c r="Z22" s="33"/>
      <c r="AA22" s="180"/>
      <c r="AB22" s="180"/>
      <c r="AC22" s="1"/>
      <c r="AD22" s="1"/>
      <c r="AE22" s="1"/>
      <c r="AF22" s="1"/>
      <c r="AG22" s="1"/>
      <c r="AH22" s="1"/>
      <c r="AI22" s="1"/>
      <c r="AJ22" s="1"/>
      <c r="AK22" s="1"/>
      <c r="AL22" s="1"/>
      <c r="AM22" s="1"/>
      <c r="AN22" s="1"/>
      <c r="AO22" s="1"/>
      <c r="AP22" s="1"/>
      <c r="AQ22" s="1"/>
      <c r="AR22" s="1"/>
      <c r="AS22" s="1"/>
      <c r="AT22" s="1"/>
      <c r="AU22" s="1"/>
      <c r="AV22" s="1"/>
      <c r="AW22" s="1"/>
      <c r="AX22" s="1"/>
    </row>
    <row r="23" spans="1:50" s="176" customFormat="1" x14ac:dyDescent="0.3">
      <c r="A23" s="1"/>
      <c r="B23" s="1"/>
      <c r="C23" s="1"/>
      <c r="D23" s="1"/>
      <c r="E23" s="1"/>
      <c r="F23" s="1"/>
      <c r="G23" s="1"/>
      <c r="H23" s="1"/>
      <c r="I23" s="1"/>
      <c r="J23" s="1"/>
      <c r="K23" s="1"/>
      <c r="L23" s="1"/>
      <c r="M23" s="1"/>
      <c r="N23" s="1"/>
      <c r="O23" s="1"/>
      <c r="P23" s="31"/>
      <c r="Q23" s="32"/>
      <c r="R23" s="202"/>
      <c r="S23" s="202"/>
      <c r="T23" s="179"/>
      <c r="U23" s="32"/>
      <c r="V23" s="202"/>
      <c r="W23" s="178"/>
      <c r="X23" s="32"/>
      <c r="Y23" s="32"/>
      <c r="Z23" s="33"/>
      <c r="AA23" s="180"/>
      <c r="AB23" s="180"/>
      <c r="AC23" s="1"/>
      <c r="AD23" s="1"/>
      <c r="AE23" s="1"/>
      <c r="AF23" s="1"/>
      <c r="AG23" s="1"/>
      <c r="AH23" s="1"/>
      <c r="AI23" s="1"/>
      <c r="AJ23" s="1"/>
      <c r="AK23" s="1"/>
      <c r="AL23" s="1"/>
      <c r="AM23" s="1"/>
      <c r="AN23" s="1"/>
      <c r="AO23" s="1"/>
      <c r="AP23" s="1"/>
      <c r="AQ23" s="1"/>
      <c r="AR23" s="1"/>
      <c r="AS23" s="1"/>
      <c r="AT23" s="1"/>
      <c r="AU23" s="1"/>
      <c r="AV23" s="1"/>
      <c r="AW23" s="1"/>
      <c r="AX23" s="1"/>
    </row>
    <row r="24" spans="1:50" ht="15" thickBot="1" x14ac:dyDescent="0.35">
      <c r="A24" s="187"/>
      <c r="B24" s="188"/>
      <c r="C24" s="189"/>
      <c r="D24" s="180"/>
      <c r="E24" s="180"/>
      <c r="F24" s="1"/>
      <c r="G24" s="1"/>
      <c r="H24" s="1"/>
      <c r="I24" s="1"/>
      <c r="J24" s="1"/>
      <c r="K24" s="1"/>
      <c r="L24" s="1"/>
      <c r="M24" s="1"/>
      <c r="N24" s="1"/>
      <c r="O24" s="1"/>
      <c r="P24" s="34"/>
      <c r="Q24" s="35"/>
      <c r="R24" s="35"/>
      <c r="S24" s="35"/>
      <c r="T24" s="35"/>
      <c r="U24" s="35"/>
      <c r="V24" s="35"/>
      <c r="W24" s="35"/>
      <c r="X24" s="35"/>
      <c r="Y24" s="35"/>
      <c r="Z24" s="36"/>
      <c r="AA24" s="180"/>
      <c r="AB24" s="180"/>
      <c r="AC24" s="1"/>
      <c r="AD24" s="1"/>
      <c r="AE24" s="1"/>
      <c r="AF24" s="1"/>
      <c r="AG24" s="1"/>
      <c r="AH24" s="1"/>
      <c r="AI24" s="1"/>
      <c r="AJ24" s="1"/>
      <c r="AK24" s="1"/>
      <c r="AL24" s="1"/>
      <c r="AM24" s="1"/>
      <c r="AN24" s="1"/>
      <c r="AO24" s="1"/>
      <c r="AP24" s="1"/>
      <c r="AQ24" s="1"/>
      <c r="AR24" s="1"/>
      <c r="AS24" s="1"/>
      <c r="AT24" s="1"/>
      <c r="AU24" s="1"/>
      <c r="AV24" s="1"/>
      <c r="AW24" s="1"/>
      <c r="AX24" s="1"/>
    </row>
    <row r="25" spans="1:50" x14ac:dyDescent="0.3">
      <c r="A25" s="187"/>
      <c r="B25" s="188"/>
      <c r="C25" s="180"/>
      <c r="D25" s="180"/>
      <c r="E25" s="180"/>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5" thickBot="1" x14ac:dyDescent="0.35">
      <c r="A26" s="180"/>
      <c r="B26" s="180"/>
      <c r="C26" s="180"/>
      <c r="D26" s="180"/>
      <c r="E26" s="180"/>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x14ac:dyDescent="0.3">
      <c r="A27" s="1"/>
      <c r="B27" s="1"/>
      <c r="C27" s="1"/>
      <c r="D27" s="1"/>
      <c r="E27" s="1"/>
      <c r="F27" s="1"/>
      <c r="G27" s="1"/>
      <c r="H27" s="1"/>
      <c r="I27" s="1"/>
      <c r="J27" s="1"/>
      <c r="K27" s="1"/>
      <c r="L27" s="1"/>
      <c r="M27" s="1"/>
      <c r="N27" s="1"/>
      <c r="O27" s="1"/>
      <c r="P27" s="37"/>
      <c r="Q27" s="38"/>
      <c r="R27" s="38"/>
      <c r="S27" s="38"/>
      <c r="T27" s="38"/>
      <c r="U27" s="38"/>
      <c r="V27" s="38"/>
      <c r="W27" s="38"/>
      <c r="X27" s="38"/>
      <c r="Y27" s="38"/>
      <c r="Z27" s="39"/>
      <c r="AA27" s="180"/>
      <c r="AB27" s="180"/>
      <c r="AC27" s="1"/>
      <c r="AD27" s="1"/>
      <c r="AE27" s="1"/>
      <c r="AF27" s="1"/>
      <c r="AG27" s="1"/>
      <c r="AH27" s="1"/>
      <c r="AI27" s="1"/>
      <c r="AJ27" s="1"/>
      <c r="AK27" s="1"/>
      <c r="AL27" s="1"/>
      <c r="AM27" s="1"/>
      <c r="AN27" s="1"/>
      <c r="AO27" s="1"/>
      <c r="AP27" s="1"/>
      <c r="AQ27" s="1"/>
      <c r="AR27" s="1"/>
      <c r="AS27" s="1"/>
      <c r="AT27" s="1"/>
      <c r="AU27" s="1"/>
      <c r="AV27" s="1"/>
      <c r="AW27" s="1"/>
      <c r="AX27" s="1"/>
    </row>
    <row r="28" spans="1:50" ht="15" thickBot="1" x14ac:dyDescent="0.35">
      <c r="A28" s="1"/>
      <c r="B28" s="1"/>
      <c r="C28" s="1"/>
      <c r="D28" s="1"/>
      <c r="E28" s="1"/>
      <c r="F28" s="1"/>
      <c r="G28" s="1"/>
      <c r="H28" s="1"/>
      <c r="I28" s="1"/>
      <c r="J28" s="1"/>
      <c r="K28" s="1"/>
      <c r="L28" s="1"/>
      <c r="M28" s="1"/>
      <c r="N28" s="1"/>
      <c r="O28" s="1"/>
      <c r="P28" s="40"/>
      <c r="Q28" s="41"/>
      <c r="R28" s="41"/>
      <c r="S28" s="41"/>
      <c r="T28" s="41"/>
      <c r="U28" s="41"/>
      <c r="V28" s="41"/>
      <c r="W28" s="41"/>
      <c r="X28" s="44"/>
      <c r="Y28" s="41"/>
      <c r="Z28" s="42"/>
      <c r="AA28" s="180"/>
      <c r="AB28" s="180"/>
      <c r="AC28" s="1"/>
      <c r="AD28" s="1"/>
      <c r="AE28" s="1"/>
      <c r="AF28" s="1"/>
      <c r="AG28" s="1"/>
      <c r="AH28" s="1"/>
      <c r="AI28" s="1"/>
      <c r="AJ28" s="1"/>
      <c r="AK28" s="1"/>
      <c r="AL28" s="1"/>
      <c r="AM28" s="1"/>
      <c r="AN28" s="1"/>
      <c r="AO28" s="1"/>
      <c r="AP28" s="1"/>
      <c r="AQ28" s="1"/>
      <c r="AR28" s="1"/>
      <c r="AS28" s="1"/>
      <c r="AT28" s="1"/>
      <c r="AU28" s="1"/>
      <c r="AV28" s="1"/>
      <c r="AW28" s="1"/>
      <c r="AX28" s="1"/>
    </row>
    <row r="29" spans="1:50" ht="30.6" thickBot="1" x14ac:dyDescent="0.35">
      <c r="A29" s="1"/>
      <c r="B29" s="1"/>
      <c r="C29" s="1"/>
      <c r="D29" s="1"/>
      <c r="E29" s="1"/>
      <c r="F29" s="1"/>
      <c r="G29" s="1"/>
      <c r="H29" s="1"/>
      <c r="I29" s="1"/>
      <c r="J29" s="1"/>
      <c r="K29" s="1"/>
      <c r="L29" s="1"/>
      <c r="M29" s="1"/>
      <c r="N29" s="1"/>
      <c r="O29" s="1"/>
      <c r="P29" s="40"/>
      <c r="Q29" s="41"/>
      <c r="R29" s="293" t="s">
        <v>80</v>
      </c>
      <c r="S29" s="294"/>
      <c r="T29" s="294"/>
      <c r="U29" s="294"/>
      <c r="V29" s="294"/>
      <c r="W29" s="294"/>
      <c r="X29" s="295"/>
      <c r="Y29" s="40"/>
      <c r="Z29" s="42"/>
      <c r="AA29" s="180"/>
      <c r="AB29" s="180"/>
      <c r="AC29" s="1"/>
      <c r="AD29" s="1"/>
      <c r="AE29" s="1"/>
      <c r="AF29" s="1"/>
      <c r="AG29" s="1"/>
      <c r="AH29" s="1"/>
      <c r="AI29" s="1"/>
      <c r="AJ29" s="1"/>
      <c r="AK29" s="1"/>
      <c r="AL29" s="1"/>
      <c r="AM29" s="1"/>
      <c r="AN29" s="1"/>
      <c r="AO29" s="1"/>
      <c r="AP29" s="1"/>
      <c r="AQ29" s="1"/>
      <c r="AR29" s="1"/>
      <c r="AS29" s="1"/>
      <c r="AT29" s="1"/>
      <c r="AU29" s="1"/>
      <c r="AV29" s="1"/>
      <c r="AW29" s="1"/>
      <c r="AX29" s="1"/>
    </row>
    <row r="30" spans="1:50" x14ac:dyDescent="0.3">
      <c r="A30" s="1"/>
      <c r="B30" s="1"/>
      <c r="C30" s="1"/>
      <c r="D30" s="1"/>
      <c r="E30" s="1"/>
      <c r="F30" s="1"/>
      <c r="G30" s="1"/>
      <c r="H30" s="1"/>
      <c r="I30" s="1"/>
      <c r="J30" s="1"/>
      <c r="K30" s="1"/>
      <c r="L30" s="1"/>
      <c r="M30" s="1"/>
      <c r="N30" s="1"/>
      <c r="O30" s="1"/>
      <c r="P30" s="40"/>
      <c r="Q30" s="41"/>
      <c r="R30" s="41"/>
      <c r="S30" s="41"/>
      <c r="T30" s="41"/>
      <c r="U30" s="41"/>
      <c r="V30" s="41"/>
      <c r="W30" s="41"/>
      <c r="X30" s="38"/>
      <c r="Y30" s="41"/>
      <c r="Z30" s="42"/>
      <c r="AA30" s="180"/>
      <c r="AB30" s="180"/>
      <c r="AC30" s="1"/>
      <c r="AD30" s="1"/>
      <c r="AE30" s="1"/>
      <c r="AF30" s="1"/>
      <c r="AG30" s="1"/>
      <c r="AH30" s="1"/>
      <c r="AI30" s="1"/>
      <c r="AJ30" s="1"/>
      <c r="AK30" s="1"/>
      <c r="AL30" s="1"/>
      <c r="AM30" s="1"/>
      <c r="AN30" s="1"/>
      <c r="AO30" s="1"/>
      <c r="AP30" s="1"/>
      <c r="AQ30" s="1"/>
      <c r="AR30" s="1"/>
      <c r="AS30" s="1"/>
      <c r="AT30" s="1"/>
      <c r="AU30" s="1"/>
      <c r="AV30" s="1"/>
      <c r="AW30" s="1"/>
      <c r="AX30" s="1"/>
    </row>
    <row r="31" spans="1:50" x14ac:dyDescent="0.3">
      <c r="A31" s="1"/>
      <c r="B31" s="1"/>
      <c r="C31" s="1"/>
      <c r="D31" s="1"/>
      <c r="E31" s="1"/>
      <c r="F31" s="1"/>
      <c r="G31" s="1"/>
      <c r="H31" s="1"/>
      <c r="I31" s="1"/>
      <c r="J31" s="1"/>
      <c r="K31" s="1"/>
      <c r="L31" s="1"/>
      <c r="M31" s="1"/>
      <c r="N31" s="1"/>
      <c r="O31" s="1"/>
      <c r="P31" s="40"/>
      <c r="Q31" s="41"/>
      <c r="R31" s="336" t="s">
        <v>13</v>
      </c>
      <c r="S31" s="336"/>
      <c r="T31" s="181">
        <f>Inputs!V16</f>
        <v>437.30500000000001</v>
      </c>
      <c r="U31" s="50" t="s">
        <v>12</v>
      </c>
      <c r="V31" s="205" t="s">
        <v>74</v>
      </c>
      <c r="W31" s="181">
        <f>W12</f>
        <v>13.3</v>
      </c>
      <c r="X31" s="41" t="s">
        <v>75</v>
      </c>
      <c r="Y31" s="41"/>
      <c r="Z31" s="42"/>
      <c r="AA31" s="180"/>
      <c r="AB31" s="180"/>
      <c r="AC31" s="1"/>
      <c r="AD31" s="1"/>
      <c r="AE31" s="1"/>
      <c r="AF31" s="1"/>
      <c r="AG31" s="1"/>
      <c r="AH31" s="1"/>
      <c r="AI31" s="1"/>
      <c r="AJ31" s="1"/>
      <c r="AK31" s="1"/>
      <c r="AL31" s="1"/>
      <c r="AM31" s="1"/>
      <c r="AN31" s="1"/>
      <c r="AO31" s="1"/>
      <c r="AP31" s="1"/>
      <c r="AQ31" s="1"/>
      <c r="AR31" s="1"/>
      <c r="AS31" s="1"/>
      <c r="AT31" s="1"/>
      <c r="AU31" s="1"/>
      <c r="AV31" s="1"/>
      <c r="AW31" s="1"/>
      <c r="AX31" s="1"/>
    </row>
    <row r="32" spans="1:50" x14ac:dyDescent="0.3">
      <c r="A32" s="1"/>
      <c r="B32" s="1"/>
      <c r="C32" s="1"/>
      <c r="D32" s="1"/>
      <c r="E32" s="1"/>
      <c r="F32" s="1"/>
      <c r="G32" s="1"/>
      <c r="H32" s="1"/>
      <c r="I32" s="1"/>
      <c r="J32" s="1"/>
      <c r="K32" s="1"/>
      <c r="L32" s="1"/>
      <c r="M32" s="1"/>
      <c r="N32" s="1"/>
      <c r="O32" s="1"/>
      <c r="P32" s="40"/>
      <c r="Q32" s="41"/>
      <c r="R32" s="336" t="s">
        <v>69</v>
      </c>
      <c r="S32" s="336"/>
      <c r="T32" s="184">
        <f>Orbit!V27</f>
        <v>0.68554546140565509</v>
      </c>
      <c r="U32" s="50" t="s">
        <v>32</v>
      </c>
      <c r="V32" s="205" t="s">
        <v>77</v>
      </c>
      <c r="W32" s="181">
        <f>W13</f>
        <v>42</v>
      </c>
      <c r="X32" s="41" t="s">
        <v>27</v>
      </c>
      <c r="Y32" s="41"/>
      <c r="Z32" s="42"/>
      <c r="AA32" s="180"/>
      <c r="AB32" s="180"/>
      <c r="AC32" s="1"/>
      <c r="AD32" s="1"/>
      <c r="AE32" s="1"/>
      <c r="AF32" s="1"/>
      <c r="AG32" s="1"/>
      <c r="AH32" s="1"/>
      <c r="AI32" s="1"/>
      <c r="AJ32" s="1"/>
      <c r="AK32" s="1"/>
      <c r="AL32" s="1"/>
      <c r="AM32" s="1"/>
      <c r="AN32" s="1"/>
      <c r="AO32" s="1"/>
      <c r="AP32" s="1"/>
      <c r="AQ32" s="1"/>
      <c r="AR32" s="1"/>
      <c r="AS32" s="1"/>
      <c r="AT32" s="1"/>
      <c r="AU32" s="1"/>
      <c r="AV32" s="1"/>
      <c r="AW32" s="1"/>
      <c r="AX32" s="1"/>
    </row>
    <row r="33" spans="1:50" s="176" customFormat="1" x14ac:dyDescent="0.3">
      <c r="A33" s="1"/>
      <c r="B33" s="1"/>
      <c r="C33" s="1"/>
      <c r="D33" s="1"/>
      <c r="E33" s="1"/>
      <c r="F33" s="1"/>
      <c r="G33" s="1"/>
      <c r="H33" s="1"/>
      <c r="I33" s="1"/>
      <c r="J33" s="1"/>
      <c r="K33" s="1"/>
      <c r="L33" s="1"/>
      <c r="M33" s="1"/>
      <c r="N33" s="1"/>
      <c r="O33" s="1"/>
      <c r="P33" s="40"/>
      <c r="Q33" s="41"/>
      <c r="R33" s="205"/>
      <c r="S33" s="205"/>
      <c r="T33" s="174"/>
      <c r="U33" s="174"/>
      <c r="V33" s="205" t="s">
        <v>72</v>
      </c>
      <c r="W33" s="181" t="str">
        <f>T12</f>
        <v>LHCP</v>
      </c>
      <c r="X33" s="41"/>
      <c r="Y33" s="41"/>
      <c r="Z33" s="42"/>
      <c r="AA33" s="180"/>
      <c r="AB33" s="180"/>
      <c r="AC33" s="1"/>
      <c r="AD33" s="1"/>
      <c r="AE33" s="1"/>
      <c r="AF33" s="1"/>
      <c r="AG33" s="1"/>
      <c r="AH33" s="1"/>
      <c r="AI33" s="1"/>
      <c r="AJ33" s="1"/>
      <c r="AK33" s="1"/>
      <c r="AL33" s="1"/>
      <c r="AM33" s="1"/>
      <c r="AN33" s="1"/>
      <c r="AO33" s="1"/>
      <c r="AP33" s="1"/>
      <c r="AQ33" s="1"/>
      <c r="AR33" s="1"/>
      <c r="AS33" s="1"/>
      <c r="AT33" s="1"/>
      <c r="AU33" s="1"/>
      <c r="AV33" s="1"/>
      <c r="AW33" s="1"/>
      <c r="AX33" s="1"/>
    </row>
    <row r="34" spans="1:50" x14ac:dyDescent="0.3">
      <c r="A34" s="1"/>
      <c r="B34" s="1"/>
      <c r="C34" s="1"/>
      <c r="D34" s="1"/>
      <c r="E34" s="1"/>
      <c r="F34" s="1"/>
      <c r="G34" s="1"/>
      <c r="H34" s="1"/>
      <c r="I34" s="1"/>
      <c r="J34" s="1"/>
      <c r="K34" s="1"/>
      <c r="L34" s="1"/>
      <c r="M34" s="1"/>
      <c r="N34" s="1"/>
      <c r="O34" s="1"/>
      <c r="P34" s="40"/>
      <c r="Q34" s="41"/>
      <c r="R34" s="41"/>
      <c r="S34" s="41"/>
      <c r="T34" s="41"/>
      <c r="U34" s="41"/>
      <c r="V34" s="41"/>
      <c r="W34" s="41"/>
      <c r="X34" s="41"/>
      <c r="Y34" s="41"/>
      <c r="Z34" s="42"/>
      <c r="AA34" s="180"/>
      <c r="AB34" s="180"/>
      <c r="AC34" s="1"/>
      <c r="AD34" s="1"/>
      <c r="AE34" s="1"/>
      <c r="AF34" s="1"/>
      <c r="AG34" s="1"/>
      <c r="AH34" s="1"/>
      <c r="AI34" s="1"/>
      <c r="AJ34" s="1"/>
      <c r="AK34" s="1"/>
      <c r="AL34" s="1"/>
      <c r="AM34" s="1"/>
      <c r="AN34" s="1"/>
      <c r="AO34" s="1"/>
      <c r="AP34" s="1"/>
      <c r="AQ34" s="1"/>
      <c r="AR34" s="1"/>
      <c r="AS34" s="1"/>
      <c r="AT34" s="1"/>
      <c r="AU34" s="1"/>
      <c r="AV34" s="1"/>
      <c r="AW34" s="1"/>
      <c r="AX34" s="1"/>
    </row>
    <row r="35" spans="1:50" ht="15" thickBot="1" x14ac:dyDescent="0.35">
      <c r="A35" s="1"/>
      <c r="B35" s="1"/>
      <c r="C35" s="1"/>
      <c r="D35" s="1"/>
      <c r="E35" s="1"/>
      <c r="F35" s="1"/>
      <c r="G35" s="1"/>
      <c r="H35" s="1"/>
      <c r="I35" s="1"/>
      <c r="J35" s="1"/>
      <c r="K35" s="1"/>
      <c r="L35" s="1"/>
      <c r="M35" s="1"/>
      <c r="N35" s="1"/>
      <c r="O35" s="1"/>
      <c r="P35" s="40"/>
      <c r="Q35" s="41"/>
      <c r="R35" s="205"/>
      <c r="S35" s="41"/>
      <c r="T35" s="41"/>
      <c r="U35" s="41"/>
      <c r="V35" s="41"/>
      <c r="W35" s="41"/>
      <c r="X35" s="44"/>
      <c r="Y35" s="41"/>
      <c r="Z35" s="42"/>
      <c r="AA35" s="180"/>
      <c r="AB35" s="180"/>
      <c r="AC35" s="1"/>
      <c r="AD35" s="1"/>
      <c r="AE35" s="1"/>
      <c r="AF35" s="1"/>
      <c r="AG35" s="1"/>
      <c r="AH35" s="1"/>
      <c r="AI35" s="1"/>
      <c r="AJ35" s="1"/>
      <c r="AK35" s="1"/>
      <c r="AL35" s="1"/>
      <c r="AM35" s="1"/>
      <c r="AN35" s="1"/>
      <c r="AO35" s="1"/>
      <c r="AP35" s="1"/>
      <c r="AQ35" s="1"/>
      <c r="AR35" s="1"/>
      <c r="AS35" s="1"/>
      <c r="AT35" s="1"/>
      <c r="AU35" s="1"/>
      <c r="AV35" s="1"/>
      <c r="AW35" s="1"/>
      <c r="AX35" s="1"/>
    </row>
    <row r="36" spans="1:50" ht="30.6" thickBot="1" x14ac:dyDescent="0.35">
      <c r="A36" s="1"/>
      <c r="B36" s="1"/>
      <c r="C36" s="1"/>
      <c r="D36" s="1"/>
      <c r="E36" s="1"/>
      <c r="F36" s="1"/>
      <c r="G36" s="1"/>
      <c r="H36" s="1"/>
      <c r="I36" s="1"/>
      <c r="J36" s="1"/>
      <c r="K36" s="1"/>
      <c r="L36" s="1"/>
      <c r="M36" s="1"/>
      <c r="N36" s="1"/>
      <c r="O36" s="1"/>
      <c r="P36" s="40"/>
      <c r="Q36" s="41"/>
      <c r="R36" s="293" t="s">
        <v>81</v>
      </c>
      <c r="S36" s="294"/>
      <c r="T36" s="294"/>
      <c r="U36" s="294"/>
      <c r="V36" s="294"/>
      <c r="W36" s="294"/>
      <c r="X36" s="295"/>
      <c r="Y36" s="40"/>
      <c r="Z36" s="42"/>
      <c r="AA36" s="180"/>
      <c r="AB36" s="180"/>
      <c r="AC36" s="1"/>
      <c r="AD36" s="1"/>
      <c r="AE36" s="1"/>
      <c r="AF36" s="1"/>
      <c r="AG36" s="1"/>
      <c r="AH36" s="1"/>
      <c r="AI36" s="1"/>
      <c r="AJ36" s="1"/>
      <c r="AK36" s="1"/>
      <c r="AL36" s="1"/>
      <c r="AM36" s="1"/>
      <c r="AN36" s="1"/>
      <c r="AO36" s="1"/>
      <c r="AP36" s="1"/>
      <c r="AQ36" s="1"/>
      <c r="AR36" s="1"/>
      <c r="AS36" s="1"/>
      <c r="AT36" s="1"/>
      <c r="AU36" s="1"/>
      <c r="AV36" s="1"/>
      <c r="AW36" s="1"/>
      <c r="AX36" s="1"/>
    </row>
    <row r="37" spans="1:50" x14ac:dyDescent="0.3">
      <c r="A37" s="1"/>
      <c r="B37" s="1"/>
      <c r="C37" s="1"/>
      <c r="D37" s="1"/>
      <c r="E37" s="1"/>
      <c r="F37" s="1"/>
      <c r="G37" s="1"/>
      <c r="H37" s="1"/>
      <c r="I37" s="1"/>
      <c r="J37" s="1"/>
      <c r="K37" s="1"/>
      <c r="L37" s="1"/>
      <c r="M37" s="1"/>
      <c r="N37" s="1"/>
      <c r="O37" s="1"/>
      <c r="P37" s="40"/>
      <c r="Q37" s="41"/>
      <c r="R37" s="41"/>
      <c r="S37" s="41"/>
      <c r="T37" s="41"/>
      <c r="U37" s="41"/>
      <c r="V37" s="41"/>
      <c r="W37" s="41"/>
      <c r="X37" s="38"/>
      <c r="Y37" s="41"/>
      <c r="Z37" s="42"/>
      <c r="AA37" s="180"/>
      <c r="AB37" s="180"/>
      <c r="AC37" s="1"/>
      <c r="AD37" s="1"/>
      <c r="AE37" s="1"/>
      <c r="AF37" s="1"/>
      <c r="AG37" s="1"/>
      <c r="AH37" s="1"/>
      <c r="AI37" s="1"/>
      <c r="AJ37" s="1"/>
      <c r="AK37" s="1"/>
      <c r="AL37" s="1"/>
      <c r="AM37" s="1"/>
      <c r="AN37" s="1"/>
      <c r="AO37" s="1"/>
      <c r="AP37" s="1"/>
      <c r="AQ37" s="1"/>
      <c r="AR37" s="1"/>
      <c r="AS37" s="1"/>
      <c r="AT37" s="1"/>
      <c r="AU37" s="1"/>
      <c r="AV37" s="1"/>
      <c r="AW37" s="1"/>
      <c r="AX37" s="1"/>
    </row>
    <row r="38" spans="1:50" x14ac:dyDescent="0.3">
      <c r="A38" s="1"/>
      <c r="B38" s="1"/>
      <c r="C38" s="1"/>
      <c r="D38" s="1"/>
      <c r="E38" s="1"/>
      <c r="F38" s="1"/>
      <c r="G38" s="1"/>
      <c r="H38" s="1"/>
      <c r="I38" s="1"/>
      <c r="J38" s="1"/>
      <c r="K38" s="1"/>
      <c r="L38" s="1"/>
      <c r="M38" s="1"/>
      <c r="N38" s="1"/>
      <c r="O38" s="1"/>
      <c r="P38" s="40"/>
      <c r="Q38" s="41"/>
      <c r="R38" s="336" t="s">
        <v>82</v>
      </c>
      <c r="S38" s="336"/>
      <c r="T38" s="182">
        <f>Inputs!V16</f>
        <v>437.30500000000001</v>
      </c>
      <c r="U38" s="50" t="s">
        <v>12</v>
      </c>
      <c r="V38" s="205" t="s">
        <v>74</v>
      </c>
      <c r="W38" s="181">
        <v>1.5</v>
      </c>
      <c r="X38" s="41" t="s">
        <v>75</v>
      </c>
      <c r="Y38" s="41"/>
      <c r="Z38" s="42"/>
      <c r="AA38" s="180"/>
      <c r="AB38" s="180"/>
      <c r="AC38" s="1"/>
      <c r="AD38" s="1"/>
      <c r="AE38" s="1"/>
      <c r="AF38" s="1"/>
      <c r="AG38" s="1"/>
      <c r="AH38" s="1"/>
      <c r="AI38" s="1"/>
      <c r="AJ38" s="1"/>
      <c r="AK38" s="1"/>
      <c r="AL38" s="1"/>
      <c r="AM38" s="1"/>
      <c r="AN38" s="1"/>
      <c r="AO38" s="1"/>
      <c r="AP38" s="1"/>
      <c r="AQ38" s="1"/>
      <c r="AR38" s="1"/>
      <c r="AS38" s="1"/>
      <c r="AT38" s="1"/>
      <c r="AU38" s="1"/>
      <c r="AV38" s="1"/>
      <c r="AW38" s="1"/>
      <c r="AX38" s="1"/>
    </row>
    <row r="39" spans="1:50" x14ac:dyDescent="0.3">
      <c r="A39" s="1"/>
      <c r="B39" s="1"/>
      <c r="C39" s="1"/>
      <c r="D39" s="1"/>
      <c r="E39" s="1"/>
      <c r="F39" s="1"/>
      <c r="G39" s="1"/>
      <c r="H39" s="1"/>
      <c r="I39" s="1"/>
      <c r="J39" s="1"/>
      <c r="K39" s="1"/>
      <c r="L39" s="1"/>
      <c r="M39" s="1"/>
      <c r="N39" s="1"/>
      <c r="O39" s="1"/>
      <c r="P39" s="40"/>
      <c r="Q39" s="41"/>
      <c r="R39" s="336" t="s">
        <v>83</v>
      </c>
      <c r="S39" s="336"/>
      <c r="T39" s="184">
        <f>Orbit!V28</f>
        <v>0.68554546140565509</v>
      </c>
      <c r="U39" s="50" t="s">
        <v>32</v>
      </c>
      <c r="V39" s="205" t="s">
        <v>77</v>
      </c>
      <c r="W39" s="181">
        <f>W22</f>
        <v>360</v>
      </c>
      <c r="X39" s="41" t="s">
        <v>27</v>
      </c>
      <c r="Y39" s="41"/>
      <c r="Z39" s="42"/>
      <c r="AA39" s="180"/>
      <c r="AB39" s="180"/>
      <c r="AC39" s="1"/>
      <c r="AD39" s="1"/>
      <c r="AE39" s="1"/>
      <c r="AF39" s="1"/>
      <c r="AG39" s="1"/>
      <c r="AH39" s="1"/>
      <c r="AI39" s="1"/>
      <c r="AJ39" s="1"/>
      <c r="AK39" s="1"/>
      <c r="AL39" s="1"/>
      <c r="AM39" s="1"/>
      <c r="AN39" s="1"/>
      <c r="AO39" s="1"/>
      <c r="AP39" s="1"/>
      <c r="AQ39" s="1"/>
      <c r="AR39" s="1"/>
      <c r="AS39" s="1"/>
      <c r="AT39" s="1"/>
      <c r="AU39" s="1"/>
      <c r="AV39" s="1"/>
      <c r="AW39" s="1"/>
      <c r="AX39" s="1"/>
    </row>
    <row r="40" spans="1:50" s="176" customFormat="1" x14ac:dyDescent="0.3">
      <c r="A40" s="1"/>
      <c r="B40" s="1"/>
      <c r="C40" s="1"/>
      <c r="D40" s="1"/>
      <c r="E40" s="1"/>
      <c r="F40" s="1"/>
      <c r="G40" s="1"/>
      <c r="H40" s="1"/>
      <c r="I40" s="1"/>
      <c r="J40" s="1"/>
      <c r="K40" s="1"/>
      <c r="L40" s="1"/>
      <c r="M40" s="1"/>
      <c r="N40" s="1"/>
      <c r="O40" s="1"/>
      <c r="P40" s="40"/>
      <c r="Q40" s="41"/>
      <c r="R40" s="205"/>
      <c r="S40" s="205"/>
      <c r="T40" s="41"/>
      <c r="U40" s="41"/>
      <c r="V40" s="205" t="s">
        <v>72</v>
      </c>
      <c r="W40" s="181" t="str">
        <f>T21</f>
        <v>LHCP</v>
      </c>
      <c r="X40" s="41"/>
      <c r="Y40" s="41"/>
      <c r="Z40" s="42"/>
      <c r="AA40" s="180"/>
      <c r="AB40" s="180"/>
      <c r="AC40" s="1"/>
      <c r="AD40" s="1"/>
      <c r="AE40" s="1"/>
      <c r="AF40" s="1"/>
      <c r="AG40" s="1"/>
      <c r="AH40" s="1"/>
      <c r="AI40" s="1"/>
      <c r="AJ40" s="1"/>
      <c r="AK40" s="1"/>
      <c r="AL40" s="1"/>
      <c r="AM40" s="1"/>
      <c r="AN40" s="1"/>
      <c r="AO40" s="1"/>
      <c r="AP40" s="1"/>
      <c r="AQ40" s="1"/>
      <c r="AR40" s="1"/>
      <c r="AS40" s="1"/>
      <c r="AT40" s="1"/>
      <c r="AU40" s="1"/>
      <c r="AV40" s="1"/>
      <c r="AW40" s="1"/>
      <c r="AX40" s="1"/>
    </row>
    <row r="41" spans="1:50"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2"/>
      <c r="AA41" s="180"/>
      <c r="AB41" s="180"/>
      <c r="AC41" s="1"/>
      <c r="AD41" s="1"/>
      <c r="AE41" s="1"/>
      <c r="AF41" s="1"/>
      <c r="AG41" s="1"/>
      <c r="AH41" s="1"/>
      <c r="AI41" s="1"/>
      <c r="AJ41" s="1"/>
      <c r="AK41" s="1"/>
      <c r="AL41" s="1"/>
      <c r="AM41" s="1"/>
      <c r="AN41" s="1"/>
      <c r="AO41" s="1"/>
      <c r="AP41" s="1"/>
      <c r="AQ41" s="1"/>
      <c r="AR41" s="1"/>
      <c r="AS41" s="1"/>
      <c r="AT41" s="1"/>
      <c r="AU41" s="1"/>
      <c r="AV41" s="1"/>
      <c r="AW41" s="1"/>
      <c r="AX41" s="1"/>
    </row>
    <row r="42" spans="1:50" ht="15" thickBot="1" x14ac:dyDescent="0.35">
      <c r="A42" s="1"/>
      <c r="B42" s="1"/>
      <c r="C42" s="1"/>
      <c r="D42" s="1"/>
      <c r="E42" s="1"/>
      <c r="F42" s="1"/>
      <c r="G42" s="1"/>
      <c r="H42" s="1"/>
      <c r="I42" s="1"/>
      <c r="J42" s="1"/>
      <c r="K42" s="1"/>
      <c r="L42" s="1"/>
      <c r="M42" s="1"/>
      <c r="N42" s="1"/>
      <c r="O42" s="1"/>
      <c r="P42" s="43"/>
      <c r="Q42" s="44"/>
      <c r="R42" s="44"/>
      <c r="S42" s="44"/>
      <c r="T42" s="44"/>
      <c r="U42" s="44"/>
      <c r="V42" s="44"/>
      <c r="W42" s="44"/>
      <c r="X42" s="44"/>
      <c r="Y42" s="44"/>
      <c r="Z42" s="45"/>
      <c r="AA42" s="180"/>
      <c r="AB42" s="180"/>
      <c r="AC42" s="1"/>
      <c r="AD42" s="1"/>
      <c r="AE42" s="1"/>
      <c r="AF42" s="1"/>
      <c r="AG42" s="1"/>
      <c r="AH42" s="1"/>
      <c r="AI42" s="1"/>
      <c r="AJ42" s="1"/>
      <c r="AK42" s="1"/>
      <c r="AL42" s="1"/>
      <c r="AM42" s="1"/>
      <c r="AN42" s="1"/>
      <c r="AO42" s="1"/>
      <c r="AP42" s="1"/>
      <c r="AQ42" s="1"/>
      <c r="AR42" s="1"/>
      <c r="AS42" s="1"/>
      <c r="AT42" s="1"/>
      <c r="AU42" s="1"/>
      <c r="AV42" s="1"/>
      <c r="AW42" s="1"/>
      <c r="AX42" s="1"/>
    </row>
    <row r="43" spans="1:50"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hidden="1" x14ac:dyDescent="0.3">
      <c r="A45" s="1"/>
      <c r="B45" s="1"/>
      <c r="C45" s="1"/>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1"/>
      <c r="AW45" s="211"/>
      <c r="AX45" s="211"/>
    </row>
    <row r="46" spans="1:50" hidden="1" x14ac:dyDescent="0.3">
      <c r="A46" s="1"/>
      <c r="B46" s="1"/>
      <c r="C46" s="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row>
    <row r="47" spans="1:50" hidden="1" x14ac:dyDescent="0.3">
      <c r="A47" s="211"/>
      <c r="B47" s="211"/>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row>
    <row r="48" spans="1:50" hidden="1" x14ac:dyDescent="0.3">
      <c r="A48" s="211"/>
      <c r="B48" s="211"/>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row>
    <row r="49" hidden="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sheetData>
  <mergeCells count="19">
    <mergeCell ref="R2:X2"/>
    <mergeCell ref="R13:S13"/>
    <mergeCell ref="R6:X6"/>
    <mergeCell ref="R20:S20"/>
    <mergeCell ref="R21:S21"/>
    <mergeCell ref="R15:X15"/>
    <mergeCell ref="R8:S8"/>
    <mergeCell ref="R9:S9"/>
    <mergeCell ref="R38:S38"/>
    <mergeCell ref="R39:S39"/>
    <mergeCell ref="R11:S11"/>
    <mergeCell ref="R12:S12"/>
    <mergeCell ref="R31:S31"/>
    <mergeCell ref="R32:S32"/>
    <mergeCell ref="R17:S17"/>
    <mergeCell ref="R18:S18"/>
    <mergeCell ref="R29:X29"/>
    <mergeCell ref="R36:X36"/>
    <mergeCell ref="R22:S22"/>
  </mergeCells>
  <conditionalFormatting sqref="W12:W13">
    <cfRule type="expression" dxfId="53" priority="21">
      <formula>$AB$9=1</formula>
    </cfRule>
  </conditionalFormatting>
  <conditionalFormatting sqref="T13">
    <cfRule type="expression" dxfId="52" priority="11">
      <formula>$AB$9=2</formula>
    </cfRule>
  </conditionalFormatting>
  <conditionalFormatting sqref="T13">
    <cfRule type="expression" dxfId="51" priority="10">
      <formula>$AB$9=3</formula>
    </cfRule>
  </conditionalFormatting>
  <conditionalFormatting sqref="T13">
    <cfRule type="expression" dxfId="50" priority="9">
      <formula>$AB$9=4</formula>
    </cfRule>
  </conditionalFormatting>
  <conditionalFormatting sqref="W21:W23">
    <cfRule type="expression" dxfId="49" priority="5">
      <formula>$AB$9=1</formula>
    </cfRule>
  </conditionalFormatting>
  <conditionalFormatting sqref="T22:T23">
    <cfRule type="expression" dxfId="48" priority="4">
      <formula>$AB$9=2</formula>
    </cfRule>
  </conditionalFormatting>
  <conditionalFormatting sqref="T22:T23">
    <cfRule type="expression" dxfId="47" priority="3">
      <formula>$AB$9=3</formula>
    </cfRule>
  </conditionalFormatting>
  <conditionalFormatting sqref="T22:T23">
    <cfRule type="expression" dxfId="46" priority="2">
      <formula>$AB$9=4</formula>
    </cfRule>
  </conditionalFormatting>
  <conditionalFormatting sqref="B24:B25">
    <cfRule type="expression" dxfId="45" priority="1">
      <formula>$AB$9=1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95879A-126D-42F1-A37D-998FA6F10F4E}">
          <x14:formula1>
            <xm:f>'Backend Data'!$L$3:$L$5</xm:f>
          </x14:formula1>
          <xm:sqref>T21 T12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91"/>
  <sheetViews>
    <sheetView topLeftCell="L64" zoomScale="104" zoomScaleNormal="30" workbookViewId="0">
      <selection activeCell="V74" sqref="V74:X74"/>
    </sheetView>
  </sheetViews>
  <sheetFormatPr defaultColWidth="0" defaultRowHeight="14.7" customHeight="1" zeroHeight="1" x14ac:dyDescent="0.3"/>
  <cols>
    <col min="1" max="17" width="3.33203125" customWidth="1"/>
    <col min="18" max="19" width="8.6640625" customWidth="1"/>
    <col min="20" max="20" width="12.33203125" customWidth="1"/>
    <col min="21" max="26" width="8.6640625" customWidth="1"/>
    <col min="27" max="43" width="3.33203125" customWidth="1"/>
    <col min="44" max="16384" width="8.6640625" hidden="1"/>
  </cols>
  <sheetData>
    <row r="1" spans="1:43" ht="14.7" customHeight="1"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7" customHeight="1" thickBot="1" x14ac:dyDescent="0.35">
      <c r="A2" s="7"/>
      <c r="B2" s="7"/>
      <c r="C2" s="7"/>
      <c r="D2" s="7"/>
      <c r="E2" s="7"/>
      <c r="F2" s="7"/>
      <c r="G2" s="7"/>
      <c r="H2" s="7"/>
      <c r="I2" s="7"/>
      <c r="J2" s="7"/>
      <c r="K2" s="7"/>
      <c r="L2" s="7"/>
      <c r="M2" s="7"/>
      <c r="N2" s="7"/>
      <c r="O2" s="7"/>
      <c r="P2" s="7"/>
      <c r="Q2" s="7"/>
      <c r="R2" s="290" t="s">
        <v>0</v>
      </c>
      <c r="S2" s="291"/>
      <c r="T2" s="291"/>
      <c r="U2" s="291"/>
      <c r="V2" s="291"/>
      <c r="W2" s="291"/>
      <c r="X2" s="291"/>
      <c r="Y2" s="291"/>
      <c r="Z2" s="292"/>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31"/>
      <c r="Q6" s="32"/>
      <c r="R6" s="293" t="s">
        <v>84</v>
      </c>
      <c r="S6" s="294"/>
      <c r="T6" s="294"/>
      <c r="U6" s="294"/>
      <c r="V6" s="294"/>
      <c r="W6" s="294"/>
      <c r="X6" s="294"/>
      <c r="Y6" s="294"/>
      <c r="Z6" s="295"/>
      <c r="AA6" s="32"/>
      <c r="AB6" s="33"/>
      <c r="AC6" s="1"/>
      <c r="AD6" s="1"/>
      <c r="AE6" s="1"/>
      <c r="AF6" s="1"/>
      <c r="AG6" s="1"/>
      <c r="AH6" s="1"/>
      <c r="AI6" s="1"/>
      <c r="AJ6" s="1"/>
      <c r="AK6" s="1"/>
      <c r="AL6" s="1"/>
      <c r="AM6" s="1"/>
      <c r="AN6" s="1"/>
      <c r="AO6" s="1"/>
      <c r="AP6" s="1"/>
      <c r="AQ6" s="1"/>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1"/>
      <c r="AD7" s="1"/>
      <c r="AE7" s="1"/>
      <c r="AF7" s="1"/>
      <c r="AG7" s="1"/>
      <c r="AH7" s="1"/>
      <c r="AI7" s="1"/>
      <c r="AJ7" s="1"/>
      <c r="AK7" s="1"/>
      <c r="AL7" s="1"/>
      <c r="AM7" s="1"/>
      <c r="AN7" s="1"/>
      <c r="AO7" s="1"/>
      <c r="AP7" s="1"/>
      <c r="AQ7" s="1"/>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1"/>
      <c r="AD8" s="1"/>
      <c r="AE8" s="1"/>
      <c r="AF8" s="1"/>
      <c r="AG8" s="1"/>
      <c r="AH8" s="1"/>
      <c r="AI8" s="1"/>
      <c r="AJ8" s="1"/>
      <c r="AK8" s="1"/>
      <c r="AL8" s="1"/>
      <c r="AM8" s="1"/>
      <c r="AN8" s="1"/>
      <c r="AO8" s="1"/>
      <c r="AP8" s="1"/>
      <c r="AQ8" s="1"/>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1"/>
      <c r="AD9" s="1"/>
      <c r="AE9" s="1"/>
      <c r="AF9" s="1"/>
      <c r="AG9" s="1"/>
      <c r="AH9" s="1"/>
      <c r="AI9" s="1"/>
      <c r="AJ9" s="1"/>
      <c r="AK9" s="1"/>
      <c r="AL9" s="1"/>
      <c r="AM9" s="1"/>
      <c r="AN9" s="1"/>
      <c r="AO9" s="1"/>
      <c r="AP9" s="1"/>
      <c r="AQ9" s="1"/>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1"/>
      <c r="AD10" s="1"/>
      <c r="AE10" s="1"/>
      <c r="AF10" s="1"/>
      <c r="AG10" s="1"/>
      <c r="AH10" s="1"/>
      <c r="AI10" s="1"/>
      <c r="AJ10" s="1"/>
      <c r="AK10" s="1"/>
      <c r="AL10" s="1"/>
      <c r="AM10" s="1"/>
      <c r="AN10" s="1"/>
      <c r="AO10" s="1"/>
      <c r="AP10" s="1"/>
      <c r="AQ10" s="1"/>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1"/>
      <c r="AD11" s="1"/>
      <c r="AE11" s="1"/>
      <c r="AF11" s="1"/>
      <c r="AG11" s="1"/>
      <c r="AH11" s="1"/>
      <c r="AI11" s="1"/>
      <c r="AJ11" s="1"/>
      <c r="AK11" s="1"/>
      <c r="AL11" s="1"/>
      <c r="AM11" s="1"/>
      <c r="AN11" s="1"/>
      <c r="AO11" s="1"/>
      <c r="AP11" s="1"/>
      <c r="AQ11" s="1"/>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1"/>
      <c r="AD12" s="1"/>
      <c r="AE12" s="1"/>
      <c r="AF12" s="1"/>
      <c r="AG12" s="1"/>
      <c r="AH12" s="1"/>
      <c r="AI12" s="1"/>
      <c r="AJ12" s="1"/>
      <c r="AK12" s="1"/>
      <c r="AL12" s="1"/>
      <c r="AM12" s="1"/>
      <c r="AN12" s="1"/>
      <c r="AO12" s="1"/>
      <c r="AP12" s="1"/>
      <c r="AQ12" s="1"/>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1"/>
      <c r="AD13" s="1"/>
      <c r="AE13" s="1"/>
      <c r="AF13" s="1"/>
      <c r="AG13" s="1"/>
      <c r="AH13" s="1"/>
      <c r="AI13" s="1"/>
      <c r="AJ13" s="1"/>
      <c r="AK13" s="1"/>
      <c r="AL13" s="1"/>
      <c r="AM13" s="1"/>
      <c r="AN13" s="1"/>
      <c r="AO13" s="1"/>
      <c r="AP13" s="1"/>
      <c r="AQ13" s="1"/>
    </row>
    <row r="14" spans="1:43" ht="14.4" x14ac:dyDescent="0.3">
      <c r="A14" s="1"/>
      <c r="B14" s="1"/>
      <c r="C14" s="1"/>
      <c r="D14" s="1"/>
      <c r="E14" s="1"/>
      <c r="F14" s="1"/>
      <c r="G14" s="1"/>
      <c r="H14" s="1"/>
      <c r="I14" s="1"/>
      <c r="J14" s="1"/>
      <c r="K14" s="1"/>
      <c r="L14" s="1"/>
      <c r="M14" s="1"/>
      <c r="N14" s="1"/>
      <c r="O14" s="1"/>
      <c r="P14" s="31"/>
      <c r="Q14" s="32"/>
      <c r="R14" s="32"/>
      <c r="S14" s="32"/>
      <c r="T14" s="32"/>
      <c r="U14" s="32"/>
      <c r="V14" s="32"/>
      <c r="W14" s="32"/>
      <c r="X14" s="32"/>
      <c r="Y14" s="32"/>
      <c r="Z14" s="32"/>
      <c r="AA14" s="32"/>
      <c r="AB14" s="33"/>
      <c r="AC14" s="1"/>
      <c r="AD14" s="1"/>
      <c r="AE14" s="1"/>
      <c r="AF14" s="1"/>
      <c r="AG14" s="1"/>
      <c r="AH14" s="1"/>
      <c r="AI14" s="1"/>
      <c r="AJ14" s="1"/>
      <c r="AK14" s="1"/>
      <c r="AL14" s="1"/>
      <c r="AM14" s="1"/>
      <c r="AN14" s="1"/>
      <c r="AO14" s="1"/>
      <c r="AP14" s="1"/>
      <c r="AQ14" s="1"/>
    </row>
    <row r="15" spans="1:43" ht="14.4" x14ac:dyDescent="0.3">
      <c r="A15" s="1"/>
      <c r="B15" s="1"/>
      <c r="C15" s="1"/>
      <c r="D15" s="1"/>
      <c r="E15" s="1"/>
      <c r="F15" s="1"/>
      <c r="G15" s="1"/>
      <c r="H15" s="1"/>
      <c r="I15" s="1"/>
      <c r="J15" s="1"/>
      <c r="K15" s="1"/>
      <c r="L15" s="1"/>
      <c r="M15" s="1"/>
      <c r="N15" s="1"/>
      <c r="O15" s="1"/>
      <c r="P15" s="31"/>
      <c r="Q15" s="32"/>
      <c r="R15" s="32"/>
      <c r="S15" s="32"/>
      <c r="T15" s="32"/>
      <c r="U15" s="32"/>
      <c r="V15" s="32"/>
      <c r="W15" s="32"/>
      <c r="X15" s="32"/>
      <c r="Y15" s="32"/>
      <c r="Z15" s="32"/>
      <c r="AA15" s="32"/>
      <c r="AB15" s="33"/>
      <c r="AC15" s="1"/>
      <c r="AD15" s="1"/>
      <c r="AE15" s="1"/>
      <c r="AF15" s="1"/>
      <c r="AG15" s="1"/>
      <c r="AH15" s="1"/>
      <c r="AI15" s="1"/>
      <c r="AJ15" s="1"/>
      <c r="AK15" s="1"/>
      <c r="AL15" s="1"/>
      <c r="AM15" s="1"/>
      <c r="AN15" s="1"/>
      <c r="AO15" s="1"/>
      <c r="AP15" s="1"/>
      <c r="AQ15" s="1"/>
    </row>
    <row r="16" spans="1:43" ht="14.4"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2"/>
      <c r="AA16" s="32"/>
      <c r="AB16" s="33"/>
      <c r="AC16" s="1"/>
      <c r="AD16" s="1"/>
      <c r="AE16" s="1"/>
      <c r="AF16" s="1"/>
      <c r="AG16" s="1"/>
      <c r="AH16" s="1"/>
      <c r="AI16" s="1"/>
      <c r="AJ16" s="1"/>
      <c r="AK16" s="1"/>
      <c r="AL16" s="1"/>
      <c r="AM16" s="1"/>
      <c r="AN16" s="1"/>
      <c r="AO16" s="1"/>
      <c r="AP16" s="1"/>
      <c r="AQ16" s="1"/>
    </row>
    <row r="17" spans="1:43" ht="14.4" x14ac:dyDescent="0.3">
      <c r="A17" s="1"/>
      <c r="B17" s="1"/>
      <c r="C17" s="1"/>
      <c r="D17" s="1"/>
      <c r="E17" s="1"/>
      <c r="F17" s="1"/>
      <c r="G17" s="1"/>
      <c r="H17" s="1"/>
      <c r="I17" s="1"/>
      <c r="J17" s="1"/>
      <c r="K17" s="1"/>
      <c r="L17" s="1"/>
      <c r="M17" s="1"/>
      <c r="N17" s="1"/>
      <c r="O17" s="1"/>
      <c r="P17" s="31"/>
      <c r="Q17" s="32"/>
      <c r="R17" s="32"/>
      <c r="S17" s="32"/>
      <c r="T17" s="32"/>
      <c r="U17" s="32"/>
      <c r="V17" s="32"/>
      <c r="W17" s="32"/>
      <c r="X17" s="32"/>
      <c r="Y17" s="32"/>
      <c r="Z17" s="32"/>
      <c r="AA17" s="32"/>
      <c r="AB17" s="33"/>
      <c r="AC17" s="1"/>
      <c r="AD17" s="1"/>
      <c r="AE17" s="1"/>
      <c r="AF17" s="1"/>
      <c r="AG17" s="1"/>
      <c r="AH17" s="1"/>
      <c r="AI17" s="1"/>
      <c r="AJ17" s="1"/>
      <c r="AK17" s="1"/>
      <c r="AL17" s="1"/>
      <c r="AM17" s="1"/>
      <c r="AN17" s="1"/>
      <c r="AO17" s="1"/>
      <c r="AP17" s="1"/>
      <c r="AQ17" s="1"/>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32"/>
      <c r="X18" s="32"/>
      <c r="Y18" s="32"/>
      <c r="Z18" s="32"/>
      <c r="AA18" s="32"/>
      <c r="AB18" s="33"/>
      <c r="AC18" s="1"/>
      <c r="AD18" s="1"/>
      <c r="AE18" s="1"/>
      <c r="AF18" s="1"/>
      <c r="AG18" s="1"/>
      <c r="AH18" s="1"/>
      <c r="AI18" s="1"/>
      <c r="AJ18" s="1"/>
      <c r="AK18" s="1"/>
      <c r="AL18" s="1"/>
      <c r="AM18" s="1"/>
      <c r="AN18" s="1"/>
      <c r="AO18" s="1"/>
      <c r="AP18" s="1"/>
      <c r="AQ18" s="1"/>
    </row>
    <row r="19" spans="1:43" ht="14.4" x14ac:dyDescent="0.3">
      <c r="A19" s="1"/>
      <c r="B19" s="1"/>
      <c r="C19" s="1"/>
      <c r="D19" s="1"/>
      <c r="E19" s="1"/>
      <c r="F19" s="1"/>
      <c r="G19" s="1"/>
      <c r="H19" s="1"/>
      <c r="I19" s="1"/>
      <c r="J19" s="1"/>
      <c r="K19" s="1"/>
      <c r="L19" s="1"/>
      <c r="M19" s="1"/>
      <c r="N19" s="1"/>
      <c r="O19" s="1"/>
      <c r="P19" s="31"/>
      <c r="Q19" s="32"/>
      <c r="R19" s="331" t="s">
        <v>85</v>
      </c>
      <c r="S19" s="331"/>
      <c r="T19" s="331"/>
      <c r="U19" s="131"/>
      <c r="V19" s="32"/>
      <c r="W19" s="331" t="s">
        <v>86</v>
      </c>
      <c r="X19" s="331"/>
      <c r="Y19" s="331"/>
      <c r="Z19" s="131"/>
      <c r="AA19" s="32"/>
      <c r="AB19" s="33"/>
      <c r="AC19" s="1"/>
      <c r="AD19" s="1"/>
      <c r="AE19" s="1"/>
      <c r="AF19" s="1"/>
      <c r="AG19" s="1"/>
      <c r="AH19" s="1"/>
      <c r="AI19" s="1"/>
      <c r="AJ19" s="1"/>
      <c r="AK19" s="1"/>
      <c r="AL19" s="1"/>
      <c r="AM19" s="1"/>
      <c r="AN19" s="1"/>
      <c r="AO19" s="1"/>
      <c r="AP19" s="1"/>
      <c r="AQ19" s="1"/>
    </row>
    <row r="20" spans="1:43" ht="14.4" x14ac:dyDescent="0.3">
      <c r="A20" s="1"/>
      <c r="B20" s="1"/>
      <c r="C20" s="1"/>
      <c r="D20" s="1"/>
      <c r="E20" s="1"/>
      <c r="F20" s="1"/>
      <c r="G20" s="1"/>
      <c r="H20" s="1"/>
      <c r="I20" s="1"/>
      <c r="J20" s="1"/>
      <c r="K20" s="1"/>
      <c r="L20" s="1"/>
      <c r="M20" s="1"/>
      <c r="N20" s="1"/>
      <c r="O20" s="1"/>
      <c r="P20" s="31"/>
      <c r="Q20" s="32"/>
      <c r="R20" s="329" t="s">
        <v>51</v>
      </c>
      <c r="S20" s="330"/>
      <c r="T20" s="148"/>
      <c r="U20" s="32" t="s">
        <v>52</v>
      </c>
      <c r="V20" s="32"/>
      <c r="W20" s="329" t="s">
        <v>47</v>
      </c>
      <c r="X20" s="330"/>
      <c r="Y20" s="203"/>
      <c r="Z20" s="32" t="s">
        <v>32</v>
      </c>
      <c r="AA20" s="32"/>
      <c r="AB20" s="33"/>
      <c r="AC20" s="1"/>
      <c r="AD20" s="1"/>
      <c r="AE20" s="1"/>
      <c r="AF20" s="1"/>
      <c r="AG20" s="1"/>
      <c r="AH20" s="1"/>
      <c r="AI20" s="1"/>
      <c r="AJ20" s="1"/>
      <c r="AK20" s="1"/>
      <c r="AL20" s="1"/>
      <c r="AM20" s="1"/>
      <c r="AN20" s="1"/>
      <c r="AO20" s="1"/>
      <c r="AP20" s="1"/>
      <c r="AQ20" s="1"/>
    </row>
    <row r="21" spans="1:43" ht="14.4" x14ac:dyDescent="0.3">
      <c r="A21" s="1"/>
      <c r="B21" s="1"/>
      <c r="C21" s="1"/>
      <c r="D21" s="1"/>
      <c r="E21" s="1"/>
      <c r="F21" s="1"/>
      <c r="G21" s="1"/>
      <c r="H21" s="1"/>
      <c r="I21" s="1"/>
      <c r="J21" s="1"/>
      <c r="K21" s="1"/>
      <c r="L21" s="1"/>
      <c r="M21" s="1"/>
      <c r="N21" s="1"/>
      <c r="O21" s="1"/>
      <c r="P21" s="31"/>
      <c r="Q21" s="32"/>
      <c r="R21" s="329" t="s">
        <v>54</v>
      </c>
      <c r="S21" s="347"/>
      <c r="T21" s="147">
        <v>0.2</v>
      </c>
      <c r="U21" s="32" t="s">
        <v>38</v>
      </c>
      <c r="V21" s="32"/>
      <c r="W21" s="329" t="s">
        <v>48</v>
      </c>
      <c r="X21" s="330"/>
      <c r="Y21" s="203"/>
      <c r="Z21" s="32" t="s">
        <v>32</v>
      </c>
      <c r="AA21" s="32"/>
      <c r="AB21" s="33"/>
      <c r="AC21" s="1"/>
      <c r="AD21" s="1"/>
      <c r="AE21" s="1"/>
      <c r="AF21" s="1"/>
      <c r="AG21" s="1"/>
      <c r="AH21" s="1"/>
      <c r="AI21" s="1"/>
      <c r="AJ21" s="1"/>
      <c r="AK21" s="1"/>
      <c r="AL21" s="1"/>
      <c r="AM21" s="1"/>
      <c r="AN21" s="1"/>
      <c r="AO21" s="1"/>
      <c r="AP21" s="1"/>
      <c r="AQ21" s="1"/>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329" t="s">
        <v>50</v>
      </c>
      <c r="X22" s="330"/>
      <c r="Y22" s="203"/>
      <c r="Z22" s="32" t="s">
        <v>32</v>
      </c>
      <c r="AA22" s="32"/>
      <c r="AB22" s="33"/>
      <c r="AC22" s="1"/>
      <c r="AD22" s="1"/>
      <c r="AE22" s="1"/>
      <c r="AF22" s="1"/>
      <c r="AG22" s="1"/>
      <c r="AH22" s="1"/>
      <c r="AI22" s="1"/>
      <c r="AJ22" s="1"/>
      <c r="AK22" s="1"/>
      <c r="AL22" s="1"/>
      <c r="AM22" s="1"/>
      <c r="AN22" s="1"/>
      <c r="AO22" s="1"/>
      <c r="AP22" s="1"/>
      <c r="AQ22" s="1"/>
    </row>
    <row r="23" spans="1:43" ht="14.4" x14ac:dyDescent="0.3">
      <c r="A23" s="1"/>
      <c r="B23" s="1"/>
      <c r="C23" s="1"/>
      <c r="D23" s="1"/>
      <c r="E23" s="1"/>
      <c r="F23" s="1"/>
      <c r="G23" s="1"/>
      <c r="H23" s="1"/>
      <c r="I23" s="1"/>
      <c r="J23" s="1"/>
      <c r="K23" s="1"/>
      <c r="L23" s="1"/>
      <c r="M23" s="1"/>
      <c r="N23" s="1"/>
      <c r="O23" s="1"/>
      <c r="P23" s="31"/>
      <c r="Q23" s="32"/>
      <c r="R23" s="32"/>
      <c r="S23" s="32"/>
      <c r="T23" s="32"/>
      <c r="U23" s="32"/>
      <c r="V23" s="32"/>
      <c r="W23" s="329" t="s">
        <v>53</v>
      </c>
      <c r="X23" s="347"/>
      <c r="Y23" s="206">
        <f>SUM(Y20:Y22)</f>
        <v>0</v>
      </c>
      <c r="Z23" s="32" t="s">
        <v>32</v>
      </c>
      <c r="AA23" s="32"/>
      <c r="AB23" s="33"/>
      <c r="AC23" s="1"/>
      <c r="AD23" s="1"/>
      <c r="AE23" s="1"/>
      <c r="AF23" s="1"/>
      <c r="AG23" s="1"/>
      <c r="AH23" s="1"/>
      <c r="AI23" s="1"/>
      <c r="AJ23" s="1"/>
      <c r="AK23" s="1"/>
      <c r="AL23" s="1"/>
      <c r="AM23" s="1"/>
      <c r="AN23" s="1"/>
      <c r="AO23" s="1"/>
      <c r="AP23" s="1"/>
      <c r="AQ23" s="1"/>
    </row>
    <row r="24" spans="1:43" ht="14.4" x14ac:dyDescent="0.3">
      <c r="A24" s="1"/>
      <c r="B24" s="1"/>
      <c r="C24" s="1"/>
      <c r="D24" s="1"/>
      <c r="E24" s="1"/>
      <c r="F24" s="1"/>
      <c r="G24" s="1"/>
      <c r="H24" s="1"/>
      <c r="I24" s="1"/>
      <c r="J24" s="1"/>
      <c r="K24" s="1"/>
      <c r="L24" s="1"/>
      <c r="M24" s="1"/>
      <c r="N24" s="1"/>
      <c r="O24" s="1"/>
      <c r="P24" s="31"/>
      <c r="Q24" s="32"/>
      <c r="R24" s="32"/>
      <c r="S24" s="32"/>
      <c r="T24" s="32"/>
      <c r="U24" s="32"/>
      <c r="V24" s="32"/>
      <c r="W24" s="202"/>
      <c r="X24" s="202"/>
      <c r="Y24" s="46"/>
      <c r="Z24" s="32"/>
      <c r="AA24" s="32"/>
      <c r="AB24" s="33"/>
      <c r="AC24" s="1"/>
      <c r="AD24" s="1"/>
      <c r="AE24" s="1"/>
      <c r="AF24" s="1"/>
      <c r="AG24" s="1"/>
      <c r="AH24" s="1"/>
      <c r="AI24" s="1"/>
      <c r="AJ24" s="1"/>
      <c r="AK24" s="1"/>
      <c r="AL24" s="1"/>
      <c r="AM24" s="1"/>
      <c r="AN24" s="1"/>
      <c r="AO24" s="1"/>
      <c r="AP24" s="1"/>
      <c r="AQ24" s="1"/>
    </row>
    <row r="25" spans="1:43" ht="14.4" x14ac:dyDescent="0.3">
      <c r="A25" s="1"/>
      <c r="B25" s="1"/>
      <c r="C25" s="1"/>
      <c r="D25" s="1"/>
      <c r="E25" s="1"/>
      <c r="F25" s="1"/>
      <c r="G25" s="1"/>
      <c r="H25" s="1"/>
      <c r="I25" s="1"/>
      <c r="J25" s="1"/>
      <c r="K25" s="1"/>
      <c r="L25" s="1"/>
      <c r="M25" s="1"/>
      <c r="N25" s="1"/>
      <c r="O25" s="1"/>
      <c r="P25" s="31"/>
      <c r="Q25" s="32"/>
      <c r="R25" s="331" t="s">
        <v>55</v>
      </c>
      <c r="S25" s="331"/>
      <c r="T25" s="331"/>
      <c r="U25" s="331"/>
      <c r="V25" s="331"/>
      <c r="W25" s="331"/>
      <c r="X25" s="331"/>
      <c r="Y25" s="131"/>
      <c r="Z25" s="131"/>
      <c r="AA25" s="32"/>
      <c r="AB25" s="33"/>
      <c r="AC25" s="1"/>
      <c r="AD25" s="1"/>
      <c r="AE25" s="1"/>
      <c r="AF25" s="1"/>
      <c r="AG25" s="1"/>
      <c r="AH25" s="1"/>
      <c r="AI25" s="1"/>
      <c r="AJ25" s="1"/>
      <c r="AK25" s="1"/>
      <c r="AL25" s="1"/>
      <c r="AM25" s="1"/>
      <c r="AN25" s="1"/>
      <c r="AO25" s="1"/>
      <c r="AP25" s="1"/>
      <c r="AQ25" s="1"/>
    </row>
    <row r="26" spans="1:43" ht="14.4" x14ac:dyDescent="0.3">
      <c r="A26" s="1"/>
      <c r="B26" s="1"/>
      <c r="C26" s="1"/>
      <c r="D26" s="1"/>
      <c r="E26" s="1"/>
      <c r="F26" s="1"/>
      <c r="G26" s="1"/>
      <c r="H26" s="1"/>
      <c r="I26" s="1"/>
      <c r="J26" s="1"/>
      <c r="K26" s="1"/>
      <c r="L26" s="1"/>
      <c r="M26" s="1"/>
      <c r="N26" s="1"/>
      <c r="O26" s="1"/>
      <c r="P26" s="31"/>
      <c r="Q26" s="32"/>
      <c r="R26" s="329" t="s">
        <v>56</v>
      </c>
      <c r="S26" s="329"/>
      <c r="T26" s="329"/>
      <c r="U26" s="330"/>
      <c r="V26" s="334"/>
      <c r="W26" s="334"/>
      <c r="X26" s="334"/>
      <c r="Y26" s="32"/>
      <c r="Z26" s="32"/>
      <c r="AA26" s="32"/>
      <c r="AB26" s="33"/>
      <c r="AC26" s="1"/>
      <c r="AD26" s="1"/>
      <c r="AE26" s="1"/>
      <c r="AF26" s="1"/>
      <c r="AG26" s="1"/>
      <c r="AH26" s="1"/>
      <c r="AI26" s="1"/>
      <c r="AJ26" s="1"/>
      <c r="AK26" s="1"/>
      <c r="AL26" s="1"/>
      <c r="AM26" s="1"/>
      <c r="AN26" s="1"/>
      <c r="AO26" s="1"/>
      <c r="AP26" s="1"/>
      <c r="AQ26" s="1"/>
    </row>
    <row r="27" spans="1:43" ht="14.4" x14ac:dyDescent="0.3">
      <c r="A27" s="1"/>
      <c r="B27" s="1"/>
      <c r="C27" s="1"/>
      <c r="D27" s="1"/>
      <c r="E27" s="1"/>
      <c r="F27" s="1"/>
      <c r="G27" s="1"/>
      <c r="H27" s="1"/>
      <c r="I27" s="1"/>
      <c r="J27" s="1"/>
      <c r="K27" s="1"/>
      <c r="L27" s="1"/>
      <c r="M27" s="1"/>
      <c r="N27" s="1"/>
      <c r="O27" s="1"/>
      <c r="P27" s="31"/>
      <c r="Q27" s="32"/>
      <c r="R27" s="329" t="s">
        <v>58</v>
      </c>
      <c r="S27" s="329"/>
      <c r="T27" s="329"/>
      <c r="U27" s="347"/>
      <c r="V27" s="337">
        <v>0.2</v>
      </c>
      <c r="W27" s="337"/>
      <c r="X27" s="337"/>
      <c r="Y27" s="32" t="s">
        <v>38</v>
      </c>
      <c r="Z27" s="32"/>
      <c r="AA27" s="32"/>
      <c r="AB27" s="33"/>
      <c r="AC27" s="1"/>
      <c r="AD27" s="1"/>
      <c r="AE27" s="1"/>
      <c r="AF27" s="1"/>
      <c r="AG27" s="1"/>
      <c r="AH27" s="1"/>
      <c r="AI27" s="1"/>
      <c r="AJ27" s="1"/>
      <c r="AK27" s="1"/>
      <c r="AL27" s="1"/>
      <c r="AM27" s="1"/>
      <c r="AN27" s="1"/>
      <c r="AO27" s="1"/>
      <c r="AP27" s="1"/>
      <c r="AQ27" s="1"/>
    </row>
    <row r="28" spans="1:43" ht="14.4" x14ac:dyDescent="0.3">
      <c r="A28" s="1"/>
      <c r="B28" s="1"/>
      <c r="C28" s="1"/>
      <c r="D28" s="1"/>
      <c r="E28" s="1"/>
      <c r="F28" s="1"/>
      <c r="G28" s="1"/>
      <c r="H28" s="1"/>
      <c r="I28" s="1"/>
      <c r="J28" s="1"/>
      <c r="K28" s="1"/>
      <c r="L28" s="1"/>
      <c r="M28" s="1"/>
      <c r="N28" s="1"/>
      <c r="O28" s="1"/>
      <c r="P28" s="31"/>
      <c r="Q28" s="32"/>
      <c r="R28" s="329" t="s">
        <v>87</v>
      </c>
      <c r="S28" s="329"/>
      <c r="T28" s="329"/>
      <c r="U28" s="330"/>
      <c r="V28" s="334"/>
      <c r="W28" s="334"/>
      <c r="X28" s="334"/>
      <c r="Y28" s="32" t="s">
        <v>38</v>
      </c>
      <c r="Z28" s="32"/>
      <c r="AA28" s="32"/>
      <c r="AB28" s="33"/>
      <c r="AC28" s="1"/>
      <c r="AD28" s="1"/>
      <c r="AE28" s="1"/>
      <c r="AF28" s="1"/>
      <c r="AG28" s="1"/>
      <c r="AH28" s="1"/>
      <c r="AI28" s="1"/>
      <c r="AJ28" s="1"/>
      <c r="AK28" s="1"/>
      <c r="AL28" s="1"/>
      <c r="AM28" s="1"/>
      <c r="AN28" s="1"/>
      <c r="AO28" s="1"/>
      <c r="AP28" s="1"/>
      <c r="AQ28" s="1"/>
    </row>
    <row r="29" spans="1:43" ht="14.4" x14ac:dyDescent="0.3">
      <c r="A29" s="1"/>
      <c r="B29" s="1"/>
      <c r="C29" s="1"/>
      <c r="D29" s="1"/>
      <c r="E29" s="1"/>
      <c r="F29" s="1"/>
      <c r="G29" s="1"/>
      <c r="H29" s="1"/>
      <c r="I29" s="1"/>
      <c r="J29" s="1"/>
      <c r="K29" s="1"/>
      <c r="L29" s="1"/>
      <c r="M29" s="1"/>
      <c r="N29" s="1"/>
      <c r="O29" s="1"/>
      <c r="P29" s="31"/>
      <c r="Q29" s="32"/>
      <c r="R29" s="329" t="s">
        <v>60</v>
      </c>
      <c r="S29" s="329"/>
      <c r="T29" s="329"/>
      <c r="U29" s="330"/>
      <c r="V29" s="334"/>
      <c r="W29" s="334"/>
      <c r="X29" s="334"/>
      <c r="Y29" s="32" t="s">
        <v>38</v>
      </c>
      <c r="Z29" s="32"/>
      <c r="AA29" s="32"/>
      <c r="AB29" s="33"/>
      <c r="AC29" s="1"/>
      <c r="AD29" s="1"/>
      <c r="AE29" s="1"/>
      <c r="AF29" s="1"/>
      <c r="AG29" s="1"/>
      <c r="AH29" s="1"/>
      <c r="AI29" s="1"/>
      <c r="AJ29" s="1"/>
      <c r="AK29" s="1"/>
      <c r="AL29" s="1"/>
      <c r="AM29" s="1"/>
      <c r="AN29" s="1"/>
      <c r="AO29" s="1"/>
      <c r="AP29" s="1"/>
      <c r="AQ29" s="1"/>
    </row>
    <row r="30" spans="1:43" ht="14.4" x14ac:dyDescent="0.3">
      <c r="A30" s="1"/>
      <c r="B30" s="1"/>
      <c r="C30" s="1"/>
      <c r="D30" s="1"/>
      <c r="E30" s="1"/>
      <c r="F30" s="1"/>
      <c r="G30" s="1"/>
      <c r="H30" s="1"/>
      <c r="I30" s="1"/>
      <c r="J30" s="1"/>
      <c r="K30" s="1"/>
      <c r="L30" s="1"/>
      <c r="M30" s="1"/>
      <c r="N30" s="1"/>
      <c r="O30" s="1"/>
      <c r="P30" s="31"/>
      <c r="Q30" s="32"/>
      <c r="R30" s="32"/>
      <c r="S30" s="32"/>
      <c r="T30" s="32"/>
      <c r="U30" s="32"/>
      <c r="V30" s="32"/>
      <c r="W30" s="32"/>
      <c r="X30" s="32"/>
      <c r="Y30" s="32"/>
      <c r="Z30" s="32"/>
      <c r="AA30" s="32"/>
      <c r="AB30" s="33"/>
      <c r="AC30" s="1"/>
      <c r="AD30" s="1"/>
      <c r="AE30" s="1"/>
      <c r="AF30" s="1"/>
      <c r="AG30" s="1"/>
      <c r="AH30" s="1"/>
      <c r="AI30" s="1"/>
      <c r="AJ30" s="1"/>
      <c r="AK30" s="1"/>
      <c r="AL30" s="1"/>
      <c r="AM30" s="1"/>
      <c r="AN30" s="1"/>
      <c r="AO30" s="1"/>
      <c r="AP30" s="1"/>
      <c r="AQ30" s="1"/>
    </row>
    <row r="31" spans="1:43" ht="14.4" x14ac:dyDescent="0.3">
      <c r="A31" s="1"/>
      <c r="B31" s="1"/>
      <c r="C31" s="1"/>
      <c r="D31" s="1"/>
      <c r="E31" s="1"/>
      <c r="F31" s="1"/>
      <c r="G31" s="1"/>
      <c r="H31" s="1"/>
      <c r="I31" s="1"/>
      <c r="J31" s="1"/>
      <c r="K31" s="1"/>
      <c r="L31" s="1"/>
      <c r="M31" s="1"/>
      <c r="N31" s="1"/>
      <c r="O31" s="1"/>
      <c r="P31" s="31"/>
      <c r="Q31" s="32"/>
      <c r="R31" s="32"/>
      <c r="S31" s="32"/>
      <c r="T31" s="331" t="s">
        <v>88</v>
      </c>
      <c r="U31" s="331"/>
      <c r="V31" s="331"/>
      <c r="W31" s="331"/>
      <c r="X31" s="131"/>
      <c r="Y31" s="32"/>
      <c r="Z31" s="32"/>
      <c r="AA31" s="32"/>
      <c r="AB31" s="33"/>
      <c r="AC31" s="1"/>
      <c r="AD31" s="1"/>
      <c r="AE31" s="1"/>
      <c r="AF31" s="1"/>
      <c r="AG31" s="1"/>
      <c r="AH31" s="1"/>
      <c r="AI31" s="1"/>
      <c r="AJ31" s="1"/>
      <c r="AK31" s="1"/>
      <c r="AL31" s="1"/>
      <c r="AM31" s="1"/>
      <c r="AN31" s="1"/>
      <c r="AO31" s="1"/>
      <c r="AP31" s="1"/>
      <c r="AQ31" s="1"/>
    </row>
    <row r="32" spans="1:43" ht="14.4" x14ac:dyDescent="0.3">
      <c r="A32" s="1"/>
      <c r="B32" s="1"/>
      <c r="C32" s="1"/>
      <c r="D32" s="1"/>
      <c r="E32" s="1"/>
      <c r="F32" s="1"/>
      <c r="G32" s="1"/>
      <c r="H32" s="1"/>
      <c r="I32" s="1"/>
      <c r="J32" s="1"/>
      <c r="K32" s="1"/>
      <c r="L32" s="1"/>
      <c r="M32" s="1"/>
      <c r="N32" s="1"/>
      <c r="O32" s="1"/>
      <c r="P32" s="31"/>
      <c r="Q32" s="32"/>
      <c r="R32" s="32"/>
      <c r="S32" s="32"/>
      <c r="T32" s="353" t="s">
        <v>63</v>
      </c>
      <c r="U32" s="354"/>
      <c r="V32" s="337">
        <f>T21+SUM(V27:X29)</f>
        <v>0.4</v>
      </c>
      <c r="W32" s="337"/>
      <c r="X32" s="32" t="s">
        <v>38</v>
      </c>
      <c r="Y32" s="32"/>
      <c r="Z32" s="32"/>
      <c r="AA32" s="32"/>
      <c r="AB32" s="33"/>
      <c r="AC32" s="1"/>
      <c r="AD32" s="1"/>
      <c r="AE32" s="1"/>
      <c r="AF32" s="1"/>
      <c r="AG32" s="1"/>
      <c r="AH32" s="1"/>
      <c r="AI32" s="1"/>
      <c r="AJ32" s="1"/>
      <c r="AK32" s="1"/>
      <c r="AL32" s="1"/>
      <c r="AM32" s="1"/>
      <c r="AN32" s="1"/>
      <c r="AO32" s="1"/>
      <c r="AP32" s="1"/>
      <c r="AQ32" s="1"/>
    </row>
    <row r="33" spans="1:43" ht="14.4" x14ac:dyDescent="0.3">
      <c r="A33" s="1"/>
      <c r="B33" s="1"/>
      <c r="C33" s="1"/>
      <c r="D33" s="1"/>
      <c r="E33" s="1"/>
      <c r="F33" s="1"/>
      <c r="G33" s="1"/>
      <c r="H33" s="1"/>
      <c r="I33" s="1"/>
      <c r="J33" s="1"/>
      <c r="K33" s="1"/>
      <c r="L33" s="1"/>
      <c r="M33" s="1"/>
      <c r="N33" s="1"/>
      <c r="O33" s="1"/>
      <c r="P33" s="31"/>
      <c r="Q33" s="32"/>
      <c r="R33" s="47"/>
      <c r="S33" s="47"/>
      <c r="T33" s="47"/>
      <c r="U33" s="47"/>
      <c r="V33" s="47"/>
      <c r="W33" s="47"/>
      <c r="X33" s="47"/>
      <c r="Y33" s="47"/>
      <c r="Z33" s="47"/>
      <c r="AA33" s="32"/>
      <c r="AB33" s="33"/>
      <c r="AC33" s="1"/>
      <c r="AD33" s="1"/>
      <c r="AE33" s="1"/>
      <c r="AF33" s="1"/>
      <c r="AG33" s="1"/>
      <c r="AH33" s="1"/>
      <c r="AI33" s="1"/>
      <c r="AJ33" s="1"/>
      <c r="AK33" s="1"/>
      <c r="AL33" s="1"/>
      <c r="AM33" s="1"/>
      <c r="AN33" s="1"/>
      <c r="AO33" s="1"/>
      <c r="AP33" s="1"/>
      <c r="AQ33" s="1"/>
    </row>
    <row r="34" spans="1:43" ht="14.4" x14ac:dyDescent="0.3">
      <c r="A34" s="1"/>
      <c r="B34" s="1"/>
      <c r="C34" s="1"/>
      <c r="D34" s="1"/>
      <c r="E34" s="1"/>
      <c r="F34" s="1"/>
      <c r="G34" s="1"/>
      <c r="H34" s="1"/>
      <c r="I34" s="1"/>
      <c r="J34" s="1"/>
      <c r="K34" s="1"/>
      <c r="L34" s="1"/>
      <c r="M34" s="1"/>
      <c r="N34" s="1"/>
      <c r="O34" s="1"/>
      <c r="P34" s="31"/>
      <c r="Q34" s="32"/>
      <c r="R34" s="352" t="s">
        <v>89</v>
      </c>
      <c r="S34" s="352"/>
      <c r="T34" s="352"/>
      <c r="U34" s="352"/>
      <c r="V34" s="352"/>
      <c r="W34" s="352"/>
      <c r="X34" s="352"/>
      <c r="Y34" s="150"/>
      <c r="Z34" s="150"/>
      <c r="AA34" s="32"/>
      <c r="AB34" s="33"/>
      <c r="AC34" s="1"/>
      <c r="AD34" s="1"/>
      <c r="AE34" s="1"/>
      <c r="AF34" s="1"/>
      <c r="AG34" s="1"/>
      <c r="AH34" s="1"/>
      <c r="AI34" s="1"/>
      <c r="AJ34" s="1"/>
      <c r="AK34" s="1"/>
      <c r="AL34" s="1"/>
      <c r="AM34" s="1"/>
      <c r="AN34" s="1"/>
      <c r="AO34" s="1"/>
      <c r="AP34" s="1"/>
      <c r="AQ34" s="1"/>
    </row>
    <row r="35" spans="1:43" ht="14.4" x14ac:dyDescent="0.3">
      <c r="A35" s="1"/>
      <c r="B35" s="1"/>
      <c r="C35" s="1"/>
      <c r="D35" s="1"/>
      <c r="E35" s="1"/>
      <c r="F35" s="1"/>
      <c r="G35" s="1"/>
      <c r="H35" s="1"/>
      <c r="I35" s="1"/>
      <c r="J35" s="1"/>
      <c r="K35" s="1"/>
      <c r="L35" s="1"/>
      <c r="M35" s="1"/>
      <c r="N35" s="1"/>
      <c r="O35" s="1"/>
      <c r="P35" s="31"/>
      <c r="Q35" s="32"/>
      <c r="R35" s="329" t="s">
        <v>90</v>
      </c>
      <c r="S35" s="329"/>
      <c r="T35" s="329"/>
      <c r="U35" s="149" t="s">
        <v>91</v>
      </c>
      <c r="V35" s="335">
        <f>10^-(V32/10)</f>
        <v>0.91201083935590965</v>
      </c>
      <c r="W35" s="335"/>
      <c r="X35" s="335"/>
      <c r="Y35" s="32"/>
      <c r="Z35" s="32"/>
      <c r="AA35" s="32"/>
      <c r="AB35" s="33"/>
      <c r="AC35" s="1"/>
      <c r="AD35" s="1"/>
      <c r="AE35" s="1"/>
      <c r="AF35" s="1"/>
      <c r="AG35" s="1"/>
      <c r="AH35" s="1"/>
      <c r="AI35" s="1"/>
      <c r="AJ35" s="1"/>
      <c r="AK35" s="1"/>
      <c r="AL35" s="1"/>
      <c r="AM35" s="1"/>
      <c r="AN35" s="1"/>
      <c r="AO35" s="1"/>
      <c r="AP35" s="1"/>
      <c r="AQ35" s="1"/>
    </row>
    <row r="36" spans="1:43" ht="15.6" x14ac:dyDescent="0.35">
      <c r="A36" s="1"/>
      <c r="B36" s="1"/>
      <c r="C36" s="1"/>
      <c r="D36" s="1"/>
      <c r="E36" s="1"/>
      <c r="F36" s="1"/>
      <c r="G36" s="1"/>
      <c r="H36" s="1"/>
      <c r="I36" s="1"/>
      <c r="J36" s="1"/>
      <c r="K36" s="1"/>
      <c r="L36" s="1"/>
      <c r="M36" s="1"/>
      <c r="N36" s="1"/>
      <c r="O36" s="1"/>
      <c r="P36" s="31"/>
      <c r="Q36" s="32"/>
      <c r="R36" s="329" t="s">
        <v>92</v>
      </c>
      <c r="S36" s="329"/>
      <c r="T36" s="329"/>
      <c r="U36" s="202" t="s">
        <v>93</v>
      </c>
      <c r="V36" s="334">
        <f>300*0.5+0.5*50</f>
        <v>175</v>
      </c>
      <c r="W36" s="334"/>
      <c r="X36" s="334"/>
      <c r="Y36" s="32" t="s">
        <v>94</v>
      </c>
      <c r="Z36" s="32"/>
      <c r="AA36" s="32"/>
      <c r="AB36" s="33"/>
      <c r="AC36" s="1"/>
      <c r="AD36" s="1"/>
      <c r="AE36" s="1"/>
      <c r="AF36" s="1"/>
      <c r="AG36" s="1"/>
      <c r="AH36" s="1"/>
      <c r="AI36" s="1"/>
      <c r="AJ36" s="1"/>
      <c r="AK36" s="1"/>
      <c r="AL36" s="1"/>
      <c r="AM36" s="1"/>
      <c r="AN36" s="1"/>
      <c r="AO36" s="1"/>
      <c r="AP36" s="1"/>
      <c r="AQ36" s="1"/>
    </row>
    <row r="37" spans="1:43" ht="15.6" x14ac:dyDescent="0.35">
      <c r="A37" s="1"/>
      <c r="B37" s="1"/>
      <c r="C37" s="1"/>
      <c r="D37" s="1"/>
      <c r="E37" s="1"/>
      <c r="F37" s="1"/>
      <c r="G37" s="1"/>
      <c r="H37" s="1"/>
      <c r="I37" s="1"/>
      <c r="J37" s="1"/>
      <c r="K37" s="1"/>
      <c r="L37" s="1"/>
      <c r="M37" s="1"/>
      <c r="N37" s="1"/>
      <c r="O37" s="1"/>
      <c r="P37" s="31"/>
      <c r="Q37" s="32"/>
      <c r="R37" s="329" t="s">
        <v>95</v>
      </c>
      <c r="S37" s="329"/>
      <c r="T37" s="329"/>
      <c r="U37" s="202" t="s">
        <v>96</v>
      </c>
      <c r="V37" s="334">
        <v>290</v>
      </c>
      <c r="W37" s="334"/>
      <c r="X37" s="334"/>
      <c r="Y37" s="32" t="s">
        <v>94</v>
      </c>
      <c r="Z37" s="32"/>
      <c r="AA37" s="32"/>
      <c r="AB37" s="33"/>
      <c r="AC37" s="1"/>
      <c r="AD37" s="1"/>
      <c r="AE37" s="1"/>
      <c r="AF37" s="1"/>
      <c r="AG37" s="1"/>
      <c r="AH37" s="1"/>
      <c r="AI37" s="1"/>
      <c r="AJ37" s="1"/>
      <c r="AK37" s="1"/>
      <c r="AL37" s="1"/>
      <c r="AM37" s="1"/>
      <c r="AN37" s="1"/>
      <c r="AO37" s="1"/>
      <c r="AP37" s="1"/>
      <c r="AQ37" s="1"/>
    </row>
    <row r="38" spans="1:43" ht="15.6" x14ac:dyDescent="0.35">
      <c r="A38" s="1"/>
      <c r="B38" s="1"/>
      <c r="C38" s="1"/>
      <c r="D38" s="1"/>
      <c r="E38" s="1"/>
      <c r="F38" s="1"/>
      <c r="G38" s="1"/>
      <c r="H38" s="1"/>
      <c r="I38" s="1"/>
      <c r="J38" s="1"/>
      <c r="K38" s="1"/>
      <c r="L38" s="1"/>
      <c r="M38" s="1"/>
      <c r="N38" s="1"/>
      <c r="O38" s="1"/>
      <c r="P38" s="31"/>
      <c r="Q38" s="32"/>
      <c r="R38" s="329" t="s">
        <v>97</v>
      </c>
      <c r="S38" s="329"/>
      <c r="T38" s="329"/>
      <c r="U38" s="202" t="s">
        <v>98</v>
      </c>
      <c r="V38" s="334">
        <f>290*(1.5-1)</f>
        <v>145</v>
      </c>
      <c r="W38" s="334"/>
      <c r="X38" s="334"/>
      <c r="Y38" s="32" t="s">
        <v>94</v>
      </c>
      <c r="Z38" s="32"/>
      <c r="AA38" s="32"/>
      <c r="AB38" s="33"/>
      <c r="AC38" s="1"/>
      <c r="AD38" s="1"/>
      <c r="AE38" s="1"/>
      <c r="AF38" s="1"/>
      <c r="AG38" s="1"/>
      <c r="AH38" s="1"/>
      <c r="AI38" s="1"/>
      <c r="AJ38" s="1"/>
      <c r="AK38" s="1"/>
      <c r="AL38" s="1"/>
      <c r="AM38" s="1"/>
      <c r="AN38" s="1"/>
      <c r="AO38" s="1"/>
      <c r="AP38" s="1"/>
      <c r="AQ38" s="1"/>
    </row>
    <row r="39" spans="1:43" ht="14.7" customHeight="1" x14ac:dyDescent="0.3">
      <c r="A39" s="1"/>
      <c r="B39" s="1"/>
      <c r="C39" s="1"/>
      <c r="D39" s="1"/>
      <c r="E39" s="1"/>
      <c r="F39" s="1"/>
      <c r="G39" s="1"/>
      <c r="H39" s="1"/>
      <c r="I39" s="1"/>
      <c r="J39" s="1"/>
      <c r="K39" s="1"/>
      <c r="L39" s="1"/>
      <c r="M39" s="1"/>
      <c r="N39" s="1"/>
      <c r="O39" s="1"/>
      <c r="P39" s="31"/>
      <c r="Q39" s="32"/>
      <c r="R39" s="332" t="s">
        <v>99</v>
      </c>
      <c r="S39" s="332"/>
      <c r="T39" s="332"/>
      <c r="U39" s="332" t="s">
        <v>100</v>
      </c>
      <c r="V39" s="348">
        <v>23</v>
      </c>
      <c r="W39" s="348"/>
      <c r="X39" s="348"/>
      <c r="Y39" s="32" t="s">
        <v>38</v>
      </c>
      <c r="Z39" s="32"/>
      <c r="AA39" s="32"/>
      <c r="AB39" s="33"/>
      <c r="AC39" s="1"/>
      <c r="AD39" s="1"/>
      <c r="AE39" s="1"/>
      <c r="AF39" s="1"/>
      <c r="AG39" s="1"/>
      <c r="AH39" s="1"/>
      <c r="AI39" s="1"/>
      <c r="AJ39" s="1"/>
      <c r="AK39" s="1"/>
      <c r="AL39" s="1"/>
      <c r="AM39" s="1"/>
      <c r="AN39" s="1"/>
      <c r="AO39" s="1"/>
      <c r="AP39" s="1"/>
      <c r="AQ39" s="1"/>
    </row>
    <row r="40" spans="1:43" ht="14.4" x14ac:dyDescent="0.3">
      <c r="A40" s="1"/>
      <c r="B40" s="1"/>
      <c r="C40" s="1"/>
      <c r="D40" s="1"/>
      <c r="E40" s="1"/>
      <c r="F40" s="1"/>
      <c r="G40" s="1"/>
      <c r="H40" s="1"/>
      <c r="I40" s="1"/>
      <c r="J40" s="1"/>
      <c r="K40" s="1"/>
      <c r="L40" s="1"/>
      <c r="M40" s="1"/>
      <c r="N40" s="1"/>
      <c r="O40" s="1"/>
      <c r="P40" s="31"/>
      <c r="Q40" s="32"/>
      <c r="R40" s="332"/>
      <c r="S40" s="332"/>
      <c r="T40" s="332"/>
      <c r="U40" s="332"/>
      <c r="V40" s="349">
        <f>10^(V39/10)</f>
        <v>199.52623149688802</v>
      </c>
      <c r="W40" s="349"/>
      <c r="X40" s="349"/>
      <c r="Y40" s="32" t="s">
        <v>101</v>
      </c>
      <c r="Z40" s="32"/>
      <c r="AA40" s="32"/>
      <c r="AB40" s="33"/>
      <c r="AC40" s="1"/>
      <c r="AD40" s="1"/>
      <c r="AE40" s="1"/>
      <c r="AF40" s="1"/>
      <c r="AG40" s="1"/>
      <c r="AH40" s="1"/>
      <c r="AI40" s="1"/>
      <c r="AJ40" s="1"/>
      <c r="AK40" s="1"/>
      <c r="AL40" s="1"/>
      <c r="AM40" s="1"/>
      <c r="AN40" s="1"/>
      <c r="AO40" s="1"/>
      <c r="AP40" s="1"/>
      <c r="AQ40" s="1"/>
    </row>
    <row r="41" spans="1:43" ht="16.8" x14ac:dyDescent="0.35">
      <c r="A41" s="1"/>
      <c r="B41" s="1"/>
      <c r="C41" s="1"/>
      <c r="D41" s="1"/>
      <c r="E41" s="1"/>
      <c r="F41" s="1"/>
      <c r="G41" s="1"/>
      <c r="H41" s="1"/>
      <c r="I41" s="1"/>
      <c r="J41" s="1"/>
      <c r="K41" s="1"/>
      <c r="L41" s="1"/>
      <c r="M41" s="1"/>
      <c r="N41" s="1"/>
      <c r="O41" s="1"/>
      <c r="P41" s="31"/>
      <c r="Q41" s="32"/>
      <c r="R41" s="329" t="s">
        <v>102</v>
      </c>
      <c r="S41" s="329"/>
      <c r="T41" s="329"/>
      <c r="U41" s="202" t="s">
        <v>103</v>
      </c>
      <c r="V41" s="348">
        <v>500</v>
      </c>
      <c r="W41" s="348"/>
      <c r="X41" s="348"/>
      <c r="Y41" s="32" t="s">
        <v>94</v>
      </c>
      <c r="Z41" s="32"/>
      <c r="AA41" s="32"/>
      <c r="AB41" s="33"/>
      <c r="AC41" s="1"/>
      <c r="AD41" s="1"/>
      <c r="AE41" s="1"/>
      <c r="AF41" s="1"/>
      <c r="AG41" s="1"/>
      <c r="AH41" s="1"/>
      <c r="AI41" s="1"/>
      <c r="AJ41" s="1"/>
      <c r="AK41" s="1"/>
      <c r="AL41" s="1"/>
      <c r="AM41" s="1"/>
      <c r="AN41" s="1"/>
      <c r="AO41" s="1"/>
      <c r="AP41" s="1"/>
      <c r="AQ41" s="1"/>
    </row>
    <row r="42" spans="1:43" ht="15.6" x14ac:dyDescent="0.35">
      <c r="A42" s="1"/>
      <c r="B42" s="1"/>
      <c r="C42" s="1"/>
      <c r="D42" s="1"/>
      <c r="E42" s="1"/>
      <c r="F42" s="1"/>
      <c r="G42" s="1"/>
      <c r="H42" s="1"/>
      <c r="I42" s="1"/>
      <c r="J42" s="1"/>
      <c r="K42" s="1"/>
      <c r="L42" s="1"/>
      <c r="M42" s="1"/>
      <c r="N42" s="1"/>
      <c r="O42" s="1"/>
      <c r="P42" s="31"/>
      <c r="Q42" s="32"/>
      <c r="R42" s="350" t="s">
        <v>268</v>
      </c>
      <c r="S42" s="329"/>
      <c r="T42" s="329"/>
      <c r="U42" s="202" t="s">
        <v>105</v>
      </c>
      <c r="V42" s="351">
        <f>V36*V35+V37*(1-V35)+V38+(V41/V40)</f>
        <v>332.62468964220676</v>
      </c>
      <c r="W42" s="351"/>
      <c r="X42" s="351"/>
      <c r="Y42" s="32" t="s">
        <v>94</v>
      </c>
      <c r="Z42" s="32"/>
      <c r="AA42" s="32"/>
      <c r="AB42" s="33"/>
      <c r="AC42" s="1"/>
      <c r="AD42" s="1"/>
      <c r="AE42" s="1"/>
      <c r="AF42" s="1"/>
      <c r="AG42" s="1"/>
      <c r="AH42" s="1"/>
      <c r="AI42" s="1"/>
      <c r="AJ42" s="1"/>
      <c r="AK42" s="1"/>
      <c r="AL42" s="1"/>
      <c r="AM42" s="1"/>
      <c r="AN42" s="1"/>
      <c r="AO42" s="1"/>
      <c r="AP42" s="1"/>
      <c r="AQ42" s="1"/>
    </row>
    <row r="43" spans="1:43" ht="14.4" x14ac:dyDescent="0.3">
      <c r="A43" s="1"/>
      <c r="B43" s="1"/>
      <c r="C43" s="1"/>
      <c r="D43" s="1"/>
      <c r="E43" s="1"/>
      <c r="F43" s="1"/>
      <c r="G43" s="1"/>
      <c r="H43" s="1"/>
      <c r="I43" s="1"/>
      <c r="J43" s="1"/>
      <c r="K43" s="1"/>
      <c r="L43" s="1"/>
      <c r="M43" s="1"/>
      <c r="N43" s="1"/>
      <c r="O43" s="1"/>
      <c r="P43" s="31"/>
      <c r="Q43" s="32"/>
      <c r="R43" s="226"/>
      <c r="S43" s="32"/>
      <c r="T43" s="32"/>
      <c r="U43" s="224"/>
      <c r="V43" s="360"/>
      <c r="W43" s="360"/>
      <c r="X43" s="360"/>
      <c r="Y43" s="32"/>
      <c r="Z43" s="32"/>
      <c r="AA43" s="32"/>
      <c r="AB43" s="33"/>
      <c r="AC43" s="1"/>
      <c r="AD43" s="1"/>
      <c r="AE43" s="1"/>
      <c r="AF43" s="1"/>
      <c r="AG43" s="1"/>
      <c r="AH43" s="1"/>
      <c r="AI43" s="1"/>
      <c r="AJ43" s="1"/>
      <c r="AK43" s="1"/>
      <c r="AL43" s="1"/>
      <c r="AM43" s="1"/>
      <c r="AN43" s="1"/>
      <c r="AO43" s="1"/>
      <c r="AP43" s="1"/>
      <c r="AQ43" s="1"/>
    </row>
    <row r="44" spans="1:43" ht="15" thickBot="1" x14ac:dyDescent="0.35">
      <c r="A44" s="1"/>
      <c r="B44" s="1"/>
      <c r="C44" s="1"/>
      <c r="D44" s="1"/>
      <c r="E44" s="1"/>
      <c r="F44" s="1"/>
      <c r="G44" s="1"/>
      <c r="H44" s="1"/>
      <c r="I44" s="1"/>
      <c r="J44" s="1"/>
      <c r="K44" s="1"/>
      <c r="L44" s="1"/>
      <c r="M44" s="1"/>
      <c r="N44" s="1"/>
      <c r="O44" s="1"/>
      <c r="P44" s="34"/>
      <c r="Q44" s="35"/>
      <c r="R44" s="35"/>
      <c r="S44" s="35"/>
      <c r="T44" s="35"/>
      <c r="U44" s="35"/>
      <c r="V44" s="35"/>
      <c r="W44" s="35"/>
      <c r="X44" s="35"/>
      <c r="Y44" s="35"/>
      <c r="Z44" s="35"/>
      <c r="AA44" s="35"/>
      <c r="AB44" s="36"/>
      <c r="AC44" s="1"/>
      <c r="AD44" s="1"/>
      <c r="AE44" s="1"/>
      <c r="AF44" s="1"/>
      <c r="AG44" s="1"/>
      <c r="AH44" s="1"/>
      <c r="AI44" s="1"/>
      <c r="AJ44" s="1"/>
      <c r="AK44" s="1"/>
      <c r="AL44" s="1"/>
      <c r="AM44" s="1"/>
      <c r="AN44" s="1"/>
      <c r="AO44" s="1"/>
      <c r="AP44" s="1"/>
      <c r="AQ44" s="1"/>
    </row>
    <row r="45" spans="1:43"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 thickBo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4.4" x14ac:dyDescent="0.3">
      <c r="A47" s="1"/>
      <c r="B47" s="1"/>
      <c r="C47" s="1"/>
      <c r="D47" s="1"/>
      <c r="E47" s="1"/>
      <c r="F47" s="1"/>
      <c r="G47" s="1"/>
      <c r="H47" s="1"/>
      <c r="I47" s="1"/>
      <c r="J47" s="1"/>
      <c r="K47" s="1"/>
      <c r="L47" s="1"/>
      <c r="M47" s="1"/>
      <c r="N47" s="1"/>
      <c r="O47" s="1"/>
      <c r="P47" s="37"/>
      <c r="Q47" s="38"/>
      <c r="R47" s="38"/>
      <c r="S47" s="38"/>
      <c r="T47" s="38"/>
      <c r="U47" s="38"/>
      <c r="V47" s="38"/>
      <c r="W47" s="38"/>
      <c r="X47" s="38"/>
      <c r="Y47" s="38"/>
      <c r="Z47" s="38"/>
      <c r="AA47" s="38"/>
      <c r="AB47" s="39"/>
      <c r="AC47" s="1"/>
      <c r="AD47" s="1"/>
      <c r="AE47" s="1"/>
      <c r="AF47" s="1"/>
      <c r="AG47" s="1"/>
      <c r="AH47" s="1"/>
      <c r="AI47" s="1"/>
      <c r="AJ47" s="1"/>
      <c r="AK47" s="1"/>
      <c r="AL47" s="1"/>
      <c r="AM47" s="1"/>
      <c r="AN47" s="1"/>
      <c r="AO47" s="1"/>
      <c r="AP47" s="1"/>
      <c r="AQ47" s="1"/>
    </row>
    <row r="48" spans="1:43" ht="15" thickBot="1" x14ac:dyDescent="0.35">
      <c r="A48" s="1"/>
      <c r="B48" s="1"/>
      <c r="C48" s="1"/>
      <c r="D48" s="1"/>
      <c r="E48" s="1"/>
      <c r="F48" s="1"/>
      <c r="G48" s="1"/>
      <c r="H48" s="1"/>
      <c r="I48" s="1"/>
      <c r="J48" s="1"/>
      <c r="K48" s="1"/>
      <c r="L48" s="1"/>
      <c r="M48" s="1"/>
      <c r="N48" s="1"/>
      <c r="O48" s="1"/>
      <c r="P48" s="40"/>
      <c r="Q48" s="41"/>
      <c r="R48" s="41"/>
      <c r="S48" s="41"/>
      <c r="T48" s="41"/>
      <c r="U48" s="41"/>
      <c r="V48" s="41"/>
      <c r="W48" s="41"/>
      <c r="X48" s="41"/>
      <c r="Y48" s="41"/>
      <c r="Z48" s="41"/>
      <c r="AA48" s="41"/>
      <c r="AB48" s="42"/>
      <c r="AC48" s="1"/>
      <c r="AD48" s="1"/>
      <c r="AE48" s="1"/>
      <c r="AF48" s="1"/>
      <c r="AG48" s="1"/>
      <c r="AH48" s="1"/>
      <c r="AI48" s="1"/>
      <c r="AJ48" s="1"/>
      <c r="AK48" s="1"/>
      <c r="AL48" s="1"/>
      <c r="AM48" s="1"/>
      <c r="AN48" s="1"/>
      <c r="AO48" s="1"/>
      <c r="AP48" s="1"/>
      <c r="AQ48" s="1"/>
    </row>
    <row r="49" spans="1:43" ht="30.6" thickBot="1" x14ac:dyDescent="0.35">
      <c r="A49" s="1"/>
      <c r="B49" s="1"/>
      <c r="C49" s="1"/>
      <c r="D49" s="1"/>
      <c r="E49" s="1"/>
      <c r="F49" s="1"/>
      <c r="G49" s="1"/>
      <c r="H49" s="1"/>
      <c r="I49" s="1"/>
      <c r="J49" s="1"/>
      <c r="K49" s="1"/>
      <c r="L49" s="1"/>
      <c r="M49" s="1"/>
      <c r="N49" s="1"/>
      <c r="O49" s="1"/>
      <c r="P49" s="40"/>
      <c r="Q49" s="41"/>
      <c r="R49" s="293" t="s">
        <v>106</v>
      </c>
      <c r="S49" s="294"/>
      <c r="T49" s="294"/>
      <c r="U49" s="294"/>
      <c r="V49" s="294"/>
      <c r="W49" s="294"/>
      <c r="X49" s="294"/>
      <c r="Y49" s="294"/>
      <c r="Z49" s="295"/>
      <c r="AA49" s="41"/>
      <c r="AB49" s="42"/>
      <c r="AC49" s="1"/>
      <c r="AD49" s="1"/>
      <c r="AE49" s="1"/>
      <c r="AF49" s="1"/>
      <c r="AG49" s="1"/>
      <c r="AH49" s="1"/>
      <c r="AI49" s="1"/>
      <c r="AJ49" s="1"/>
      <c r="AK49" s="1"/>
      <c r="AL49" s="1"/>
      <c r="AM49" s="1"/>
      <c r="AN49" s="1"/>
      <c r="AO49" s="1"/>
      <c r="AP49" s="1"/>
      <c r="AQ49" s="1"/>
    </row>
    <row r="50" spans="1:43" ht="14.4" x14ac:dyDescent="0.3">
      <c r="A50" s="1"/>
      <c r="B50" s="1"/>
      <c r="C50" s="1"/>
      <c r="D50" s="1"/>
      <c r="E50" s="1"/>
      <c r="F50" s="1"/>
      <c r="G50" s="1"/>
      <c r="H50" s="1"/>
      <c r="I50" s="1"/>
      <c r="J50" s="1"/>
      <c r="K50" s="1"/>
      <c r="L50" s="1"/>
      <c r="M50" s="1"/>
      <c r="N50" s="1"/>
      <c r="O50" s="1"/>
      <c r="P50" s="40"/>
      <c r="Q50" s="41"/>
      <c r="R50" s="41"/>
      <c r="S50" s="41"/>
      <c r="T50" s="41"/>
      <c r="U50" s="41"/>
      <c r="V50" s="41"/>
      <c r="W50" s="41"/>
      <c r="X50" s="41"/>
      <c r="Y50" s="41"/>
      <c r="Z50" s="41"/>
      <c r="AA50" s="41"/>
      <c r="AB50" s="42"/>
      <c r="AC50" s="1"/>
      <c r="AD50" s="1"/>
      <c r="AE50" s="1"/>
      <c r="AF50" s="1"/>
      <c r="AG50" s="1"/>
      <c r="AH50" s="1"/>
      <c r="AI50" s="1"/>
      <c r="AJ50" s="1"/>
      <c r="AK50" s="1"/>
      <c r="AL50" s="1"/>
      <c r="AM50" s="1"/>
      <c r="AN50" s="1"/>
      <c r="AO50" s="1"/>
      <c r="AP50" s="1"/>
      <c r="AQ50" s="1"/>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41"/>
      <c r="X51" s="41"/>
      <c r="Y51" s="41"/>
      <c r="Z51" s="41"/>
      <c r="AA51" s="41"/>
      <c r="AB51" s="42"/>
      <c r="AC51" s="1"/>
      <c r="AD51" s="1"/>
      <c r="AE51" s="1"/>
      <c r="AF51" s="1"/>
      <c r="AG51" s="1"/>
      <c r="AH51" s="1"/>
      <c r="AI51" s="1"/>
      <c r="AJ51" s="1"/>
      <c r="AK51" s="1"/>
      <c r="AL51" s="1"/>
      <c r="AM51" s="1"/>
      <c r="AN51" s="1"/>
      <c r="AO51" s="1"/>
      <c r="AP51" s="1"/>
      <c r="AQ51" s="1"/>
    </row>
    <row r="52" spans="1:43" ht="14.4" x14ac:dyDescent="0.3">
      <c r="A52" s="1"/>
      <c r="B52" s="1"/>
      <c r="C52" s="1"/>
      <c r="D52" s="1"/>
      <c r="E52" s="1"/>
      <c r="F52" s="1"/>
      <c r="G52" s="1"/>
      <c r="H52" s="1"/>
      <c r="I52" s="1"/>
      <c r="J52" s="1"/>
      <c r="K52" s="1"/>
      <c r="L52" s="1"/>
      <c r="M52" s="1"/>
      <c r="N52" s="1"/>
      <c r="O52" s="1"/>
      <c r="P52" s="40"/>
      <c r="Q52" s="41"/>
      <c r="R52" s="41"/>
      <c r="S52" s="41"/>
      <c r="T52" s="41"/>
      <c r="U52" s="41"/>
      <c r="V52" s="41"/>
      <c r="W52" s="41"/>
      <c r="X52" s="41"/>
      <c r="Y52" s="41"/>
      <c r="Z52" s="41"/>
      <c r="AA52" s="41"/>
      <c r="AB52" s="42"/>
      <c r="AC52" s="1"/>
      <c r="AD52" s="1"/>
      <c r="AE52" s="1"/>
      <c r="AF52" s="1"/>
      <c r="AG52" s="1"/>
      <c r="AH52" s="1"/>
      <c r="AI52" s="1"/>
      <c r="AJ52" s="1"/>
      <c r="AK52" s="1"/>
      <c r="AL52" s="1"/>
      <c r="AM52" s="1"/>
      <c r="AN52" s="1"/>
      <c r="AO52" s="1"/>
      <c r="AP52" s="1"/>
      <c r="AQ52" s="1"/>
    </row>
    <row r="53" spans="1:43" ht="14.4" x14ac:dyDescent="0.3">
      <c r="A53" s="1"/>
      <c r="B53" s="1"/>
      <c r="C53" s="1"/>
      <c r="D53" s="1"/>
      <c r="E53" s="1"/>
      <c r="F53" s="1"/>
      <c r="G53" s="1"/>
      <c r="H53" s="1"/>
      <c r="I53" s="1"/>
      <c r="J53" s="1"/>
      <c r="K53" s="1"/>
      <c r="L53" s="1"/>
      <c r="M53" s="1"/>
      <c r="N53" s="1"/>
      <c r="O53" s="1"/>
      <c r="P53" s="40"/>
      <c r="Q53" s="41"/>
      <c r="R53" s="41"/>
      <c r="S53" s="41"/>
      <c r="T53" s="41"/>
      <c r="U53" s="41"/>
      <c r="V53" s="41"/>
      <c r="W53" s="41"/>
      <c r="X53" s="41"/>
      <c r="Y53" s="41"/>
      <c r="Z53" s="41"/>
      <c r="AA53" s="41"/>
      <c r="AB53" s="42"/>
      <c r="AC53" s="1"/>
      <c r="AD53" s="1"/>
      <c r="AE53" s="1"/>
      <c r="AF53" s="1"/>
      <c r="AG53" s="1"/>
      <c r="AH53" s="1"/>
      <c r="AI53" s="1"/>
      <c r="AJ53" s="1"/>
      <c r="AK53" s="1"/>
      <c r="AL53" s="1"/>
      <c r="AM53" s="1"/>
      <c r="AN53" s="1"/>
      <c r="AO53" s="1"/>
      <c r="AP53" s="1"/>
      <c r="AQ53" s="1"/>
    </row>
    <row r="54" spans="1:43" ht="14.4" x14ac:dyDescent="0.3">
      <c r="A54" s="1"/>
      <c r="B54" s="1"/>
      <c r="C54" s="1"/>
      <c r="D54" s="1"/>
      <c r="E54" s="1"/>
      <c r="F54" s="1"/>
      <c r="G54" s="1"/>
      <c r="H54" s="1"/>
      <c r="I54" s="1"/>
      <c r="J54" s="1"/>
      <c r="K54" s="1"/>
      <c r="L54" s="1"/>
      <c r="M54" s="1"/>
      <c r="N54" s="1"/>
      <c r="O54" s="1"/>
      <c r="P54" s="40"/>
      <c r="Q54" s="41"/>
      <c r="R54" s="41"/>
      <c r="S54" s="41"/>
      <c r="T54" s="41"/>
      <c r="U54" s="41"/>
      <c r="V54" s="41"/>
      <c r="W54" s="41"/>
      <c r="X54" s="41"/>
      <c r="Y54" s="41"/>
      <c r="Z54" s="41"/>
      <c r="AA54" s="41"/>
      <c r="AB54" s="42"/>
      <c r="AC54" s="1"/>
      <c r="AD54" s="1"/>
      <c r="AE54" s="1"/>
      <c r="AF54" s="1"/>
      <c r="AG54" s="1"/>
      <c r="AH54" s="1"/>
      <c r="AI54" s="1"/>
      <c r="AJ54" s="1"/>
      <c r="AK54" s="1"/>
      <c r="AL54" s="1"/>
      <c r="AM54" s="1"/>
      <c r="AN54" s="1"/>
      <c r="AO54" s="1"/>
      <c r="AP54" s="1"/>
      <c r="AQ54" s="1"/>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1"/>
      <c r="AD55" s="1"/>
      <c r="AE55" s="1"/>
      <c r="AF55" s="1"/>
      <c r="AG55" s="1"/>
      <c r="AH55" s="1"/>
      <c r="AI55" s="1"/>
      <c r="AJ55" s="1"/>
      <c r="AK55" s="1"/>
      <c r="AL55" s="1"/>
      <c r="AM55" s="1"/>
      <c r="AN55" s="1"/>
      <c r="AO55" s="1"/>
      <c r="AP55" s="1"/>
      <c r="AQ55" s="1"/>
    </row>
    <row r="56" spans="1:43" ht="14.4" x14ac:dyDescent="0.3">
      <c r="A56" s="1"/>
      <c r="B56" s="1"/>
      <c r="C56" s="1"/>
      <c r="D56" s="1"/>
      <c r="E56" s="1"/>
      <c r="F56" s="1"/>
      <c r="G56" s="1"/>
      <c r="H56" s="1"/>
      <c r="I56" s="1"/>
      <c r="J56" s="1"/>
      <c r="K56" s="1"/>
      <c r="L56" s="1"/>
      <c r="M56" s="1"/>
      <c r="N56" s="1"/>
      <c r="O56" s="1"/>
      <c r="P56" s="40"/>
      <c r="Q56" s="41"/>
      <c r="R56" s="41"/>
      <c r="S56" s="41"/>
      <c r="T56" s="41"/>
      <c r="U56" s="41"/>
      <c r="V56" s="41"/>
      <c r="W56" s="41"/>
      <c r="X56" s="41"/>
      <c r="Y56" s="41"/>
      <c r="Z56" s="41"/>
      <c r="AA56" s="41"/>
      <c r="AB56" s="42"/>
      <c r="AC56" s="1"/>
      <c r="AD56" s="1"/>
      <c r="AE56" s="1"/>
      <c r="AF56" s="1"/>
      <c r="AG56" s="1"/>
      <c r="AH56" s="1"/>
      <c r="AI56" s="1"/>
      <c r="AJ56" s="1"/>
      <c r="AK56" s="1"/>
      <c r="AL56" s="1"/>
      <c r="AM56" s="1"/>
      <c r="AN56" s="1"/>
      <c r="AO56" s="1"/>
      <c r="AP56" s="1"/>
      <c r="AQ56" s="1"/>
    </row>
    <row r="57" spans="1:43" ht="14.4" x14ac:dyDescent="0.3">
      <c r="A57" s="1"/>
      <c r="B57" s="1"/>
      <c r="C57" s="1"/>
      <c r="D57" s="1"/>
      <c r="E57" s="1"/>
      <c r="F57" s="1"/>
      <c r="G57" s="1"/>
      <c r="H57" s="1"/>
      <c r="I57" s="1"/>
      <c r="J57" s="1"/>
      <c r="K57" s="1"/>
      <c r="L57" s="1"/>
      <c r="M57" s="1"/>
      <c r="N57" s="1"/>
      <c r="O57" s="1"/>
      <c r="P57" s="40"/>
      <c r="Q57" s="41"/>
      <c r="R57" s="41"/>
      <c r="S57" s="41"/>
      <c r="T57" s="41"/>
      <c r="U57" s="41"/>
      <c r="V57" s="41"/>
      <c r="W57" s="41"/>
      <c r="X57" s="41"/>
      <c r="Y57" s="41"/>
      <c r="Z57" s="41"/>
      <c r="AA57" s="41"/>
      <c r="AB57" s="42"/>
      <c r="AC57" s="1"/>
      <c r="AD57" s="1"/>
      <c r="AE57" s="1"/>
      <c r="AF57" s="1"/>
      <c r="AG57" s="1"/>
      <c r="AH57" s="1"/>
      <c r="AI57" s="1"/>
      <c r="AJ57" s="1"/>
      <c r="AK57" s="1"/>
      <c r="AL57" s="1"/>
      <c r="AM57" s="1"/>
      <c r="AN57" s="1"/>
      <c r="AO57" s="1"/>
      <c r="AP57" s="1"/>
      <c r="AQ57" s="1"/>
    </row>
    <row r="58" spans="1:43" ht="14.4" x14ac:dyDescent="0.3">
      <c r="A58" s="1"/>
      <c r="B58" s="1"/>
      <c r="C58" s="1"/>
      <c r="D58" s="1"/>
      <c r="E58" s="1"/>
      <c r="F58" s="1"/>
      <c r="G58" s="1"/>
      <c r="H58" s="1"/>
      <c r="I58" s="1"/>
      <c r="J58" s="1"/>
      <c r="K58" s="1"/>
      <c r="L58" s="1"/>
      <c r="M58" s="1"/>
      <c r="N58" s="1"/>
      <c r="O58" s="1"/>
      <c r="P58" s="40"/>
      <c r="Q58" s="41"/>
      <c r="R58" s="41"/>
      <c r="S58" s="41"/>
      <c r="T58" s="41"/>
      <c r="U58" s="41"/>
      <c r="V58" s="41"/>
      <c r="W58" s="41"/>
      <c r="X58" s="41"/>
      <c r="Y58" s="41"/>
      <c r="Z58" s="41"/>
      <c r="AA58" s="41"/>
      <c r="AB58" s="42"/>
      <c r="AC58" s="1"/>
      <c r="AD58" s="1"/>
      <c r="AE58" s="1"/>
      <c r="AF58" s="1"/>
      <c r="AG58" s="1"/>
      <c r="AH58" s="1"/>
      <c r="AI58" s="1"/>
      <c r="AJ58" s="1"/>
      <c r="AK58" s="1"/>
      <c r="AL58" s="1"/>
      <c r="AM58" s="1"/>
      <c r="AN58" s="1"/>
      <c r="AO58" s="1"/>
      <c r="AP58" s="1"/>
      <c r="AQ58" s="1"/>
    </row>
    <row r="59" spans="1:43" ht="14.4" x14ac:dyDescent="0.3">
      <c r="A59" s="1"/>
      <c r="B59" s="1"/>
      <c r="C59" s="1"/>
      <c r="D59" s="1"/>
      <c r="E59" s="1"/>
      <c r="F59" s="1"/>
      <c r="G59" s="1"/>
      <c r="H59" s="1"/>
      <c r="I59" s="1"/>
      <c r="J59" s="1"/>
      <c r="K59" s="1"/>
      <c r="L59" s="1"/>
      <c r="M59" s="1"/>
      <c r="N59" s="1"/>
      <c r="O59" s="1"/>
      <c r="P59" s="40"/>
      <c r="Q59" s="41"/>
      <c r="R59" s="41"/>
      <c r="S59" s="41"/>
      <c r="T59" s="41"/>
      <c r="U59" s="41"/>
      <c r="V59" s="41"/>
      <c r="W59" s="41"/>
      <c r="X59" s="41"/>
      <c r="Y59" s="41"/>
      <c r="Z59" s="41"/>
      <c r="AA59" s="41"/>
      <c r="AB59" s="42"/>
      <c r="AC59" s="1"/>
      <c r="AD59" s="1"/>
      <c r="AE59" s="1"/>
      <c r="AF59" s="1"/>
      <c r="AG59" s="1"/>
      <c r="AH59" s="1"/>
      <c r="AI59" s="1"/>
      <c r="AJ59" s="1"/>
      <c r="AK59" s="1"/>
      <c r="AL59" s="1"/>
      <c r="AM59" s="1"/>
      <c r="AN59" s="1"/>
      <c r="AO59" s="1"/>
      <c r="AP59" s="1"/>
      <c r="AQ59" s="1"/>
    </row>
    <row r="60" spans="1:43" ht="14.4" x14ac:dyDescent="0.3">
      <c r="A60" s="1"/>
      <c r="B60" s="1"/>
      <c r="C60" s="1"/>
      <c r="D60" s="1"/>
      <c r="E60" s="1"/>
      <c r="F60" s="1"/>
      <c r="G60" s="1"/>
      <c r="H60" s="1"/>
      <c r="I60" s="1"/>
      <c r="J60" s="1"/>
      <c r="K60" s="1"/>
      <c r="L60" s="1"/>
      <c r="M60" s="1"/>
      <c r="N60" s="1"/>
      <c r="O60" s="1"/>
      <c r="P60" s="40"/>
      <c r="Q60" s="41"/>
      <c r="R60" s="41"/>
      <c r="S60" s="41"/>
      <c r="T60" s="41"/>
      <c r="U60" s="41"/>
      <c r="V60" s="41"/>
      <c r="W60" s="41"/>
      <c r="X60" s="41"/>
      <c r="Y60" s="41"/>
      <c r="Z60" s="41"/>
      <c r="AA60" s="41"/>
      <c r="AB60" s="42"/>
      <c r="AC60" s="1"/>
      <c r="AD60" s="1"/>
      <c r="AE60" s="1"/>
      <c r="AF60" s="1"/>
      <c r="AG60" s="1"/>
      <c r="AH60" s="1"/>
      <c r="AI60" s="1"/>
      <c r="AJ60" s="1"/>
      <c r="AK60" s="1"/>
      <c r="AL60" s="1"/>
      <c r="AM60" s="1"/>
      <c r="AN60" s="1"/>
      <c r="AO60" s="1"/>
      <c r="AP60" s="1"/>
      <c r="AQ60" s="1"/>
    </row>
    <row r="61" spans="1:43" ht="14.4" x14ac:dyDescent="0.3">
      <c r="A61" s="1"/>
      <c r="B61" s="1"/>
      <c r="C61" s="1"/>
      <c r="D61" s="1"/>
      <c r="E61" s="1"/>
      <c r="F61" s="1"/>
      <c r="G61" s="1"/>
      <c r="H61" s="1"/>
      <c r="I61" s="1"/>
      <c r="J61" s="1"/>
      <c r="K61" s="1"/>
      <c r="L61" s="1"/>
      <c r="M61" s="1"/>
      <c r="N61" s="1"/>
      <c r="O61" s="1"/>
      <c r="P61" s="40"/>
      <c r="Q61" s="41"/>
      <c r="R61" s="333" t="s">
        <v>85</v>
      </c>
      <c r="S61" s="333"/>
      <c r="T61" s="333"/>
      <c r="U61" s="143"/>
      <c r="V61" s="41"/>
      <c r="W61" s="333" t="s">
        <v>86</v>
      </c>
      <c r="X61" s="333"/>
      <c r="Y61" s="333"/>
      <c r="Z61" s="143"/>
      <c r="AA61" s="41"/>
      <c r="AB61" s="42"/>
      <c r="AC61" s="1"/>
      <c r="AD61" s="1"/>
      <c r="AE61" s="1"/>
      <c r="AF61" s="1"/>
      <c r="AG61" s="1"/>
      <c r="AH61" s="1"/>
      <c r="AI61" s="1"/>
      <c r="AJ61" s="1"/>
      <c r="AK61" s="1"/>
      <c r="AL61" s="1"/>
      <c r="AM61" s="1"/>
      <c r="AN61" s="1"/>
      <c r="AO61" s="1"/>
      <c r="AP61" s="1"/>
      <c r="AQ61" s="1"/>
    </row>
    <row r="62" spans="1:43" ht="14.4" x14ac:dyDescent="0.3">
      <c r="A62" s="1"/>
      <c r="B62" s="1"/>
      <c r="C62" s="1"/>
      <c r="D62" s="1"/>
      <c r="E62" s="1"/>
      <c r="F62" s="1"/>
      <c r="G62" s="1"/>
      <c r="H62" s="1"/>
      <c r="I62" s="1"/>
      <c r="J62" s="1"/>
      <c r="K62" s="1"/>
      <c r="L62" s="1"/>
      <c r="M62" s="1"/>
      <c r="N62" s="1"/>
      <c r="O62" s="1"/>
      <c r="P62" s="40"/>
      <c r="Q62" s="41"/>
      <c r="R62" s="41" t="s">
        <v>51</v>
      </c>
      <c r="S62" s="41"/>
      <c r="T62" s="146"/>
      <c r="U62" s="41" t="s">
        <v>52</v>
      </c>
      <c r="V62" s="41"/>
      <c r="W62" s="41" t="s">
        <v>47</v>
      </c>
      <c r="X62" s="41"/>
      <c r="Y62" s="146">
        <v>2</v>
      </c>
      <c r="Z62" s="41" t="s">
        <v>32</v>
      </c>
      <c r="AA62" s="41"/>
      <c r="AB62" s="42"/>
      <c r="AC62" s="1"/>
      <c r="AD62" s="1"/>
      <c r="AE62" s="1"/>
      <c r="AF62" s="1"/>
      <c r="AG62" s="1"/>
      <c r="AH62" s="1"/>
      <c r="AI62" s="1"/>
      <c r="AJ62" s="1"/>
      <c r="AK62" s="1"/>
      <c r="AL62" s="1"/>
      <c r="AM62" s="1"/>
      <c r="AN62" s="1"/>
      <c r="AO62" s="1"/>
      <c r="AP62" s="1"/>
      <c r="AQ62" s="1"/>
    </row>
    <row r="63" spans="1:43" ht="14.4" x14ac:dyDescent="0.3">
      <c r="A63" s="1"/>
      <c r="B63" s="1"/>
      <c r="C63" s="1"/>
      <c r="D63" s="1"/>
      <c r="E63" s="1"/>
      <c r="F63" s="1"/>
      <c r="G63" s="1"/>
      <c r="H63" s="1"/>
      <c r="I63" s="1"/>
      <c r="J63" s="1"/>
      <c r="K63" s="1"/>
      <c r="L63" s="1"/>
      <c r="M63" s="1"/>
      <c r="N63" s="1"/>
      <c r="O63" s="1"/>
      <c r="P63" s="40"/>
      <c r="Q63" s="41"/>
      <c r="R63" s="41" t="s">
        <v>54</v>
      </c>
      <c r="S63" s="41"/>
      <c r="T63" s="204"/>
      <c r="U63" s="41" t="s">
        <v>38</v>
      </c>
      <c r="V63" s="41"/>
      <c r="W63" s="41" t="s">
        <v>48</v>
      </c>
      <c r="X63" s="41"/>
      <c r="Y63" s="146">
        <v>0.5</v>
      </c>
      <c r="Z63" s="41" t="s">
        <v>32</v>
      </c>
      <c r="AA63" s="41"/>
      <c r="AB63" s="42"/>
      <c r="AC63" s="1"/>
      <c r="AD63" s="1"/>
      <c r="AE63" s="1"/>
      <c r="AF63" s="1"/>
      <c r="AG63" s="1"/>
      <c r="AH63" s="1"/>
      <c r="AI63" s="1"/>
      <c r="AJ63" s="1"/>
      <c r="AK63" s="1"/>
      <c r="AL63" s="1"/>
      <c r="AM63" s="1"/>
      <c r="AN63" s="1"/>
      <c r="AO63" s="1"/>
      <c r="AP63" s="1"/>
      <c r="AQ63" s="1"/>
    </row>
    <row r="64" spans="1:43" ht="14.4" x14ac:dyDescent="0.3">
      <c r="A64" s="1"/>
      <c r="B64" s="1"/>
      <c r="C64" s="1"/>
      <c r="D64" s="1"/>
      <c r="E64" s="1"/>
      <c r="F64" s="1"/>
      <c r="G64" s="1"/>
      <c r="H64" s="1"/>
      <c r="I64" s="1"/>
      <c r="J64" s="1"/>
      <c r="K64" s="1"/>
      <c r="L64" s="1"/>
      <c r="M64" s="1"/>
      <c r="N64" s="1"/>
      <c r="O64" s="1"/>
      <c r="P64" s="40"/>
      <c r="Q64" s="41"/>
      <c r="R64" s="41"/>
      <c r="S64" s="41"/>
      <c r="T64" s="41"/>
      <c r="U64" s="41"/>
      <c r="V64" s="41"/>
      <c r="W64" s="41" t="s">
        <v>50</v>
      </c>
      <c r="X64" s="41"/>
      <c r="Y64" s="146">
        <v>2</v>
      </c>
      <c r="Z64" s="41" t="s">
        <v>32</v>
      </c>
      <c r="AA64" s="41"/>
      <c r="AB64" s="42"/>
      <c r="AC64" s="1"/>
      <c r="AD64" s="1"/>
      <c r="AE64" s="1"/>
      <c r="AF64" s="1"/>
      <c r="AG64" s="1"/>
      <c r="AH64" s="1"/>
      <c r="AI64" s="1"/>
      <c r="AJ64" s="1"/>
      <c r="AK64" s="1"/>
      <c r="AL64" s="1"/>
      <c r="AM64" s="1"/>
      <c r="AN64" s="1"/>
      <c r="AO64" s="1"/>
      <c r="AP64" s="1"/>
      <c r="AQ64" s="1"/>
    </row>
    <row r="65" spans="1:43" ht="14.4" x14ac:dyDescent="0.3">
      <c r="A65" s="1"/>
      <c r="B65" s="1"/>
      <c r="C65" s="1"/>
      <c r="D65" s="1"/>
      <c r="E65" s="1"/>
      <c r="F65" s="1"/>
      <c r="G65" s="1"/>
      <c r="H65" s="1"/>
      <c r="I65" s="1"/>
      <c r="J65" s="1"/>
      <c r="K65" s="1"/>
      <c r="L65" s="1"/>
      <c r="M65" s="1"/>
      <c r="N65" s="1"/>
      <c r="O65" s="1"/>
      <c r="P65" s="40"/>
      <c r="Q65" s="41"/>
      <c r="R65" s="333" t="s">
        <v>107</v>
      </c>
      <c r="S65" s="333"/>
      <c r="T65" s="333"/>
      <c r="U65" s="143"/>
      <c r="V65" s="41"/>
      <c r="W65" s="41" t="s">
        <v>53</v>
      </c>
      <c r="X65" s="41"/>
      <c r="Y65" s="204">
        <f>SUM(Y62:Y64)</f>
        <v>4.5</v>
      </c>
      <c r="Z65" s="41" t="s">
        <v>32</v>
      </c>
      <c r="AA65" s="41"/>
      <c r="AB65" s="42"/>
      <c r="AC65" s="1"/>
      <c r="AD65" s="1"/>
      <c r="AE65" s="1"/>
      <c r="AF65" s="1"/>
      <c r="AG65" s="1"/>
      <c r="AH65" s="1"/>
      <c r="AI65" s="1"/>
      <c r="AJ65" s="1"/>
      <c r="AK65" s="1"/>
      <c r="AL65" s="1"/>
      <c r="AM65" s="1"/>
      <c r="AN65" s="1"/>
      <c r="AO65" s="1"/>
      <c r="AP65" s="1"/>
      <c r="AQ65" s="1"/>
    </row>
    <row r="66" spans="1:43" ht="14.4" x14ac:dyDescent="0.3">
      <c r="A66" s="1"/>
      <c r="B66" s="1"/>
      <c r="C66" s="1"/>
      <c r="D66" s="1"/>
      <c r="E66" s="1"/>
      <c r="F66" s="1"/>
      <c r="G66" s="1"/>
      <c r="H66" s="1"/>
      <c r="I66" s="1"/>
      <c r="J66" s="1"/>
      <c r="K66" s="1"/>
      <c r="L66" s="1"/>
      <c r="M66" s="1"/>
      <c r="N66" s="1"/>
      <c r="O66" s="1"/>
      <c r="P66" s="40"/>
      <c r="Q66" s="41"/>
      <c r="R66" s="41" t="s">
        <v>51</v>
      </c>
      <c r="S66" s="41"/>
      <c r="T66" s="146">
        <f>Transmitters!T20</f>
        <v>8.9099999999999999E-2</v>
      </c>
      <c r="U66" s="41" t="s">
        <v>52</v>
      </c>
      <c r="V66" s="41"/>
      <c r="W66" s="41"/>
      <c r="X66" s="41"/>
      <c r="Y66" s="41"/>
      <c r="Z66" s="41"/>
      <c r="AA66" s="41"/>
      <c r="AB66" s="42"/>
      <c r="AC66" s="1"/>
      <c r="AD66" s="1"/>
      <c r="AE66" s="1"/>
      <c r="AF66" s="1"/>
      <c r="AG66" s="1"/>
      <c r="AH66" s="1"/>
      <c r="AI66" s="1"/>
      <c r="AJ66" s="1"/>
      <c r="AK66" s="1"/>
      <c r="AL66" s="1"/>
      <c r="AM66" s="1"/>
      <c r="AN66" s="1"/>
      <c r="AO66" s="1"/>
      <c r="AP66" s="1"/>
      <c r="AQ66" s="1"/>
    </row>
    <row r="67" spans="1:43" ht="14.4" x14ac:dyDescent="0.3">
      <c r="A67" s="1"/>
      <c r="B67" s="1"/>
      <c r="C67" s="1"/>
      <c r="D67" s="1"/>
      <c r="E67" s="1"/>
      <c r="F67" s="1"/>
      <c r="G67" s="1"/>
      <c r="H67" s="1"/>
      <c r="I67" s="1"/>
      <c r="J67" s="1"/>
      <c r="K67" s="1"/>
      <c r="L67" s="1"/>
      <c r="M67" s="1"/>
      <c r="N67" s="1"/>
      <c r="O67" s="1"/>
      <c r="P67" s="40"/>
      <c r="Q67" s="41"/>
      <c r="R67" s="41" t="s">
        <v>108</v>
      </c>
      <c r="S67" s="41"/>
      <c r="T67" s="146">
        <v>5</v>
      </c>
      <c r="U67" s="41" t="s">
        <v>32</v>
      </c>
      <c r="V67" s="41"/>
      <c r="W67" s="41"/>
      <c r="X67" s="41"/>
      <c r="Y67" s="41"/>
      <c r="Z67" s="41"/>
      <c r="AA67" s="41"/>
      <c r="AB67" s="42"/>
      <c r="AC67" s="1"/>
      <c r="AD67" s="1"/>
      <c r="AE67" s="1"/>
      <c r="AF67" s="1"/>
      <c r="AG67" s="1"/>
      <c r="AH67" s="1"/>
      <c r="AI67" s="1"/>
      <c r="AJ67" s="1"/>
      <c r="AK67" s="1"/>
      <c r="AL67" s="1"/>
      <c r="AM67" s="1"/>
      <c r="AN67" s="1"/>
      <c r="AO67" s="1"/>
      <c r="AP67" s="1"/>
      <c r="AQ67" s="1"/>
    </row>
    <row r="68" spans="1:43" ht="14.4" x14ac:dyDescent="0.3">
      <c r="A68" s="1"/>
      <c r="B68" s="1"/>
      <c r="C68" s="1"/>
      <c r="D68" s="1"/>
      <c r="E68" s="1"/>
      <c r="F68" s="1"/>
      <c r="G68" s="1"/>
      <c r="H68" s="1"/>
      <c r="I68" s="1"/>
      <c r="J68" s="1"/>
      <c r="K68" s="1"/>
      <c r="L68" s="1"/>
      <c r="M68" s="1"/>
      <c r="N68" s="1"/>
      <c r="O68" s="1"/>
      <c r="P68" s="40"/>
      <c r="Q68" s="41"/>
      <c r="R68" s="41" t="s">
        <v>54</v>
      </c>
      <c r="S68" s="41"/>
      <c r="T68" s="204">
        <f>(Y65+T67)*T66</f>
        <v>0.84645000000000004</v>
      </c>
      <c r="U68" s="41" t="s">
        <v>38</v>
      </c>
      <c r="V68" s="41"/>
      <c r="W68" s="41"/>
      <c r="X68" s="41"/>
      <c r="Y68" s="41"/>
      <c r="Z68" s="41"/>
      <c r="AA68" s="41"/>
      <c r="AB68" s="42"/>
      <c r="AC68" s="1"/>
      <c r="AD68" s="1"/>
      <c r="AE68" s="1"/>
      <c r="AF68" s="1"/>
      <c r="AG68" s="1"/>
      <c r="AH68" s="1"/>
      <c r="AI68" s="1"/>
      <c r="AJ68" s="1"/>
      <c r="AK68" s="1"/>
      <c r="AL68" s="1"/>
      <c r="AM68" s="1"/>
      <c r="AN68" s="1"/>
      <c r="AO68" s="1"/>
      <c r="AP68" s="1"/>
      <c r="AQ68" s="1"/>
    </row>
    <row r="69" spans="1:43" ht="14.4" x14ac:dyDescent="0.3">
      <c r="A69" s="1"/>
      <c r="B69" s="1"/>
      <c r="C69" s="1"/>
      <c r="D69" s="1"/>
      <c r="E69" s="1"/>
      <c r="F69" s="1"/>
      <c r="G69" s="1"/>
      <c r="H69" s="1"/>
      <c r="I69" s="1"/>
      <c r="J69" s="1"/>
      <c r="K69" s="1"/>
      <c r="L69" s="1"/>
      <c r="M69" s="1"/>
      <c r="N69" s="1"/>
      <c r="O69" s="1"/>
      <c r="P69" s="40"/>
      <c r="Q69" s="41"/>
      <c r="R69" s="41"/>
      <c r="S69" s="41"/>
      <c r="T69" s="41"/>
      <c r="U69" s="41"/>
      <c r="V69" s="41"/>
      <c r="W69" s="41"/>
      <c r="X69" s="41"/>
      <c r="Y69" s="41"/>
      <c r="Z69" s="41"/>
      <c r="AA69" s="41"/>
      <c r="AB69" s="42"/>
      <c r="AC69" s="1"/>
      <c r="AD69" s="1"/>
      <c r="AE69" s="1"/>
      <c r="AF69" s="1"/>
      <c r="AG69" s="1"/>
      <c r="AH69" s="1"/>
      <c r="AI69" s="1"/>
      <c r="AJ69" s="1"/>
      <c r="AK69" s="1"/>
      <c r="AL69" s="1"/>
      <c r="AM69" s="1"/>
      <c r="AN69" s="1"/>
      <c r="AO69" s="1"/>
      <c r="AP69" s="1"/>
      <c r="AQ69" s="1"/>
    </row>
    <row r="70" spans="1:43" ht="14.4" x14ac:dyDescent="0.3">
      <c r="A70" s="1"/>
      <c r="B70" s="1"/>
      <c r="C70" s="1"/>
      <c r="D70" s="1"/>
      <c r="E70" s="1"/>
      <c r="F70" s="1"/>
      <c r="G70" s="1"/>
      <c r="H70" s="1"/>
      <c r="I70" s="1"/>
      <c r="J70" s="1"/>
      <c r="K70" s="1"/>
      <c r="L70" s="1"/>
      <c r="M70" s="1"/>
      <c r="N70" s="1"/>
      <c r="O70" s="1"/>
      <c r="P70" s="40"/>
      <c r="Q70" s="41"/>
      <c r="R70" s="333" t="s">
        <v>55</v>
      </c>
      <c r="S70" s="333"/>
      <c r="T70" s="333"/>
      <c r="U70" s="333"/>
      <c r="V70" s="333"/>
      <c r="W70" s="333"/>
      <c r="X70" s="333"/>
      <c r="Y70" s="143"/>
      <c r="Z70" s="143"/>
      <c r="AA70" s="41"/>
      <c r="AB70" s="42"/>
      <c r="AC70" s="1"/>
      <c r="AD70" s="1"/>
      <c r="AE70" s="1"/>
      <c r="AF70" s="1"/>
      <c r="AG70" s="1"/>
      <c r="AH70" s="1"/>
      <c r="AI70" s="1"/>
      <c r="AJ70" s="1"/>
      <c r="AK70" s="1"/>
      <c r="AL70" s="1"/>
      <c r="AM70" s="1"/>
      <c r="AN70" s="1"/>
      <c r="AO70" s="1"/>
      <c r="AP70" s="1"/>
      <c r="AQ70" s="1"/>
    </row>
    <row r="71" spans="1:43" ht="14.4" x14ac:dyDescent="0.3">
      <c r="A71" s="1"/>
      <c r="B71" s="1"/>
      <c r="C71" s="1"/>
      <c r="D71" s="1"/>
      <c r="E71" s="1"/>
      <c r="F71" s="1"/>
      <c r="G71" s="1"/>
      <c r="H71" s="1"/>
      <c r="I71" s="1"/>
      <c r="J71" s="1"/>
      <c r="K71" s="1"/>
      <c r="L71" s="1"/>
      <c r="M71" s="1"/>
      <c r="N71" s="1"/>
      <c r="O71" s="1"/>
      <c r="P71" s="40"/>
      <c r="Q71" s="41"/>
      <c r="R71" s="41" t="s">
        <v>56</v>
      </c>
      <c r="S71" s="41"/>
      <c r="T71" s="41"/>
      <c r="U71" s="41"/>
      <c r="V71" s="339"/>
      <c r="W71" s="340"/>
      <c r="X71" s="341"/>
      <c r="Y71" s="41"/>
      <c r="Z71" s="41"/>
      <c r="AA71" s="41"/>
      <c r="AB71" s="42"/>
      <c r="AC71" s="1"/>
      <c r="AD71" s="1"/>
      <c r="AE71" s="1"/>
      <c r="AF71" s="1"/>
      <c r="AG71" s="1"/>
      <c r="AH71" s="1"/>
      <c r="AI71" s="1"/>
      <c r="AJ71" s="1"/>
      <c r="AK71" s="1"/>
      <c r="AL71" s="1"/>
      <c r="AM71" s="1"/>
      <c r="AN71" s="1"/>
      <c r="AO71" s="1"/>
      <c r="AP71" s="1"/>
      <c r="AQ71" s="1"/>
    </row>
    <row r="72" spans="1:43" ht="14.4" x14ac:dyDescent="0.3">
      <c r="A72" s="1"/>
      <c r="B72" s="1"/>
      <c r="C72" s="1"/>
      <c r="D72" s="1"/>
      <c r="E72" s="1"/>
      <c r="F72" s="1"/>
      <c r="G72" s="1"/>
      <c r="H72" s="1"/>
      <c r="I72" s="1"/>
      <c r="J72" s="1"/>
      <c r="K72" s="1"/>
      <c r="L72" s="1"/>
      <c r="M72" s="1"/>
      <c r="N72" s="1"/>
      <c r="O72" s="1"/>
      <c r="P72" s="40"/>
      <c r="Q72" s="41"/>
      <c r="R72" s="41" t="s">
        <v>58</v>
      </c>
      <c r="S72" s="41"/>
      <c r="T72" s="41"/>
      <c r="U72" s="41"/>
      <c r="V72" s="345">
        <v>0.2</v>
      </c>
      <c r="W72" s="358"/>
      <c r="X72" s="346"/>
      <c r="Y72" s="41" t="s">
        <v>38</v>
      </c>
      <c r="Z72" s="41"/>
      <c r="AA72" s="41"/>
      <c r="AB72" s="42"/>
      <c r="AC72" s="1"/>
      <c r="AD72" s="1"/>
      <c r="AE72" s="1"/>
      <c r="AF72" s="1"/>
      <c r="AG72" s="1"/>
      <c r="AH72" s="1"/>
      <c r="AI72" s="1"/>
      <c r="AJ72" s="1"/>
      <c r="AK72" s="1"/>
      <c r="AL72" s="1"/>
      <c r="AM72" s="1"/>
      <c r="AN72" s="1"/>
      <c r="AO72" s="1"/>
      <c r="AP72" s="1"/>
      <c r="AQ72" s="1"/>
    </row>
    <row r="73" spans="1:43" ht="14.4" x14ac:dyDescent="0.3">
      <c r="A73" s="1"/>
      <c r="B73" s="1"/>
      <c r="C73" s="1"/>
      <c r="D73" s="1"/>
      <c r="E73" s="1"/>
      <c r="F73" s="1"/>
      <c r="G73" s="1"/>
      <c r="H73" s="1"/>
      <c r="I73" s="1"/>
      <c r="J73" s="1"/>
      <c r="K73" s="1"/>
      <c r="L73" s="1"/>
      <c r="M73" s="1"/>
      <c r="N73" s="1"/>
      <c r="O73" s="1"/>
      <c r="P73" s="40"/>
      <c r="Q73" s="41"/>
      <c r="R73" s="41" t="s">
        <v>87</v>
      </c>
      <c r="S73" s="41"/>
      <c r="T73" s="41"/>
      <c r="U73" s="41"/>
      <c r="V73" s="339">
        <v>1</v>
      </c>
      <c r="W73" s="340"/>
      <c r="X73" s="341"/>
      <c r="Y73" s="41" t="s">
        <v>38</v>
      </c>
      <c r="Z73" s="41"/>
      <c r="AA73" s="41"/>
      <c r="AB73" s="42"/>
      <c r="AC73" s="1"/>
      <c r="AD73" s="1"/>
      <c r="AE73" s="1"/>
      <c r="AF73" s="1"/>
      <c r="AG73" s="1"/>
      <c r="AH73" s="1"/>
      <c r="AI73" s="1"/>
      <c r="AJ73" s="1"/>
      <c r="AK73" s="1"/>
      <c r="AL73" s="1"/>
      <c r="AM73" s="1"/>
      <c r="AN73" s="1"/>
      <c r="AO73" s="1"/>
      <c r="AP73" s="1"/>
      <c r="AQ73" s="1"/>
    </row>
    <row r="74" spans="1:43" ht="14.4" x14ac:dyDescent="0.3">
      <c r="A74" s="1"/>
      <c r="B74" s="1"/>
      <c r="C74" s="1"/>
      <c r="D74" s="1"/>
      <c r="E74" s="1"/>
      <c r="F74" s="1"/>
      <c r="G74" s="1"/>
      <c r="H74" s="1"/>
      <c r="I74" s="1"/>
      <c r="J74" s="1"/>
      <c r="K74" s="1"/>
      <c r="L74" s="1"/>
      <c r="M74" s="1"/>
      <c r="N74" s="1"/>
      <c r="O74" s="1"/>
      <c r="P74" s="40"/>
      <c r="Q74" s="41"/>
      <c r="R74" s="41" t="s">
        <v>60</v>
      </c>
      <c r="S74" s="41"/>
      <c r="T74" s="41"/>
      <c r="U74" s="41"/>
      <c r="V74" s="339"/>
      <c r="W74" s="340"/>
      <c r="X74" s="341"/>
      <c r="Y74" s="41" t="s">
        <v>38</v>
      </c>
      <c r="Z74" s="41"/>
      <c r="AA74" s="41"/>
      <c r="AB74" s="42"/>
      <c r="AC74" s="1"/>
      <c r="AD74" s="1"/>
      <c r="AE74" s="1"/>
      <c r="AF74" s="1"/>
      <c r="AG74" s="1"/>
      <c r="AH74" s="1"/>
      <c r="AI74" s="1"/>
      <c r="AJ74" s="1"/>
      <c r="AK74" s="1"/>
      <c r="AL74" s="1"/>
      <c r="AM74" s="1"/>
      <c r="AN74" s="1"/>
      <c r="AO74" s="1"/>
      <c r="AP74" s="1"/>
      <c r="AQ74" s="1"/>
    </row>
    <row r="75" spans="1:43" ht="14.4" x14ac:dyDescent="0.3">
      <c r="A75" s="1"/>
      <c r="B75" s="1"/>
      <c r="C75" s="1"/>
      <c r="D75" s="1"/>
      <c r="E75" s="1"/>
      <c r="F75" s="1"/>
      <c r="G75" s="1"/>
      <c r="H75" s="1"/>
      <c r="I75" s="1"/>
      <c r="J75" s="1"/>
      <c r="K75" s="1"/>
      <c r="L75" s="1"/>
      <c r="M75" s="1"/>
      <c r="N75" s="1"/>
      <c r="O75" s="1"/>
      <c r="P75" s="40"/>
      <c r="Q75" s="41"/>
      <c r="R75" s="41"/>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ht="14.4" x14ac:dyDescent="0.3">
      <c r="A76" s="1"/>
      <c r="B76" s="1"/>
      <c r="C76" s="1"/>
      <c r="D76" s="1"/>
      <c r="E76" s="1"/>
      <c r="F76" s="1"/>
      <c r="G76" s="1"/>
      <c r="H76" s="1"/>
      <c r="I76" s="1"/>
      <c r="J76" s="1"/>
      <c r="K76" s="1"/>
      <c r="L76" s="1"/>
      <c r="M76" s="1"/>
      <c r="N76" s="1"/>
      <c r="O76" s="1"/>
      <c r="P76" s="40"/>
      <c r="Q76" s="41"/>
      <c r="R76" s="41"/>
      <c r="S76" s="41"/>
      <c r="T76" s="333" t="s">
        <v>88</v>
      </c>
      <c r="U76" s="333"/>
      <c r="V76" s="333"/>
      <c r="W76" s="333"/>
      <c r="X76" s="143"/>
      <c r="Y76" s="41"/>
      <c r="Z76" s="41"/>
      <c r="AA76" s="41"/>
      <c r="AB76" s="42"/>
      <c r="AC76" s="1"/>
      <c r="AD76" s="1"/>
      <c r="AE76" s="1"/>
      <c r="AF76" s="1"/>
      <c r="AG76" s="1"/>
      <c r="AH76" s="1"/>
      <c r="AI76" s="1"/>
      <c r="AJ76" s="1"/>
      <c r="AK76" s="1"/>
      <c r="AL76" s="1"/>
      <c r="AM76" s="1"/>
      <c r="AN76" s="1"/>
      <c r="AO76" s="1"/>
      <c r="AP76" s="1"/>
      <c r="AQ76" s="1"/>
    </row>
    <row r="77" spans="1:43" ht="14.4" x14ac:dyDescent="0.3">
      <c r="A77" s="1"/>
      <c r="B77" s="1"/>
      <c r="C77" s="1"/>
      <c r="D77" s="1"/>
      <c r="E77" s="1"/>
      <c r="F77" s="1"/>
      <c r="G77" s="1"/>
      <c r="H77" s="1"/>
      <c r="I77" s="1"/>
      <c r="J77" s="1"/>
      <c r="K77" s="1"/>
      <c r="L77" s="1"/>
      <c r="M77" s="1"/>
      <c r="N77" s="1"/>
      <c r="O77" s="1"/>
      <c r="P77" s="40"/>
      <c r="Q77" s="41"/>
      <c r="R77" s="41"/>
      <c r="S77" s="41"/>
      <c r="T77" s="48" t="s">
        <v>63</v>
      </c>
      <c r="U77" s="48"/>
      <c r="V77" s="345">
        <f>T63+T68+SUM(V72:X74)</f>
        <v>2.0464500000000001</v>
      </c>
      <c r="W77" s="346"/>
      <c r="X77" s="41" t="s">
        <v>38</v>
      </c>
      <c r="Y77" s="41"/>
      <c r="Z77" s="41"/>
      <c r="AA77" s="41"/>
      <c r="AB77" s="42"/>
      <c r="AC77" s="1"/>
      <c r="AD77" s="1"/>
      <c r="AE77" s="1"/>
      <c r="AF77" s="1"/>
      <c r="AG77" s="1"/>
      <c r="AH77" s="1"/>
      <c r="AI77" s="1"/>
      <c r="AJ77" s="1"/>
      <c r="AK77" s="1"/>
      <c r="AL77" s="1"/>
      <c r="AM77" s="1"/>
      <c r="AN77" s="1"/>
      <c r="AO77" s="1"/>
      <c r="AP77" s="1"/>
      <c r="AQ77" s="1"/>
    </row>
    <row r="78" spans="1:43" ht="14.4" x14ac:dyDescent="0.3">
      <c r="A78" s="1"/>
      <c r="B78" s="1"/>
      <c r="C78" s="1"/>
      <c r="D78" s="1"/>
      <c r="E78" s="1"/>
      <c r="F78" s="1"/>
      <c r="G78" s="1"/>
      <c r="H78" s="1"/>
      <c r="I78" s="1"/>
      <c r="J78" s="1"/>
      <c r="K78" s="1"/>
      <c r="L78" s="1"/>
      <c r="M78" s="1"/>
      <c r="N78" s="1"/>
      <c r="O78" s="1"/>
      <c r="P78" s="40"/>
      <c r="Q78" s="41"/>
      <c r="R78" s="48"/>
      <c r="S78" s="48"/>
      <c r="T78" s="48"/>
      <c r="U78" s="48"/>
      <c r="V78" s="48"/>
      <c r="W78" s="48"/>
      <c r="X78" s="48"/>
      <c r="Y78" s="48"/>
      <c r="Z78" s="48"/>
      <c r="AA78" s="41"/>
      <c r="AB78" s="42"/>
      <c r="AC78" s="1"/>
      <c r="AD78" s="1"/>
      <c r="AE78" s="1"/>
      <c r="AF78" s="1"/>
      <c r="AG78" s="1"/>
      <c r="AH78" s="1"/>
      <c r="AI78" s="1"/>
      <c r="AJ78" s="1"/>
      <c r="AK78" s="1"/>
      <c r="AL78" s="1"/>
      <c r="AM78" s="1"/>
      <c r="AN78" s="1"/>
      <c r="AO78" s="1"/>
      <c r="AP78" s="1"/>
      <c r="AQ78" s="1"/>
    </row>
    <row r="79" spans="1:43" ht="14.4" x14ac:dyDescent="0.3">
      <c r="A79" s="1"/>
      <c r="B79" s="1"/>
      <c r="C79" s="1"/>
      <c r="D79" s="1"/>
      <c r="E79" s="1"/>
      <c r="F79" s="1"/>
      <c r="G79" s="1"/>
      <c r="H79" s="1"/>
      <c r="I79" s="1"/>
      <c r="J79" s="1"/>
      <c r="K79" s="1"/>
      <c r="L79" s="1"/>
      <c r="M79" s="1"/>
      <c r="N79" s="1"/>
      <c r="O79" s="1"/>
      <c r="P79" s="40"/>
      <c r="Q79" s="41"/>
      <c r="R79" s="361" t="s">
        <v>89</v>
      </c>
      <c r="S79" s="361"/>
      <c r="T79" s="361"/>
      <c r="U79" s="361"/>
      <c r="V79" s="361"/>
      <c r="W79" s="361"/>
      <c r="X79" s="361"/>
      <c r="Y79" s="151"/>
      <c r="Z79" s="151"/>
      <c r="AA79" s="41"/>
      <c r="AB79" s="42"/>
      <c r="AC79" s="1"/>
      <c r="AD79" s="1"/>
      <c r="AE79" s="1"/>
      <c r="AF79" s="1"/>
      <c r="AG79" s="1"/>
      <c r="AH79" s="1"/>
      <c r="AI79" s="1"/>
      <c r="AJ79" s="1"/>
      <c r="AK79" s="1"/>
      <c r="AL79" s="1"/>
      <c r="AM79" s="1"/>
      <c r="AN79" s="1"/>
      <c r="AO79" s="1"/>
      <c r="AP79" s="1"/>
      <c r="AQ79" s="1"/>
    </row>
    <row r="80" spans="1:43" ht="14.4" x14ac:dyDescent="0.3">
      <c r="A80" s="1"/>
      <c r="B80" s="1"/>
      <c r="C80" s="1"/>
      <c r="D80" s="1"/>
      <c r="E80" s="1"/>
      <c r="F80" s="1"/>
      <c r="G80" s="1"/>
      <c r="H80" s="1"/>
      <c r="I80" s="1"/>
      <c r="J80" s="1"/>
      <c r="K80" s="1"/>
      <c r="L80" s="1"/>
      <c r="M80" s="1"/>
      <c r="N80" s="1"/>
      <c r="O80" s="1"/>
      <c r="P80" s="40"/>
      <c r="Q80" s="41"/>
      <c r="R80" s="336" t="s">
        <v>90</v>
      </c>
      <c r="S80" s="336"/>
      <c r="T80" s="336"/>
      <c r="U80" s="152" t="s">
        <v>91</v>
      </c>
      <c r="V80" s="345">
        <f>10^-(V77/10)</f>
        <v>0.62424489581982234</v>
      </c>
      <c r="W80" s="358"/>
      <c r="X80" s="346"/>
      <c r="Y80" s="41"/>
      <c r="Z80" s="41"/>
      <c r="AA80" s="41"/>
      <c r="AB80" s="42"/>
      <c r="AC80" s="1"/>
      <c r="AD80" s="1"/>
      <c r="AE80" s="1"/>
      <c r="AF80" s="1"/>
      <c r="AG80" s="1"/>
      <c r="AH80" s="1"/>
      <c r="AI80" s="1"/>
      <c r="AJ80" s="1"/>
      <c r="AK80" s="1"/>
      <c r="AL80" s="1"/>
      <c r="AM80" s="1"/>
      <c r="AN80" s="1"/>
      <c r="AO80" s="1"/>
      <c r="AP80" s="1"/>
      <c r="AQ80" s="1"/>
    </row>
    <row r="81" spans="1:43" ht="15.6" x14ac:dyDescent="0.35">
      <c r="A81" s="1"/>
      <c r="B81" s="1"/>
      <c r="C81" s="1"/>
      <c r="D81" s="1"/>
      <c r="E81" s="1"/>
      <c r="F81" s="1"/>
      <c r="G81" s="1"/>
      <c r="H81" s="1"/>
      <c r="I81" s="1"/>
      <c r="J81" s="1"/>
      <c r="K81" s="1"/>
      <c r="L81" s="1"/>
      <c r="M81" s="1"/>
      <c r="N81" s="1"/>
      <c r="O81" s="1"/>
      <c r="P81" s="40"/>
      <c r="Q81" s="41"/>
      <c r="R81" s="336" t="s">
        <v>109</v>
      </c>
      <c r="S81" s="336"/>
      <c r="T81" s="336"/>
      <c r="U81" s="205" t="s">
        <v>93</v>
      </c>
      <c r="V81" s="339">
        <f>500</f>
        <v>500</v>
      </c>
      <c r="W81" s="340"/>
      <c r="X81" s="341"/>
      <c r="Y81" s="41" t="s">
        <v>94</v>
      </c>
      <c r="Z81" s="41"/>
      <c r="AA81" s="41"/>
      <c r="AB81" s="42"/>
      <c r="AC81" s="1"/>
      <c r="AD81" s="1"/>
      <c r="AE81" s="1"/>
      <c r="AF81" s="1"/>
      <c r="AG81" s="1"/>
      <c r="AH81" s="1"/>
      <c r="AI81" s="1"/>
      <c r="AJ81" s="1"/>
      <c r="AK81" s="1"/>
      <c r="AL81" s="1"/>
      <c r="AM81" s="1"/>
      <c r="AN81" s="1"/>
      <c r="AO81" s="1"/>
      <c r="AP81" s="1"/>
      <c r="AQ81" s="1"/>
    </row>
    <row r="82" spans="1:43" ht="15.6" x14ac:dyDescent="0.35">
      <c r="A82" s="1"/>
      <c r="B82" s="1"/>
      <c r="C82" s="1"/>
      <c r="D82" s="1"/>
      <c r="E82" s="1"/>
      <c r="F82" s="1"/>
      <c r="G82" s="1"/>
      <c r="H82" s="1"/>
      <c r="I82" s="1"/>
      <c r="J82" s="1"/>
      <c r="K82" s="1"/>
      <c r="L82" s="1"/>
      <c r="M82" s="1"/>
      <c r="N82" s="1"/>
      <c r="O82" s="1"/>
      <c r="P82" s="40"/>
      <c r="Q82" s="41"/>
      <c r="R82" s="336" t="s">
        <v>110</v>
      </c>
      <c r="S82" s="336"/>
      <c r="T82" s="336"/>
      <c r="U82" s="205" t="s">
        <v>96</v>
      </c>
      <c r="V82" s="339">
        <v>290</v>
      </c>
      <c r="W82" s="340"/>
      <c r="X82" s="341"/>
      <c r="Y82" s="41" t="s">
        <v>94</v>
      </c>
      <c r="Z82" s="41"/>
      <c r="AA82" s="41"/>
      <c r="AB82" s="42"/>
      <c r="AC82" s="1"/>
      <c r="AD82" s="1"/>
      <c r="AE82" s="1"/>
      <c r="AF82" s="1"/>
      <c r="AG82" s="1"/>
      <c r="AH82" s="1"/>
      <c r="AI82" s="1"/>
      <c r="AJ82" s="1"/>
      <c r="AK82" s="1"/>
      <c r="AL82" s="1"/>
      <c r="AM82" s="1"/>
      <c r="AN82" s="1"/>
      <c r="AO82" s="1"/>
      <c r="AP82" s="1"/>
      <c r="AQ82" s="1"/>
    </row>
    <row r="83" spans="1:43" ht="15.6" x14ac:dyDescent="0.35">
      <c r="A83" s="1"/>
      <c r="B83" s="1"/>
      <c r="C83" s="1"/>
      <c r="D83" s="1"/>
      <c r="E83" s="1"/>
      <c r="F83" s="1"/>
      <c r="G83" s="1"/>
      <c r="H83" s="1"/>
      <c r="I83" s="1"/>
      <c r="J83" s="1"/>
      <c r="K83" s="1"/>
      <c r="L83" s="1"/>
      <c r="M83" s="1"/>
      <c r="N83" s="1"/>
      <c r="O83" s="1"/>
      <c r="P83" s="40"/>
      <c r="Q83" s="41"/>
      <c r="R83" s="336" t="s">
        <v>111</v>
      </c>
      <c r="S83" s="336"/>
      <c r="T83" s="336"/>
      <c r="U83" s="205" t="s">
        <v>98</v>
      </c>
      <c r="V83" s="339">
        <v>60</v>
      </c>
      <c r="W83" s="340"/>
      <c r="X83" s="341"/>
      <c r="Y83" s="41" t="s">
        <v>94</v>
      </c>
      <c r="Z83" s="41"/>
      <c r="AA83" s="41"/>
      <c r="AB83" s="42"/>
      <c r="AC83" s="1"/>
      <c r="AD83" s="1"/>
      <c r="AE83" s="1"/>
      <c r="AF83" s="1"/>
      <c r="AG83" s="1"/>
      <c r="AH83" s="1"/>
      <c r="AI83" s="1"/>
      <c r="AJ83" s="1"/>
      <c r="AK83" s="1"/>
      <c r="AL83" s="1"/>
      <c r="AM83" s="1"/>
      <c r="AN83" s="1"/>
      <c r="AO83" s="1"/>
      <c r="AP83" s="1"/>
      <c r="AQ83" s="1"/>
    </row>
    <row r="84" spans="1:43" ht="14.7" customHeight="1" x14ac:dyDescent="0.3">
      <c r="A84" s="1"/>
      <c r="B84" s="1"/>
      <c r="C84" s="1"/>
      <c r="D84" s="1"/>
      <c r="E84" s="1"/>
      <c r="F84" s="1"/>
      <c r="G84" s="1"/>
      <c r="H84" s="1"/>
      <c r="I84" s="1"/>
      <c r="J84" s="1"/>
      <c r="K84" s="1"/>
      <c r="L84" s="1"/>
      <c r="M84" s="1"/>
      <c r="N84" s="1"/>
      <c r="O84" s="1"/>
      <c r="P84" s="40"/>
      <c r="Q84" s="41"/>
      <c r="R84" s="338" t="s">
        <v>112</v>
      </c>
      <c r="S84" s="338"/>
      <c r="T84" s="338"/>
      <c r="U84" s="338" t="s">
        <v>100</v>
      </c>
      <c r="V84" s="339">
        <v>26</v>
      </c>
      <c r="W84" s="340"/>
      <c r="X84" s="341"/>
      <c r="Y84" s="41" t="s">
        <v>38</v>
      </c>
      <c r="Z84" s="41"/>
      <c r="AA84" s="41"/>
      <c r="AB84" s="42"/>
      <c r="AC84" s="1"/>
      <c r="AD84" s="1"/>
      <c r="AE84" s="1"/>
      <c r="AF84" s="1"/>
      <c r="AG84" s="1"/>
      <c r="AH84" s="1"/>
      <c r="AI84" s="1"/>
      <c r="AJ84" s="1"/>
      <c r="AK84" s="1"/>
      <c r="AL84" s="1"/>
      <c r="AM84" s="1"/>
      <c r="AN84" s="1"/>
      <c r="AO84" s="1"/>
      <c r="AP84" s="1"/>
      <c r="AQ84" s="1"/>
    </row>
    <row r="85" spans="1:43" ht="14.4" x14ac:dyDescent="0.3">
      <c r="A85" s="1"/>
      <c r="B85" s="1"/>
      <c r="C85" s="1"/>
      <c r="D85" s="1"/>
      <c r="E85" s="1"/>
      <c r="F85" s="1"/>
      <c r="G85" s="1"/>
      <c r="H85" s="1"/>
      <c r="I85" s="1"/>
      <c r="J85" s="1"/>
      <c r="K85" s="1"/>
      <c r="L85" s="1"/>
      <c r="M85" s="1"/>
      <c r="N85" s="1"/>
      <c r="O85" s="1"/>
      <c r="P85" s="40"/>
      <c r="Q85" s="41"/>
      <c r="R85" s="338"/>
      <c r="S85" s="338"/>
      <c r="T85" s="338"/>
      <c r="U85" s="338"/>
      <c r="V85" s="345">
        <f>10^(V84/10)</f>
        <v>398.10717055349761</v>
      </c>
      <c r="W85" s="358"/>
      <c r="X85" s="346"/>
      <c r="Y85" s="41" t="s">
        <v>101</v>
      </c>
      <c r="Z85" s="41"/>
      <c r="AA85" s="41"/>
      <c r="AB85" s="42"/>
      <c r="AC85" s="1"/>
      <c r="AD85" s="1"/>
      <c r="AE85" s="1"/>
      <c r="AF85" s="1"/>
      <c r="AG85" s="1"/>
      <c r="AH85" s="1"/>
      <c r="AI85" s="1"/>
      <c r="AJ85" s="1"/>
      <c r="AK85" s="1"/>
      <c r="AL85" s="1"/>
      <c r="AM85" s="1"/>
      <c r="AN85" s="1"/>
      <c r="AO85" s="1"/>
      <c r="AP85" s="1"/>
      <c r="AQ85" s="1"/>
    </row>
    <row r="86" spans="1:43" ht="15.6" x14ac:dyDescent="0.35">
      <c r="A86" s="1"/>
      <c r="B86" s="1"/>
      <c r="C86" s="1"/>
      <c r="D86" s="1"/>
      <c r="E86" s="1"/>
      <c r="F86" s="1"/>
      <c r="G86" s="1"/>
      <c r="H86" s="1"/>
      <c r="I86" s="1"/>
      <c r="J86" s="1"/>
      <c r="K86" s="1"/>
      <c r="L86" s="1"/>
      <c r="M86" s="1"/>
      <c r="N86" s="1"/>
      <c r="O86" s="1"/>
      <c r="P86" s="40"/>
      <c r="Q86" s="41"/>
      <c r="R86" s="336" t="s">
        <v>113</v>
      </c>
      <c r="S86" s="336"/>
      <c r="T86" s="336"/>
      <c r="U86" s="205" t="s">
        <v>114</v>
      </c>
      <c r="V86" s="339">
        <v>3000</v>
      </c>
      <c r="W86" s="340"/>
      <c r="X86" s="341"/>
      <c r="Y86" s="41" t="s">
        <v>94</v>
      </c>
      <c r="Z86" s="41"/>
      <c r="AA86" s="41"/>
      <c r="AB86" s="42"/>
      <c r="AC86" s="1"/>
      <c r="AD86" s="1"/>
      <c r="AE86" s="1"/>
      <c r="AF86" s="1"/>
      <c r="AG86" s="1"/>
      <c r="AH86" s="1"/>
      <c r="AI86" s="1"/>
      <c r="AJ86" s="1"/>
      <c r="AK86" s="1"/>
      <c r="AL86" s="1"/>
      <c r="AM86" s="1"/>
      <c r="AN86" s="1"/>
      <c r="AO86" s="1"/>
      <c r="AP86" s="1"/>
      <c r="AQ86" s="1"/>
    </row>
    <row r="87" spans="1:43" ht="15.6" x14ac:dyDescent="0.35">
      <c r="A87" s="1"/>
      <c r="B87" s="1"/>
      <c r="C87" s="1"/>
      <c r="D87" s="1"/>
      <c r="E87" s="1"/>
      <c r="F87" s="1"/>
      <c r="G87" s="1"/>
      <c r="H87" s="1"/>
      <c r="I87" s="1"/>
      <c r="J87" s="1"/>
      <c r="K87" s="1"/>
      <c r="L87" s="1"/>
      <c r="M87" s="1"/>
      <c r="N87" s="1"/>
      <c r="O87" s="1"/>
      <c r="P87" s="40"/>
      <c r="Q87" s="41"/>
      <c r="R87" s="336" t="s">
        <v>104</v>
      </c>
      <c r="S87" s="336"/>
      <c r="T87" s="336"/>
      <c r="U87" s="205" t="s">
        <v>105</v>
      </c>
      <c r="V87" s="355">
        <f>V81*V80+V82*(1-V80)+V83+(V86/(V85/(10^(T68/10))))</f>
        <v>490.24870308294936</v>
      </c>
      <c r="W87" s="356"/>
      <c r="X87" s="357"/>
      <c r="Y87" s="41" t="s">
        <v>94</v>
      </c>
      <c r="Z87" s="41"/>
      <c r="AA87" s="41"/>
      <c r="AB87" s="42"/>
      <c r="AC87" s="1"/>
      <c r="AD87" s="1"/>
      <c r="AE87" s="1"/>
      <c r="AF87" s="1"/>
      <c r="AG87" s="1"/>
      <c r="AH87" s="1"/>
      <c r="AI87" s="1"/>
      <c r="AJ87" s="1"/>
      <c r="AK87" s="1"/>
      <c r="AL87" s="1"/>
      <c r="AM87" s="1"/>
      <c r="AN87" s="1"/>
      <c r="AO87" s="1"/>
      <c r="AP87" s="1"/>
      <c r="AQ87" s="1"/>
    </row>
    <row r="88" spans="1:43" ht="14.4" x14ac:dyDescent="0.3">
      <c r="A88" s="1"/>
      <c r="B88" s="1"/>
      <c r="C88" s="1"/>
      <c r="D88" s="1"/>
      <c r="E88" s="1"/>
      <c r="F88" s="1"/>
      <c r="G88" s="1"/>
      <c r="H88" s="1"/>
      <c r="I88" s="1"/>
      <c r="J88" s="1"/>
      <c r="K88" s="1"/>
      <c r="L88" s="1"/>
      <c r="M88" s="1"/>
      <c r="N88" s="1"/>
      <c r="O88" s="1"/>
      <c r="P88" s="40"/>
      <c r="Q88" s="41"/>
      <c r="R88" s="336" t="s">
        <v>454</v>
      </c>
      <c r="S88" s="336"/>
      <c r="T88" s="336"/>
      <c r="U88" s="228" t="s">
        <v>453</v>
      </c>
      <c r="V88" s="359">
        <v>650</v>
      </c>
      <c r="W88" s="359"/>
      <c r="X88" s="359"/>
      <c r="Y88" s="41" t="s">
        <v>94</v>
      </c>
      <c r="Z88" s="41"/>
      <c r="AA88" s="41"/>
      <c r="AB88" s="42"/>
      <c r="AC88" s="1"/>
      <c r="AD88" s="1"/>
      <c r="AE88" s="1"/>
      <c r="AF88" s="1"/>
      <c r="AG88" s="1"/>
      <c r="AH88" s="1"/>
      <c r="AI88" s="1"/>
      <c r="AJ88" s="1"/>
      <c r="AK88" s="1"/>
      <c r="AL88" s="1"/>
      <c r="AM88" s="1"/>
      <c r="AN88" s="1"/>
      <c r="AO88" s="1"/>
      <c r="AP88" s="1"/>
      <c r="AQ88" s="1"/>
    </row>
    <row r="89" spans="1:43" ht="15" thickBot="1" x14ac:dyDescent="0.35">
      <c r="A89" s="1"/>
      <c r="B89" s="1"/>
      <c r="C89" s="1"/>
      <c r="D89" s="1"/>
      <c r="E89" s="1"/>
      <c r="F89" s="1"/>
      <c r="G89" s="1"/>
      <c r="H89" s="1"/>
      <c r="I89" s="1"/>
      <c r="J89" s="1"/>
      <c r="K89" s="1"/>
      <c r="L89" s="1"/>
      <c r="M89" s="1"/>
      <c r="N89" s="1"/>
      <c r="O89" s="1"/>
      <c r="P89" s="43"/>
      <c r="Q89" s="44"/>
      <c r="R89" s="44"/>
      <c r="S89" s="44"/>
      <c r="T89" s="44"/>
      <c r="U89" s="44"/>
      <c r="V89" s="44"/>
      <c r="W89" s="44"/>
      <c r="X89" s="44"/>
      <c r="Y89" s="44"/>
      <c r="Z89" s="44"/>
      <c r="AA89" s="44"/>
      <c r="AB89" s="45"/>
      <c r="AC89" s="1"/>
      <c r="AD89" s="1"/>
      <c r="AE89" s="1"/>
      <c r="AF89" s="1"/>
      <c r="AG89" s="1"/>
      <c r="AH89" s="1"/>
      <c r="AI89" s="1"/>
      <c r="AJ89" s="1"/>
      <c r="AK89" s="1"/>
      <c r="AL89" s="1"/>
      <c r="AM89" s="1"/>
      <c r="AN89" s="1"/>
      <c r="AO89" s="1"/>
      <c r="AP89" s="1"/>
      <c r="AQ89" s="1"/>
    </row>
    <row r="90" spans="1:43"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sheetData>
  <mergeCells count="70">
    <mergeCell ref="V88:X88"/>
    <mergeCell ref="R88:T88"/>
    <mergeCell ref="V43:X43"/>
    <mergeCell ref="R81:T81"/>
    <mergeCell ref="V81:X81"/>
    <mergeCell ref="R82:T82"/>
    <mergeCell ref="V82:X82"/>
    <mergeCell ref="V71:X71"/>
    <mergeCell ref="V72:X72"/>
    <mergeCell ref="V77:W77"/>
    <mergeCell ref="R80:T80"/>
    <mergeCell ref="V80:X80"/>
    <mergeCell ref="V73:X73"/>
    <mergeCell ref="V74:X74"/>
    <mergeCell ref="T76:W76"/>
    <mergeCell ref="R79:X79"/>
    <mergeCell ref="R70:X70"/>
    <mergeCell ref="R65:T65"/>
    <mergeCell ref="R86:T86"/>
    <mergeCell ref="V86:X86"/>
    <mergeCell ref="R87:T87"/>
    <mergeCell ref="V87:X87"/>
    <mergeCell ref="R83:T83"/>
    <mergeCell ref="V83:X83"/>
    <mergeCell ref="R84:T85"/>
    <mergeCell ref="U84:U85"/>
    <mergeCell ref="V84:X84"/>
    <mergeCell ref="V85:X85"/>
    <mergeCell ref="R2:Z2"/>
    <mergeCell ref="W22:X22"/>
    <mergeCell ref="W23:X23"/>
    <mergeCell ref="R26:U26"/>
    <mergeCell ref="V26:X26"/>
    <mergeCell ref="R6:Z6"/>
    <mergeCell ref="R20:S20"/>
    <mergeCell ref="W20:X20"/>
    <mergeCell ref="R21:S21"/>
    <mergeCell ref="W21:X21"/>
    <mergeCell ref="R25:X25"/>
    <mergeCell ref="R19:T19"/>
    <mergeCell ref="R27:U27"/>
    <mergeCell ref="V27:X27"/>
    <mergeCell ref="R28:U28"/>
    <mergeCell ref="V28:X28"/>
    <mergeCell ref="R34:X34"/>
    <mergeCell ref="R29:U29"/>
    <mergeCell ref="V29:X29"/>
    <mergeCell ref="T32:U32"/>
    <mergeCell ref="V32:W32"/>
    <mergeCell ref="R37:T37"/>
    <mergeCell ref="R35:T35"/>
    <mergeCell ref="R36:T36"/>
    <mergeCell ref="V36:X36"/>
    <mergeCell ref="V35:X35"/>
    <mergeCell ref="R39:T40"/>
    <mergeCell ref="T31:W31"/>
    <mergeCell ref="U39:U40"/>
    <mergeCell ref="W19:Y19"/>
    <mergeCell ref="R61:T61"/>
    <mergeCell ref="W61:Y61"/>
    <mergeCell ref="V39:X39"/>
    <mergeCell ref="V40:X40"/>
    <mergeCell ref="V37:X37"/>
    <mergeCell ref="R38:T38"/>
    <mergeCell ref="V38:X38"/>
    <mergeCell ref="R41:T41"/>
    <mergeCell ref="V41:X41"/>
    <mergeCell ref="R42:T42"/>
    <mergeCell ref="V42:X42"/>
    <mergeCell ref="R49:Z49"/>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27"/>
  <sheetViews>
    <sheetView zoomScale="82" zoomScaleNormal="60" workbookViewId="0">
      <selection activeCell="X11" sqref="X11"/>
    </sheetView>
  </sheetViews>
  <sheetFormatPr defaultColWidth="0" defaultRowHeight="14.4" zeroHeight="1" x14ac:dyDescent="0.3"/>
  <cols>
    <col min="1" max="17" width="3.33203125" customWidth="1"/>
    <col min="18" max="19" width="8.6640625" customWidth="1"/>
    <col min="20" max="20" width="6.109375" customWidth="1"/>
    <col min="21" max="22" width="8.6640625" customWidth="1"/>
    <col min="23" max="23" width="16" customWidth="1"/>
    <col min="24"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90" t="s">
        <v>0</v>
      </c>
      <c r="S2" s="291"/>
      <c r="T2" s="291"/>
      <c r="U2" s="291"/>
      <c r="V2" s="291"/>
      <c r="W2" s="291"/>
      <c r="X2" s="291"/>
      <c r="Y2" s="291"/>
      <c r="Z2" s="292"/>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33"/>
      <c r="Q4" s="134"/>
      <c r="R4" s="134"/>
      <c r="S4" s="134"/>
      <c r="T4" s="134"/>
      <c r="U4" s="134"/>
      <c r="V4" s="134"/>
      <c r="W4" s="134"/>
      <c r="X4" s="134"/>
      <c r="Y4" s="134"/>
      <c r="Z4" s="134"/>
      <c r="AA4" s="134"/>
      <c r="AB4" s="135"/>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132"/>
      <c r="Q5" s="136"/>
      <c r="R5" s="136"/>
      <c r="S5" s="136"/>
      <c r="T5" s="136"/>
      <c r="U5" s="136"/>
      <c r="V5" s="136"/>
      <c r="W5" s="136"/>
      <c r="X5" s="136"/>
      <c r="Y5" s="136"/>
      <c r="Z5" s="136"/>
      <c r="AA5" s="136"/>
      <c r="AB5" s="137"/>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132"/>
      <c r="Q6" s="136"/>
      <c r="R6" s="293" t="s">
        <v>115</v>
      </c>
      <c r="S6" s="294"/>
      <c r="T6" s="294"/>
      <c r="U6" s="294"/>
      <c r="V6" s="294"/>
      <c r="W6" s="294"/>
      <c r="X6" s="294"/>
      <c r="Y6" s="294"/>
      <c r="Z6" s="295"/>
      <c r="AA6" s="136"/>
      <c r="AB6" s="137"/>
      <c r="AC6" s="1"/>
      <c r="AD6" s="1"/>
      <c r="AE6" s="1"/>
      <c r="AF6" s="1"/>
      <c r="AG6" s="1"/>
      <c r="AH6" s="1"/>
      <c r="AI6" s="1"/>
      <c r="AJ6" s="1"/>
      <c r="AK6" s="1"/>
      <c r="AL6" s="1"/>
      <c r="AM6" s="1"/>
      <c r="AN6" s="1"/>
      <c r="AO6" s="1"/>
      <c r="AP6" s="1"/>
      <c r="AQ6" s="1"/>
    </row>
    <row r="7" spans="1:43" x14ac:dyDescent="0.3">
      <c r="A7" s="168"/>
      <c r="B7" s="168"/>
      <c r="C7" s="168"/>
      <c r="D7" s="168"/>
      <c r="E7" s="168"/>
      <c r="F7" s="168"/>
      <c r="G7" s="168"/>
      <c r="H7" s="168"/>
      <c r="I7" s="168"/>
      <c r="J7" s="168"/>
      <c r="K7" s="168"/>
      <c r="L7" s="168"/>
      <c r="M7" s="168"/>
      <c r="N7" s="168"/>
      <c r="O7" s="168"/>
      <c r="P7" s="132"/>
      <c r="Q7" s="136"/>
      <c r="R7" s="136"/>
      <c r="S7" s="136"/>
      <c r="T7" s="136"/>
      <c r="U7" s="136"/>
      <c r="V7" s="136"/>
      <c r="W7" s="136"/>
      <c r="X7" s="136"/>
      <c r="Y7" s="136"/>
      <c r="Z7" s="136"/>
      <c r="AA7" s="136"/>
      <c r="AB7" s="137"/>
      <c r="AC7" s="168"/>
      <c r="AD7" s="168"/>
      <c r="AE7" s="168"/>
      <c r="AF7" s="168"/>
      <c r="AG7" s="168"/>
      <c r="AH7" s="168"/>
      <c r="AI7" s="168"/>
      <c r="AJ7" s="168"/>
      <c r="AK7" s="168"/>
      <c r="AL7" s="168"/>
      <c r="AM7" s="168"/>
      <c r="AN7" s="168"/>
      <c r="AO7" s="168"/>
      <c r="AP7" s="168"/>
      <c r="AQ7" s="168"/>
    </row>
    <row r="8" spans="1:43" x14ac:dyDescent="0.3">
      <c r="A8" s="168"/>
      <c r="B8" s="168"/>
      <c r="C8" s="168"/>
      <c r="D8" s="168"/>
      <c r="E8" s="168"/>
      <c r="F8" s="168"/>
      <c r="G8" s="168"/>
      <c r="H8" s="168"/>
      <c r="I8" s="168"/>
      <c r="J8" s="168"/>
      <c r="K8" s="168"/>
      <c r="L8" s="168"/>
      <c r="M8" s="168"/>
      <c r="N8" s="168"/>
      <c r="O8" s="168"/>
      <c r="P8" s="132"/>
      <c r="Q8" s="136"/>
      <c r="R8" s="136"/>
      <c r="S8" s="136"/>
      <c r="T8" s="136"/>
      <c r="U8" s="301" t="s">
        <v>451</v>
      </c>
      <c r="V8" s="301"/>
      <c r="W8" s="301"/>
      <c r="X8" s="169">
        <v>1.0000000000000001E-5</v>
      </c>
      <c r="Y8" s="136"/>
      <c r="Z8" s="136"/>
      <c r="AA8" s="136"/>
      <c r="AB8" s="137"/>
      <c r="AC8" s="168"/>
      <c r="AD8" s="168"/>
      <c r="AE8" s="168"/>
      <c r="AF8" s="168"/>
      <c r="AG8" s="168"/>
      <c r="AH8" s="168"/>
      <c r="AI8" s="168"/>
      <c r="AJ8" s="168"/>
      <c r="AK8" s="168"/>
      <c r="AL8" s="168"/>
      <c r="AM8" s="168"/>
      <c r="AN8" s="168"/>
      <c r="AO8" s="168"/>
      <c r="AP8" s="168"/>
      <c r="AQ8" s="168"/>
    </row>
    <row r="9" spans="1:43" s="231" customFormat="1" x14ac:dyDescent="0.3">
      <c r="A9" s="168"/>
      <c r="B9" s="168"/>
      <c r="C9" s="168"/>
      <c r="D9" s="168"/>
      <c r="E9" s="168"/>
      <c r="F9" s="168"/>
      <c r="G9" s="168"/>
      <c r="H9" s="168"/>
      <c r="I9" s="168"/>
      <c r="J9" s="168"/>
      <c r="K9" s="168"/>
      <c r="L9" s="168"/>
      <c r="M9" s="168"/>
      <c r="N9" s="168"/>
      <c r="O9" s="168"/>
      <c r="P9" s="132"/>
      <c r="Q9" s="136"/>
      <c r="R9" s="136"/>
      <c r="S9" s="136"/>
      <c r="T9" s="136"/>
      <c r="U9" s="301" t="s">
        <v>452</v>
      </c>
      <c r="V9" s="301"/>
      <c r="W9" s="362"/>
      <c r="X9" s="169">
        <v>9.9999999999999995E-7</v>
      </c>
      <c r="Y9" s="136"/>
      <c r="Z9" s="136"/>
      <c r="AA9" s="136"/>
      <c r="AB9" s="137"/>
      <c r="AC9" s="168"/>
      <c r="AD9" s="168"/>
      <c r="AE9" s="168"/>
      <c r="AF9" s="168"/>
      <c r="AG9" s="168"/>
      <c r="AH9" s="168"/>
      <c r="AI9" s="168"/>
      <c r="AJ9" s="168"/>
      <c r="AK9" s="168"/>
      <c r="AL9" s="168"/>
      <c r="AM9" s="168"/>
      <c r="AN9" s="168"/>
      <c r="AO9" s="168"/>
      <c r="AP9" s="168"/>
      <c r="AQ9" s="168"/>
    </row>
    <row r="10" spans="1:43" x14ac:dyDescent="0.3">
      <c r="A10" s="168"/>
      <c r="B10" s="168"/>
      <c r="C10" s="168"/>
      <c r="D10" s="168"/>
      <c r="E10" s="168"/>
      <c r="F10" s="168"/>
      <c r="G10" s="168"/>
      <c r="H10" s="168"/>
      <c r="I10" s="168"/>
      <c r="J10" s="168"/>
      <c r="K10" s="168"/>
      <c r="L10" s="168"/>
      <c r="M10" s="168"/>
      <c r="N10" s="168"/>
      <c r="O10" s="168"/>
      <c r="P10" s="132"/>
      <c r="Q10" s="136"/>
      <c r="R10" s="136"/>
      <c r="S10" s="136"/>
      <c r="T10" s="136"/>
      <c r="U10" s="301" t="s">
        <v>116</v>
      </c>
      <c r="V10" s="301"/>
      <c r="W10" s="301"/>
      <c r="X10" s="148">
        <v>9.6</v>
      </c>
      <c r="Y10" s="136" t="s">
        <v>448</v>
      </c>
      <c r="Z10" s="136"/>
      <c r="AA10" s="136"/>
      <c r="AB10" s="137"/>
      <c r="AC10" s="168"/>
      <c r="AD10" s="168"/>
      <c r="AE10" s="168"/>
      <c r="AF10" s="168"/>
      <c r="AG10" s="168"/>
      <c r="AH10" s="168"/>
      <c r="AI10" s="168"/>
      <c r="AJ10" s="168"/>
      <c r="AK10" s="168"/>
      <c r="AL10" s="168"/>
      <c r="AM10" s="168"/>
      <c r="AN10" s="168"/>
      <c r="AO10" s="168"/>
      <c r="AP10" s="168"/>
      <c r="AQ10" s="168"/>
    </row>
    <row r="11" spans="1:43" x14ac:dyDescent="0.3">
      <c r="A11" s="1"/>
      <c r="B11" s="1"/>
      <c r="C11" s="1"/>
      <c r="D11" s="1"/>
      <c r="E11" s="1"/>
      <c r="F11" s="1"/>
      <c r="G11" s="1"/>
      <c r="H11" s="1"/>
      <c r="I11" s="1"/>
      <c r="J11" s="1"/>
      <c r="K11" s="1"/>
      <c r="L11" s="1"/>
      <c r="M11" s="1"/>
      <c r="N11" s="1"/>
      <c r="O11" s="1"/>
      <c r="P11" s="132"/>
      <c r="Q11" s="198"/>
      <c r="R11" s="198"/>
      <c r="S11" s="198"/>
      <c r="T11" s="198"/>
      <c r="U11" s="363" t="s">
        <v>118</v>
      </c>
      <c r="V11" s="363"/>
      <c r="W11" s="363"/>
      <c r="X11" s="203">
        <v>9.6</v>
      </c>
      <c r="Y11" s="198" t="s">
        <v>448</v>
      </c>
      <c r="Z11" s="198"/>
      <c r="AA11" s="198"/>
      <c r="AB11" s="137"/>
      <c r="AC11" s="1"/>
      <c r="AD11" s="1"/>
      <c r="AE11" s="1"/>
      <c r="AF11" s="1"/>
      <c r="AG11" s="1"/>
      <c r="AH11" s="1"/>
      <c r="AI11" s="1"/>
      <c r="AJ11" s="1"/>
      <c r="AK11" s="1"/>
      <c r="AL11" s="1"/>
      <c r="AM11" s="1"/>
      <c r="AN11" s="1"/>
      <c r="AO11" s="1"/>
      <c r="AP11" s="1"/>
      <c r="AQ11" s="1"/>
    </row>
    <row r="12" spans="1:43" x14ac:dyDescent="0.3">
      <c r="A12" s="168"/>
      <c r="B12" s="168"/>
      <c r="C12" s="168"/>
      <c r="D12" s="168"/>
      <c r="E12" s="168"/>
      <c r="F12" s="168"/>
      <c r="G12" s="168"/>
      <c r="H12" s="168"/>
      <c r="I12" s="168"/>
      <c r="J12" s="168"/>
      <c r="K12" s="168"/>
      <c r="L12" s="168"/>
      <c r="M12" s="168"/>
      <c r="N12" s="168"/>
      <c r="O12" s="168"/>
      <c r="P12" s="132"/>
      <c r="Q12" s="136"/>
      <c r="R12" s="136"/>
      <c r="S12" s="136"/>
      <c r="T12" s="136"/>
      <c r="U12" s="301" t="s">
        <v>119</v>
      </c>
      <c r="V12" s="301"/>
      <c r="W12" s="301"/>
      <c r="X12" s="148">
        <v>2</v>
      </c>
      <c r="Y12" s="136"/>
      <c r="Z12" s="136"/>
      <c r="AA12" s="136"/>
      <c r="AB12" s="137"/>
      <c r="AC12" s="168"/>
      <c r="AD12" s="168"/>
      <c r="AE12" s="168"/>
      <c r="AF12" s="168"/>
      <c r="AG12" s="168"/>
      <c r="AH12" s="168"/>
      <c r="AI12" s="168"/>
      <c r="AJ12" s="168"/>
      <c r="AK12" s="168"/>
      <c r="AL12" s="168"/>
      <c r="AM12" s="168"/>
      <c r="AN12" s="168"/>
      <c r="AO12" s="168"/>
      <c r="AP12" s="168"/>
      <c r="AQ12" s="168"/>
    </row>
    <row r="13" spans="1:43" x14ac:dyDescent="0.3">
      <c r="A13" s="168"/>
      <c r="B13" s="168"/>
      <c r="C13" s="168"/>
      <c r="D13" s="168"/>
      <c r="E13" s="168"/>
      <c r="F13" s="168"/>
      <c r="G13" s="168"/>
      <c r="H13" s="168"/>
      <c r="I13" s="168"/>
      <c r="J13" s="168"/>
      <c r="K13" s="168"/>
      <c r="L13" s="168"/>
      <c r="M13" s="168"/>
      <c r="N13" s="168"/>
      <c r="O13" s="168"/>
      <c r="P13" s="132"/>
      <c r="Q13" s="136"/>
      <c r="R13" s="136"/>
      <c r="S13" s="136"/>
      <c r="T13" s="136"/>
      <c r="U13" s="301" t="s">
        <v>120</v>
      </c>
      <c r="V13" s="301"/>
      <c r="W13" s="301"/>
      <c r="X13" s="148" t="s">
        <v>261</v>
      </c>
      <c r="Y13" s="136"/>
      <c r="Z13" s="136"/>
      <c r="AA13" s="136"/>
      <c r="AB13" s="137"/>
      <c r="AC13" s="168"/>
      <c r="AD13" s="168"/>
      <c r="AE13" s="168"/>
      <c r="AF13" s="168"/>
      <c r="AG13" s="168"/>
      <c r="AH13" s="168"/>
      <c r="AI13" s="168"/>
      <c r="AJ13" s="168"/>
      <c r="AK13" s="168"/>
      <c r="AL13" s="168"/>
      <c r="AM13" s="168"/>
      <c r="AN13" s="168"/>
      <c r="AO13" s="168"/>
      <c r="AP13" s="168"/>
      <c r="AQ13" s="168"/>
    </row>
    <row r="14" spans="1:43" x14ac:dyDescent="0.3">
      <c r="A14" s="168"/>
      <c r="B14" s="168"/>
      <c r="C14" s="168"/>
      <c r="D14" s="168"/>
      <c r="E14" s="168"/>
      <c r="F14" s="168"/>
      <c r="G14" s="168"/>
      <c r="H14" s="168"/>
      <c r="I14" s="168"/>
      <c r="J14" s="168"/>
      <c r="K14" s="168"/>
      <c r="L14" s="168"/>
      <c r="M14" s="168"/>
      <c r="N14" s="168"/>
      <c r="O14" s="168"/>
      <c r="P14" s="132"/>
      <c r="Q14" s="136"/>
      <c r="R14" s="136"/>
      <c r="S14" s="136"/>
      <c r="T14" s="136"/>
      <c r="U14" s="136"/>
      <c r="V14" s="136"/>
      <c r="W14" s="136"/>
      <c r="X14" s="136"/>
      <c r="Y14" s="136"/>
      <c r="Z14" s="136"/>
      <c r="AA14" s="136"/>
      <c r="AB14" s="137"/>
      <c r="AC14" s="168"/>
      <c r="AD14" s="168"/>
      <c r="AE14" s="168"/>
      <c r="AF14" s="168"/>
      <c r="AG14" s="168"/>
      <c r="AH14" s="168"/>
      <c r="AI14" s="168"/>
      <c r="AJ14" s="168"/>
      <c r="AK14" s="168"/>
      <c r="AL14" s="168"/>
      <c r="AM14" s="168"/>
      <c r="AN14" s="168"/>
      <c r="AO14" s="168"/>
      <c r="AP14" s="168"/>
      <c r="AQ14" s="168"/>
    </row>
    <row r="15" spans="1:43" x14ac:dyDescent="0.3">
      <c r="A15" s="168"/>
      <c r="B15" s="168"/>
      <c r="C15" s="168"/>
      <c r="D15" s="168"/>
      <c r="E15" s="168"/>
      <c r="F15" s="168"/>
      <c r="G15" s="168"/>
      <c r="H15" s="168"/>
      <c r="I15" s="168"/>
      <c r="J15" s="168"/>
      <c r="K15" s="168"/>
      <c r="L15" s="168"/>
      <c r="M15" s="168"/>
      <c r="N15" s="168"/>
      <c r="O15" s="168"/>
      <c r="P15" s="132"/>
      <c r="Q15" s="136"/>
      <c r="R15" s="136"/>
      <c r="S15" s="136"/>
      <c r="T15" s="301" t="s">
        <v>441</v>
      </c>
      <c r="U15" s="301"/>
      <c r="V15" s="301"/>
      <c r="W15" s="301"/>
      <c r="X15" s="170">
        <f>VLOOKUP(X9+X11,Uplink,11,FALSE)</f>
        <v>13.9</v>
      </c>
      <c r="Y15" s="136" t="s">
        <v>38</v>
      </c>
      <c r="Z15" s="136"/>
      <c r="AA15" s="136"/>
      <c r="AB15" s="137"/>
      <c r="AC15" s="168"/>
      <c r="AD15" s="168"/>
      <c r="AE15" s="168"/>
      <c r="AF15" s="168"/>
      <c r="AG15" s="168"/>
      <c r="AH15" s="168"/>
      <c r="AI15" s="168"/>
      <c r="AJ15" s="168"/>
      <c r="AK15" s="168"/>
      <c r="AL15" s="168"/>
      <c r="AM15" s="168"/>
      <c r="AN15" s="168"/>
      <c r="AO15" s="168"/>
      <c r="AP15" s="168"/>
      <c r="AQ15" s="168"/>
    </row>
    <row r="16" spans="1:43" x14ac:dyDescent="0.3">
      <c r="A16" s="168"/>
      <c r="B16" s="168"/>
      <c r="C16" s="168"/>
      <c r="D16" s="168"/>
      <c r="E16" s="168"/>
      <c r="F16" s="168"/>
      <c r="G16" s="168"/>
      <c r="H16" s="168"/>
      <c r="I16" s="168"/>
      <c r="J16" s="168"/>
      <c r="K16" s="168"/>
      <c r="L16" s="168"/>
      <c r="M16" s="168"/>
      <c r="N16" s="168"/>
      <c r="O16" s="168"/>
      <c r="P16" s="132"/>
      <c r="Q16" s="136"/>
      <c r="R16" s="136"/>
      <c r="S16" s="136"/>
      <c r="T16" s="301" t="s">
        <v>442</v>
      </c>
      <c r="U16" s="301"/>
      <c r="V16" s="301"/>
      <c r="W16" s="301"/>
      <c r="X16" s="170">
        <f>VLOOKUP(X8+X10,Downlink,11,FALSE)</f>
        <v>13.15</v>
      </c>
      <c r="Y16" s="136" t="s">
        <v>38</v>
      </c>
      <c r="Z16" s="136"/>
      <c r="AA16" s="136"/>
      <c r="AB16" s="137"/>
      <c r="AC16" s="168"/>
      <c r="AD16" s="168"/>
      <c r="AE16" s="168"/>
      <c r="AF16" s="168"/>
      <c r="AG16" s="168"/>
      <c r="AH16" s="168"/>
      <c r="AI16" s="168"/>
      <c r="AJ16" s="168"/>
      <c r="AK16" s="168"/>
      <c r="AL16" s="168"/>
      <c r="AM16" s="168"/>
      <c r="AN16" s="168"/>
      <c r="AO16" s="168"/>
      <c r="AP16" s="168"/>
      <c r="AQ16" s="168"/>
    </row>
    <row r="17" spans="1:43" ht="15" thickBot="1" x14ac:dyDescent="0.35">
      <c r="A17" s="168"/>
      <c r="B17" s="168"/>
      <c r="C17" s="168"/>
      <c r="D17" s="168"/>
      <c r="E17" s="168"/>
      <c r="F17" s="168"/>
      <c r="G17" s="168"/>
      <c r="H17" s="168"/>
      <c r="I17" s="168"/>
      <c r="J17" s="168"/>
      <c r="K17" s="168"/>
      <c r="L17" s="168"/>
      <c r="M17" s="168"/>
      <c r="N17" s="168"/>
      <c r="O17" s="168"/>
      <c r="P17" s="138"/>
      <c r="Q17" s="139"/>
      <c r="R17" s="139"/>
      <c r="S17" s="139"/>
      <c r="T17" s="139"/>
      <c r="U17" s="139"/>
      <c r="V17" s="139"/>
      <c r="W17" s="139"/>
      <c r="X17" s="139"/>
      <c r="Y17" s="139"/>
      <c r="Z17" s="139"/>
      <c r="AA17" s="139"/>
      <c r="AB17" s="141"/>
      <c r="AC17" s="168"/>
      <c r="AD17" s="168"/>
      <c r="AE17" s="168"/>
      <c r="AF17" s="168"/>
      <c r="AG17" s="168"/>
      <c r="AH17" s="168"/>
      <c r="AI17" s="168"/>
      <c r="AJ17" s="168"/>
      <c r="AK17" s="168"/>
      <c r="AL17" s="168"/>
      <c r="AM17" s="168"/>
      <c r="AN17" s="168"/>
      <c r="AO17" s="168"/>
      <c r="AP17" s="168"/>
      <c r="AQ17" s="168"/>
    </row>
    <row r="18" spans="1:43" x14ac:dyDescent="0.3">
      <c r="A18" s="168"/>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row>
    <row r="19" spans="1:43" x14ac:dyDescent="0.3">
      <c r="A19" s="168"/>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row>
    <row r="20" spans="1:43" x14ac:dyDescent="0.3">
      <c r="A20" s="211"/>
      <c r="B20" s="211"/>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row>
    <row r="21" spans="1:43" x14ac:dyDescent="0.3">
      <c r="A21" s="211"/>
      <c r="B21" s="211"/>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row>
    <row r="22" spans="1:43" x14ac:dyDescent="0.3">
      <c r="A22" s="211"/>
      <c r="B22" s="211"/>
      <c r="C22" s="211"/>
      <c r="D22" s="211"/>
      <c r="E22" s="211"/>
      <c r="F22" s="211"/>
      <c r="G22" s="211"/>
      <c r="H22" s="211"/>
      <c r="I22" s="211"/>
      <c r="J22" s="211"/>
      <c r="K22" s="211"/>
      <c r="L22" s="211"/>
      <c r="M22" s="211"/>
      <c r="N22" s="211"/>
      <c r="O22" s="211"/>
      <c r="P22" s="211"/>
      <c r="Q22" s="211"/>
      <c r="R22" s="211"/>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row>
    <row r="23" spans="1:43" x14ac:dyDescent="0.3">
      <c r="A23" s="211"/>
      <c r="B23" s="211"/>
      <c r="C23" s="211"/>
      <c r="D23" s="211"/>
      <c r="E23" s="211"/>
      <c r="F23" s="211"/>
      <c r="G23" s="211"/>
      <c r="H23" s="211"/>
      <c r="I23" s="211"/>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row>
    <row r="24" spans="1:43" x14ac:dyDescent="0.3">
      <c r="A24" s="211"/>
      <c r="B24" s="211"/>
      <c r="C24" s="211"/>
      <c r="D24" s="211"/>
      <c r="E24" s="211"/>
      <c r="F24" s="211"/>
      <c r="G24" s="211"/>
      <c r="H24" s="211"/>
      <c r="I24" s="211"/>
      <c r="J24" s="211"/>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row>
    <row r="25" spans="1:43" x14ac:dyDescent="0.3">
      <c r="A25" s="211"/>
      <c r="B25" s="211"/>
      <c r="C25" s="211"/>
      <c r="D25" s="211"/>
      <c r="E25" s="211"/>
      <c r="F25" s="211"/>
      <c r="G25" s="211"/>
      <c r="H25" s="211"/>
      <c r="I25" s="211"/>
      <c r="J25" s="211"/>
      <c r="K25" s="211"/>
      <c r="L25" s="211"/>
      <c r="M25" s="211"/>
      <c r="N25" s="211"/>
      <c r="O25" s="211"/>
      <c r="P25" s="211"/>
      <c r="Q25" s="211"/>
      <c r="R25" s="211"/>
      <c r="S25" s="211"/>
      <c r="T25" s="211"/>
      <c r="U25" s="211"/>
      <c r="V25" s="211"/>
      <c r="W25" s="211"/>
      <c r="X25" s="211"/>
      <c r="Y25" s="211"/>
      <c r="Z25" s="211"/>
      <c r="AA25" s="211"/>
      <c r="AB25" s="211"/>
      <c r="AC25" s="211"/>
      <c r="AD25" s="211"/>
      <c r="AE25" s="211"/>
      <c r="AF25" s="211"/>
      <c r="AG25" s="211"/>
      <c r="AH25" s="211"/>
      <c r="AI25" s="211"/>
      <c r="AJ25" s="211"/>
      <c r="AK25" s="211"/>
      <c r="AL25" s="211"/>
      <c r="AM25" s="211"/>
      <c r="AN25" s="211"/>
      <c r="AO25" s="211"/>
      <c r="AP25" s="211"/>
      <c r="AQ25" s="211"/>
    </row>
    <row r="26" spans="1:43" x14ac:dyDescent="0.3">
      <c r="A26" s="211"/>
      <c r="B26" s="211"/>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row>
    <row r="27" spans="1:43" x14ac:dyDescent="0.3">
      <c r="A27" s="211"/>
      <c r="B27" s="211"/>
      <c r="C27" s="211"/>
      <c r="D27" s="211"/>
      <c r="E27" s="211"/>
      <c r="F27" s="211"/>
      <c r="G27" s="211"/>
      <c r="H27" s="211"/>
      <c r="I27" s="211"/>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row>
  </sheetData>
  <mergeCells count="10">
    <mergeCell ref="T16:W16"/>
    <mergeCell ref="U9:W9"/>
    <mergeCell ref="T15:W15"/>
    <mergeCell ref="R2:Z2"/>
    <mergeCell ref="R6:Z6"/>
    <mergeCell ref="U8:W8"/>
    <mergeCell ref="U10:W10"/>
    <mergeCell ref="U12:W12"/>
    <mergeCell ref="U13:W13"/>
    <mergeCell ref="U11:W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F42AC23-A282-4A5E-B1D3-ACC786D62696}">
          <x14:formula1>
            <xm:f>'Backend Data'!$J$20:$J$21</xm:f>
          </x14:formula1>
          <xm:sqref>X8:X9</xm:sqref>
        </x14:dataValidation>
        <x14:dataValidation type="list" allowBlank="1" showInputMessage="1" showErrorMessage="1" xr:uid="{FB6534B0-263F-497D-A10F-382F6E401C92}">
          <x14:formula1>
            <xm:f>'Backend Data'!$J$24:$J$25</xm:f>
          </x14:formula1>
          <xm:sqref>X10</xm:sqref>
        </x14:dataValidation>
        <x14:dataValidation type="list" allowBlank="1" showInputMessage="1" showErrorMessage="1" xr:uid="{EA981151-7FA7-4341-80DC-C16AB0D6A8C7}">
          <x14:formula1>
            <xm:f>'Backend Data'!$J$28:$J$29</xm:f>
          </x14:formula1>
          <xm:sqref>X11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topLeftCell="E85" zoomScale="115" zoomScaleNormal="115" workbookViewId="0">
      <selection activeCell="U100" sqref="U100"/>
    </sheetView>
  </sheetViews>
  <sheetFormatPr defaultColWidth="0" defaultRowHeight="14.4" zeroHeight="1" x14ac:dyDescent="0.3"/>
  <cols>
    <col min="1" max="17" width="3.33203125" customWidth="1"/>
    <col min="18" max="18" width="10.44140625" customWidth="1"/>
    <col min="19" max="19" width="8.88671875" customWidth="1"/>
    <col min="20" max="20" width="13.33203125" customWidth="1"/>
    <col min="21" max="21" width="11.6640625" customWidth="1"/>
    <col min="22" max="24" width="10.44140625" customWidth="1"/>
    <col min="25"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90" t="s">
        <v>0</v>
      </c>
      <c r="S2" s="291"/>
      <c r="T2" s="291"/>
      <c r="U2" s="291"/>
      <c r="V2" s="291"/>
      <c r="W2" s="291"/>
      <c r="X2" s="291"/>
      <c r="Y2" s="291"/>
      <c r="Z2" s="292"/>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6"/>
      <c r="Q4" s="17"/>
      <c r="R4" s="17"/>
      <c r="S4" s="17"/>
      <c r="T4" s="17"/>
      <c r="U4" s="17"/>
      <c r="V4" s="17"/>
      <c r="W4" s="17"/>
      <c r="X4" s="17"/>
      <c r="Y4" s="17"/>
      <c r="Z4" s="17"/>
      <c r="AA4" s="17"/>
      <c r="AB4" s="18"/>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19"/>
      <c r="Q5" s="20"/>
      <c r="R5" s="20"/>
      <c r="S5" s="20"/>
      <c r="T5" s="20"/>
      <c r="U5" s="20"/>
      <c r="V5" s="20"/>
      <c r="W5" s="20"/>
      <c r="X5" s="20"/>
      <c r="Y5" s="20"/>
      <c r="Z5" s="20"/>
      <c r="AA5" s="20"/>
      <c r="AB5" s="21"/>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19"/>
      <c r="Q6" s="20"/>
      <c r="R6" s="293" t="s">
        <v>121</v>
      </c>
      <c r="S6" s="294"/>
      <c r="T6" s="294"/>
      <c r="U6" s="294"/>
      <c r="V6" s="294"/>
      <c r="W6" s="294"/>
      <c r="X6" s="294"/>
      <c r="Y6" s="294"/>
      <c r="Z6" s="295"/>
      <c r="AA6" s="20"/>
      <c r="AB6" s="21"/>
      <c r="AC6" s="30"/>
      <c r="AD6" s="7"/>
      <c r="AE6" s="7"/>
      <c r="AF6" s="7"/>
      <c r="AG6" s="7"/>
      <c r="AH6" s="7"/>
      <c r="AI6" s="7"/>
      <c r="AJ6" s="7"/>
      <c r="AK6" s="7"/>
      <c r="AL6" s="7"/>
      <c r="AM6" s="7"/>
      <c r="AN6" s="7"/>
      <c r="AO6" s="7"/>
      <c r="AP6" s="7"/>
      <c r="AQ6" s="7"/>
    </row>
    <row r="7" spans="1:43" x14ac:dyDescent="0.3">
      <c r="A7" s="1"/>
      <c r="B7" s="1"/>
      <c r="C7" s="1"/>
      <c r="D7" s="1"/>
      <c r="E7" s="1"/>
      <c r="F7" s="1"/>
      <c r="G7" s="1"/>
      <c r="H7" s="1"/>
      <c r="I7" s="1"/>
      <c r="J7" s="1"/>
      <c r="K7" s="1"/>
      <c r="L7" s="1"/>
      <c r="M7" s="1"/>
      <c r="N7" s="1"/>
      <c r="O7" s="1"/>
      <c r="P7" s="19"/>
      <c r="Q7" s="20"/>
      <c r="R7" s="20"/>
      <c r="S7" s="20"/>
      <c r="T7" s="20"/>
      <c r="U7" s="20"/>
      <c r="V7" s="20"/>
      <c r="W7" s="20"/>
      <c r="X7" s="20"/>
      <c r="Y7" s="20"/>
      <c r="Z7" s="20"/>
      <c r="AA7" s="20"/>
      <c r="AB7" s="21"/>
      <c r="AC7" s="30"/>
      <c r="AD7" s="7"/>
      <c r="AE7" s="7"/>
      <c r="AF7" s="7"/>
      <c r="AG7" s="7"/>
      <c r="AH7" s="7"/>
      <c r="AI7" s="7"/>
      <c r="AJ7" s="7"/>
      <c r="AK7" s="7"/>
      <c r="AL7" s="7"/>
      <c r="AM7" s="7"/>
      <c r="AN7" s="7"/>
      <c r="AO7" s="7"/>
      <c r="AP7" s="7"/>
      <c r="AQ7" s="7"/>
    </row>
    <row r="8" spans="1:43" x14ac:dyDescent="0.3">
      <c r="A8" s="1"/>
      <c r="B8" s="1"/>
      <c r="C8" s="1"/>
      <c r="D8" s="1"/>
      <c r="E8" s="1"/>
      <c r="F8" s="1"/>
      <c r="G8" s="1"/>
      <c r="H8" s="1"/>
      <c r="I8" s="1"/>
      <c r="J8" s="1"/>
      <c r="K8" s="1"/>
      <c r="L8" s="1"/>
      <c r="M8" s="1"/>
      <c r="N8" s="1"/>
      <c r="O8" s="1"/>
      <c r="P8" s="19"/>
      <c r="Q8" s="20"/>
      <c r="R8" s="20"/>
      <c r="S8" s="20"/>
      <c r="T8" s="364" t="s">
        <v>122</v>
      </c>
      <c r="U8" s="364"/>
      <c r="V8" s="364"/>
      <c r="W8" s="364"/>
      <c r="X8" s="51"/>
      <c r="Y8" s="20"/>
      <c r="Z8" s="20"/>
      <c r="AA8" s="20"/>
      <c r="AB8" s="21"/>
      <c r="AC8" s="30"/>
      <c r="AD8" s="7"/>
      <c r="AE8" s="7"/>
      <c r="AF8" s="7"/>
      <c r="AG8" s="7"/>
      <c r="AH8" s="7"/>
      <c r="AI8" s="7"/>
      <c r="AJ8" s="7"/>
      <c r="AK8" s="7"/>
      <c r="AL8" s="7"/>
      <c r="AM8" s="7"/>
      <c r="AN8" s="7"/>
      <c r="AO8" s="7"/>
      <c r="AP8" s="7"/>
      <c r="AQ8" s="7"/>
    </row>
    <row r="9" spans="1:43" x14ac:dyDescent="0.3">
      <c r="A9" s="1"/>
      <c r="B9" s="1"/>
      <c r="C9" s="1"/>
      <c r="D9" s="1"/>
      <c r="E9" s="1"/>
      <c r="F9" s="1"/>
      <c r="G9" s="1"/>
      <c r="H9" s="1"/>
      <c r="I9" s="1"/>
      <c r="J9" s="1"/>
      <c r="K9" s="1"/>
      <c r="L9" s="1"/>
      <c r="M9" s="1"/>
      <c r="N9" s="1"/>
      <c r="O9" s="1"/>
      <c r="P9" s="19"/>
      <c r="Q9" s="20"/>
      <c r="R9" s="20"/>
      <c r="S9" s="20"/>
      <c r="T9" s="365" t="s">
        <v>123</v>
      </c>
      <c r="U9" s="365"/>
      <c r="V9" s="156" t="s">
        <v>124</v>
      </c>
      <c r="W9" s="157">
        <f>Inputs!V30</f>
        <v>5</v>
      </c>
      <c r="X9" s="20" t="s">
        <v>27</v>
      </c>
      <c r="Y9" s="20"/>
      <c r="Z9" s="20"/>
      <c r="AA9" s="20"/>
      <c r="AB9" s="21"/>
      <c r="AC9" s="30"/>
      <c r="AD9" s="7"/>
      <c r="AE9" s="7"/>
      <c r="AF9" s="7"/>
      <c r="AG9" s="7"/>
      <c r="AH9" s="7"/>
      <c r="AI9" s="7"/>
      <c r="AJ9" s="7"/>
      <c r="AK9" s="7"/>
      <c r="AL9" s="7"/>
      <c r="AM9" s="7"/>
      <c r="AN9" s="7"/>
      <c r="AO9" s="7"/>
      <c r="AP9" s="7"/>
      <c r="AQ9" s="7"/>
    </row>
    <row r="10" spans="1:43" ht="15.6" x14ac:dyDescent="0.35">
      <c r="A10" s="1"/>
      <c r="B10" s="1"/>
      <c r="C10" s="1"/>
      <c r="D10" s="1"/>
      <c r="E10" s="1"/>
      <c r="F10" s="1"/>
      <c r="G10" s="1"/>
      <c r="H10" s="1"/>
      <c r="I10" s="1"/>
      <c r="J10" s="1"/>
      <c r="K10" s="1"/>
      <c r="L10" s="1"/>
      <c r="M10" s="1"/>
      <c r="N10" s="1"/>
      <c r="O10" s="1"/>
      <c r="P10" s="19"/>
      <c r="Q10" s="20"/>
      <c r="R10" s="20"/>
      <c r="S10" s="20"/>
      <c r="T10" s="365" t="s">
        <v>125</v>
      </c>
      <c r="U10" s="365"/>
      <c r="V10" s="216" t="s">
        <v>126</v>
      </c>
      <c r="W10" s="215">
        <f>INDEX('Backend Data'!G73:G85,MATCH(Losses!W9,'Backend Data'!F73:F85,0))</f>
        <v>1.8624534763891498</v>
      </c>
      <c r="X10" s="20" t="s">
        <v>38</v>
      </c>
      <c r="Y10" s="20"/>
      <c r="Z10" s="20"/>
      <c r="AA10" s="20"/>
      <c r="AB10" s="21"/>
      <c r="AC10" s="30"/>
      <c r="AD10" s="7"/>
      <c r="AE10" s="7"/>
      <c r="AF10" s="7"/>
      <c r="AG10" s="7"/>
      <c r="AH10" s="7"/>
      <c r="AI10" s="7"/>
      <c r="AJ10" s="7"/>
      <c r="AK10" s="7"/>
      <c r="AL10" s="7"/>
      <c r="AM10" s="7"/>
      <c r="AN10" s="7"/>
      <c r="AO10" s="7"/>
      <c r="AP10" s="7"/>
      <c r="AQ10" s="7"/>
    </row>
    <row r="11" spans="1:43" ht="14.4" customHeight="1" x14ac:dyDescent="0.3">
      <c r="A11" s="1"/>
      <c r="B11" s="1"/>
      <c r="C11" s="1"/>
      <c r="D11" s="1"/>
      <c r="E11" s="1"/>
      <c r="F11" s="1"/>
      <c r="G11" s="1"/>
      <c r="H11" s="1"/>
      <c r="I11" s="1"/>
      <c r="J11" s="1"/>
      <c r="K11" s="1"/>
      <c r="L11" s="1"/>
      <c r="M11" s="1"/>
      <c r="N11" s="1"/>
      <c r="O11" s="1"/>
      <c r="P11" s="19"/>
      <c r="Q11" s="20"/>
      <c r="R11" s="20"/>
      <c r="S11" s="20"/>
      <c r="T11" s="365" t="s">
        <v>127</v>
      </c>
      <c r="U11" s="365"/>
      <c r="V11" s="20" t="s">
        <v>128</v>
      </c>
      <c r="W11" s="215">
        <v>0</v>
      </c>
      <c r="X11" s="20" t="s">
        <v>38</v>
      </c>
      <c r="Y11" s="20"/>
      <c r="Z11" s="20"/>
      <c r="AA11" s="20"/>
      <c r="AB11" s="21"/>
      <c r="AC11" s="30"/>
      <c r="AD11" s="7"/>
      <c r="AE11" s="7"/>
      <c r="AF11" s="7"/>
      <c r="AG11" s="7"/>
      <c r="AH11" s="7"/>
      <c r="AI11" s="7"/>
      <c r="AJ11" s="7"/>
      <c r="AK11" s="7"/>
      <c r="AL11" s="7"/>
      <c r="AM11" s="7"/>
      <c r="AN11" s="7"/>
      <c r="AO11" s="7"/>
      <c r="AP11" s="7"/>
      <c r="AQ11" s="7"/>
    </row>
    <row r="12" spans="1:43" ht="15" thickBot="1" x14ac:dyDescent="0.35">
      <c r="A12" s="1"/>
      <c r="B12" s="1"/>
      <c r="C12" s="1"/>
      <c r="D12" s="1"/>
      <c r="E12" s="1"/>
      <c r="F12" s="1"/>
      <c r="G12" s="1"/>
      <c r="H12" s="1"/>
      <c r="I12" s="1"/>
      <c r="J12" s="1"/>
      <c r="K12" s="1"/>
      <c r="L12" s="1"/>
      <c r="M12" s="1"/>
      <c r="N12" s="1"/>
      <c r="O12" s="1"/>
      <c r="P12" s="19"/>
      <c r="Q12" s="20"/>
      <c r="R12" s="20"/>
      <c r="S12" s="20"/>
      <c r="T12" s="367"/>
      <c r="U12" s="367"/>
      <c r="V12" s="20"/>
      <c r="W12" s="223"/>
      <c r="X12" s="20"/>
      <c r="Y12" s="20"/>
      <c r="Z12" s="20"/>
      <c r="AA12" s="20"/>
      <c r="AB12" s="21"/>
      <c r="AC12" s="30"/>
      <c r="AD12" s="7"/>
      <c r="AE12" s="7"/>
      <c r="AF12" s="7"/>
      <c r="AG12" s="7"/>
      <c r="AH12" s="7"/>
      <c r="AI12" s="7"/>
      <c r="AJ12" s="7"/>
      <c r="AK12" s="7"/>
      <c r="AL12" s="7"/>
      <c r="AM12" s="7"/>
      <c r="AN12" s="7"/>
      <c r="AO12" s="7"/>
      <c r="AP12" s="7"/>
      <c r="AQ12" s="7"/>
    </row>
    <row r="13" spans="1:43" ht="30.6" thickBot="1" x14ac:dyDescent="0.35">
      <c r="A13" s="1"/>
      <c r="B13" s="1"/>
      <c r="C13" s="1"/>
      <c r="D13" s="1"/>
      <c r="E13" s="1"/>
      <c r="F13" s="1"/>
      <c r="G13" s="1"/>
      <c r="H13" s="1"/>
      <c r="I13" s="1"/>
      <c r="J13" s="1"/>
      <c r="K13" s="1"/>
      <c r="L13" s="1"/>
      <c r="M13" s="1"/>
      <c r="N13" s="1"/>
      <c r="O13" s="1"/>
      <c r="P13" s="19"/>
      <c r="Q13" s="20"/>
      <c r="R13" s="293" t="s">
        <v>129</v>
      </c>
      <c r="S13" s="294"/>
      <c r="T13" s="294"/>
      <c r="U13" s="294"/>
      <c r="V13" s="294"/>
      <c r="W13" s="366"/>
      <c r="X13" s="294"/>
      <c r="Y13" s="294"/>
      <c r="Z13" s="295"/>
      <c r="AA13" s="20"/>
      <c r="AB13" s="21"/>
      <c r="AC13" s="30"/>
      <c r="AD13" s="7"/>
      <c r="AE13" s="7"/>
      <c r="AF13" s="7"/>
      <c r="AG13" s="7"/>
      <c r="AH13" s="7"/>
      <c r="AI13" s="7"/>
      <c r="AJ13" s="7"/>
      <c r="AK13" s="7"/>
      <c r="AL13" s="7"/>
      <c r="AM13" s="7"/>
      <c r="AN13" s="7"/>
      <c r="AO13" s="7"/>
      <c r="AP13" s="7"/>
      <c r="AQ13" s="7"/>
    </row>
    <row r="14" spans="1:43" x14ac:dyDescent="0.3">
      <c r="A14" s="1"/>
      <c r="B14" s="1"/>
      <c r="C14" s="1"/>
      <c r="D14" s="1"/>
      <c r="E14" s="1"/>
      <c r="F14" s="1"/>
      <c r="G14" s="1"/>
      <c r="H14" s="1"/>
      <c r="I14" s="1"/>
      <c r="J14" s="1"/>
      <c r="K14" s="1"/>
      <c r="L14" s="1"/>
      <c r="M14" s="1"/>
      <c r="N14" s="1"/>
      <c r="O14" s="1"/>
      <c r="P14" s="19"/>
      <c r="Q14" s="20"/>
      <c r="R14" s="51"/>
      <c r="S14" s="51"/>
      <c r="T14" s="51"/>
      <c r="U14" s="51"/>
      <c r="V14" s="20"/>
      <c r="W14" s="20"/>
      <c r="X14" s="20"/>
      <c r="Y14" s="20"/>
      <c r="Z14" s="20"/>
      <c r="AA14" s="20"/>
      <c r="AB14" s="21"/>
      <c r="AC14" s="30"/>
      <c r="AD14" s="7"/>
      <c r="AE14" s="7"/>
      <c r="AF14" s="7"/>
      <c r="AG14" s="7"/>
      <c r="AH14" s="7"/>
      <c r="AI14" s="7"/>
      <c r="AJ14" s="7"/>
      <c r="AK14" s="7"/>
      <c r="AL14" s="7"/>
      <c r="AM14" s="7"/>
      <c r="AN14" s="7"/>
      <c r="AO14" s="7"/>
      <c r="AP14" s="7"/>
      <c r="AQ14" s="7"/>
    </row>
    <row r="15" spans="1:43" x14ac:dyDescent="0.3">
      <c r="A15" s="1"/>
      <c r="B15" s="1"/>
      <c r="C15" s="1"/>
      <c r="D15" s="1"/>
      <c r="E15" s="1"/>
      <c r="F15" s="1"/>
      <c r="G15" s="1"/>
      <c r="H15" s="1"/>
      <c r="I15" s="1"/>
      <c r="J15" s="1"/>
      <c r="K15" s="1"/>
      <c r="L15" s="1"/>
      <c r="M15" s="1"/>
      <c r="N15" s="1"/>
      <c r="O15" s="1"/>
      <c r="P15" s="19"/>
      <c r="Q15" s="20"/>
      <c r="R15" s="52"/>
      <c r="S15" s="52"/>
      <c r="T15" s="364" t="s">
        <v>122</v>
      </c>
      <c r="U15" s="364"/>
      <c r="V15" s="364"/>
      <c r="W15" s="364"/>
      <c r="X15" s="51"/>
      <c r="Y15" s="20"/>
      <c r="Z15" s="20"/>
      <c r="AA15" s="20"/>
      <c r="AB15" s="21"/>
      <c r="AC15" s="30"/>
      <c r="AD15" s="7"/>
      <c r="AE15" s="7"/>
      <c r="AF15" s="7"/>
      <c r="AG15" s="7"/>
      <c r="AH15" s="7"/>
      <c r="AI15" s="7"/>
      <c r="AJ15" s="7"/>
      <c r="AK15" s="7"/>
      <c r="AL15" s="7"/>
      <c r="AM15" s="7"/>
      <c r="AN15" s="7"/>
      <c r="AO15" s="7"/>
      <c r="AP15" s="7"/>
      <c r="AQ15" s="7"/>
    </row>
    <row r="16" spans="1:43" ht="15.6" x14ac:dyDescent="0.35">
      <c r="A16" s="1"/>
      <c r="B16" s="1"/>
      <c r="C16" s="1"/>
      <c r="D16" s="1"/>
      <c r="E16" s="1"/>
      <c r="F16" s="1"/>
      <c r="G16" s="1"/>
      <c r="H16" s="1"/>
      <c r="I16" s="1"/>
      <c r="J16" s="1"/>
      <c r="K16" s="1"/>
      <c r="L16" s="1"/>
      <c r="M16" s="1"/>
      <c r="N16" s="1"/>
      <c r="O16" s="1"/>
      <c r="P16" s="19"/>
      <c r="Q16" s="20"/>
      <c r="R16" s="20"/>
      <c r="S16" s="20"/>
      <c r="T16" s="365" t="s">
        <v>130</v>
      </c>
      <c r="U16" s="365"/>
      <c r="V16" s="210" t="s">
        <v>131</v>
      </c>
      <c r="W16" s="157">
        <v>0.5</v>
      </c>
      <c r="X16" s="20" t="s">
        <v>38</v>
      </c>
      <c r="Y16" s="51"/>
      <c r="Z16" s="51"/>
      <c r="AA16" s="20"/>
      <c r="AB16" s="21"/>
      <c r="AC16" s="30"/>
      <c r="AD16" s="7"/>
      <c r="AE16" s="7"/>
      <c r="AF16" s="7"/>
      <c r="AG16" s="7"/>
      <c r="AH16" s="7"/>
      <c r="AI16" s="7"/>
      <c r="AJ16" s="7"/>
      <c r="AK16" s="7"/>
      <c r="AL16" s="7"/>
      <c r="AM16" s="7"/>
      <c r="AN16" s="7"/>
      <c r="AO16" s="7"/>
      <c r="AP16" s="7"/>
      <c r="AQ16" s="7"/>
    </row>
    <row r="17" spans="1:43" ht="15.6" x14ac:dyDescent="0.35">
      <c r="A17" s="1"/>
      <c r="B17" s="1"/>
      <c r="C17" s="1"/>
      <c r="D17" s="1"/>
      <c r="E17" s="1"/>
      <c r="F17" s="1"/>
      <c r="G17" s="1"/>
      <c r="H17" s="1"/>
      <c r="I17" s="1"/>
      <c r="J17" s="1"/>
      <c r="K17" s="1"/>
      <c r="L17" s="1"/>
      <c r="M17" s="1"/>
      <c r="N17" s="1"/>
      <c r="O17" s="1"/>
      <c r="P17" s="19"/>
      <c r="Q17" s="20"/>
      <c r="R17" s="20"/>
      <c r="S17" s="20"/>
      <c r="T17" s="365" t="s">
        <v>132</v>
      </c>
      <c r="U17" s="365"/>
      <c r="V17" s="210" t="s">
        <v>131</v>
      </c>
      <c r="W17" s="206">
        <v>0.5</v>
      </c>
      <c r="X17" s="20" t="s">
        <v>38</v>
      </c>
      <c r="Y17" s="53"/>
      <c r="Z17" s="53"/>
      <c r="AA17" s="20"/>
      <c r="AB17" s="21"/>
      <c r="AC17" s="30"/>
      <c r="AD17" s="7"/>
      <c r="AE17" s="7"/>
      <c r="AF17" s="7"/>
      <c r="AG17" s="7"/>
      <c r="AH17" s="7"/>
      <c r="AI17" s="7"/>
      <c r="AJ17" s="7"/>
      <c r="AK17" s="7"/>
      <c r="AL17" s="7"/>
      <c r="AM17" s="7"/>
      <c r="AN17" s="7"/>
      <c r="AO17" s="7"/>
      <c r="AP17" s="7"/>
      <c r="AQ17" s="7"/>
    </row>
    <row r="18" spans="1:43" x14ac:dyDescent="0.3">
      <c r="A18" s="1"/>
      <c r="B18" s="1"/>
      <c r="C18" s="1"/>
      <c r="D18" s="1"/>
      <c r="E18" s="1"/>
      <c r="F18" s="1"/>
      <c r="G18" s="1"/>
      <c r="H18" s="1"/>
      <c r="I18" s="1"/>
      <c r="J18" s="1"/>
      <c r="K18" s="1"/>
      <c r="L18" s="1"/>
      <c r="M18" s="1"/>
      <c r="N18" s="1"/>
      <c r="O18" s="1"/>
      <c r="P18" s="19"/>
      <c r="Q18" s="20"/>
      <c r="R18" s="20"/>
      <c r="S18" s="20"/>
      <c r="T18" s="20"/>
      <c r="U18" s="20"/>
      <c r="V18" s="20"/>
      <c r="W18" s="53"/>
      <c r="X18" s="53"/>
      <c r="Y18" s="53"/>
      <c r="Z18" s="53"/>
      <c r="AA18" s="20"/>
      <c r="AB18" s="21"/>
      <c r="AC18" s="30"/>
      <c r="AD18" s="7"/>
      <c r="AE18" s="7"/>
      <c r="AF18" s="7"/>
      <c r="AG18" s="7"/>
      <c r="AH18" s="7"/>
      <c r="AI18" s="7"/>
      <c r="AJ18" s="7"/>
      <c r="AK18" s="7"/>
      <c r="AL18" s="7"/>
      <c r="AM18" s="7"/>
      <c r="AN18" s="7"/>
      <c r="AO18" s="7"/>
      <c r="AP18" s="7"/>
      <c r="AQ18" s="7"/>
    </row>
    <row r="19" spans="1:43" ht="15" thickBot="1" x14ac:dyDescent="0.35">
      <c r="A19" s="1"/>
      <c r="B19" s="1"/>
      <c r="C19" s="1"/>
      <c r="D19" s="1"/>
      <c r="E19" s="1"/>
      <c r="F19" s="1"/>
      <c r="G19" s="1"/>
      <c r="H19" s="1"/>
      <c r="I19" s="1"/>
      <c r="J19" s="1"/>
      <c r="K19" s="1"/>
      <c r="L19" s="1"/>
      <c r="M19" s="1"/>
      <c r="N19" s="1"/>
      <c r="O19" s="1"/>
      <c r="P19" s="24"/>
      <c r="Q19" s="25"/>
      <c r="R19" s="54"/>
      <c r="S19" s="54"/>
      <c r="T19" s="54"/>
      <c r="U19" s="54"/>
      <c r="V19" s="25"/>
      <c r="W19" s="55"/>
      <c r="X19" s="55"/>
      <c r="Y19" s="55"/>
      <c r="Z19" s="55"/>
      <c r="AA19" s="25"/>
      <c r="AB19" s="26"/>
      <c r="AC19" s="30"/>
      <c r="AD19" s="7"/>
      <c r="AE19" s="7"/>
      <c r="AF19" s="7"/>
      <c r="AG19" s="7"/>
      <c r="AH19" s="7"/>
      <c r="AI19" s="7"/>
      <c r="AJ19" s="7"/>
      <c r="AK19" s="7"/>
      <c r="AL19" s="7"/>
      <c r="AM19" s="7"/>
      <c r="AN19" s="7"/>
      <c r="AO19" s="7"/>
      <c r="AP19" s="7"/>
      <c r="AQ19" s="7"/>
    </row>
    <row r="20" spans="1:43" x14ac:dyDescent="0.3">
      <c r="A20" s="1" t="s">
        <v>67</v>
      </c>
      <c r="B20" s="1"/>
      <c r="C20" s="1"/>
      <c r="D20" s="1"/>
      <c r="E20" s="1"/>
      <c r="F20" s="1"/>
      <c r="G20" s="1"/>
      <c r="H20" s="1"/>
      <c r="I20" s="1"/>
      <c r="J20" s="1"/>
      <c r="K20" s="1"/>
      <c r="L20" s="1"/>
      <c r="M20" s="1"/>
      <c r="N20" s="1"/>
      <c r="O20" s="1"/>
      <c r="P20" s="56"/>
      <c r="Q20" s="56"/>
      <c r="R20" s="57"/>
      <c r="S20" s="57"/>
      <c r="T20" s="57"/>
      <c r="U20" s="57"/>
      <c r="V20" s="57"/>
      <c r="W20" s="57"/>
      <c r="X20" s="57"/>
      <c r="Y20" s="57"/>
      <c r="Z20" s="57"/>
      <c r="AA20" s="56"/>
      <c r="AB20" s="56"/>
      <c r="AC20" s="7"/>
      <c r="AD20" s="7"/>
      <c r="AE20" s="7"/>
      <c r="AF20" s="7"/>
      <c r="AG20" s="7"/>
      <c r="AH20" s="7"/>
      <c r="AI20" s="7"/>
      <c r="AJ20" s="7"/>
      <c r="AK20" s="7"/>
      <c r="AL20" s="7"/>
      <c r="AM20" s="7"/>
      <c r="AN20" s="7"/>
      <c r="AO20" s="7"/>
      <c r="AP20" s="7"/>
      <c r="AQ20" s="7"/>
    </row>
    <row r="21" spans="1:43" ht="15" thickBot="1" x14ac:dyDescent="0.35">
      <c r="A21" s="1"/>
      <c r="B21" s="1"/>
      <c r="C21" s="1"/>
      <c r="D21" s="1"/>
      <c r="E21" s="1"/>
      <c r="F21" s="1"/>
      <c r="G21" s="1"/>
      <c r="H21" s="1"/>
      <c r="I21" s="1"/>
      <c r="J21" s="1"/>
      <c r="K21" s="1"/>
      <c r="L21" s="1"/>
      <c r="M21" s="1"/>
      <c r="N21" s="1"/>
      <c r="O21" s="1"/>
      <c r="P21" s="58"/>
      <c r="Q21" s="58"/>
      <c r="R21" s="59"/>
      <c r="S21" s="59"/>
      <c r="T21" s="59"/>
      <c r="U21" s="59"/>
      <c r="V21" s="59"/>
      <c r="W21" s="59"/>
      <c r="X21" s="59"/>
      <c r="Y21" s="59"/>
      <c r="Z21" s="59"/>
      <c r="AA21" s="58"/>
      <c r="AB21" s="58"/>
      <c r="AC21" s="7"/>
      <c r="AD21" s="7"/>
      <c r="AE21" s="7"/>
      <c r="AF21" s="7"/>
      <c r="AG21" s="7"/>
      <c r="AH21" s="7"/>
      <c r="AI21" s="7"/>
      <c r="AJ21" s="7"/>
      <c r="AK21" s="7"/>
      <c r="AL21" s="7"/>
      <c r="AM21" s="7"/>
      <c r="AN21" s="7"/>
      <c r="AO21" s="7"/>
      <c r="AP21" s="7"/>
      <c r="AQ21" s="7"/>
    </row>
    <row r="22" spans="1:43" x14ac:dyDescent="0.3">
      <c r="A22" s="1"/>
      <c r="B22" s="1"/>
      <c r="C22" s="1"/>
      <c r="D22" s="1"/>
      <c r="E22" s="1"/>
      <c r="F22" s="1"/>
      <c r="G22" s="1"/>
      <c r="H22" s="1"/>
      <c r="I22" s="1"/>
      <c r="J22" s="1"/>
      <c r="K22" s="1"/>
      <c r="L22" s="1"/>
      <c r="M22" s="1"/>
      <c r="N22" s="1"/>
      <c r="O22" s="1"/>
      <c r="P22" s="27"/>
      <c r="Q22" s="28"/>
      <c r="R22" s="28"/>
      <c r="S22" s="28"/>
      <c r="T22" s="28"/>
      <c r="U22" s="28"/>
      <c r="V22" s="28"/>
      <c r="W22" s="28"/>
      <c r="X22" s="28"/>
      <c r="Y22" s="28"/>
      <c r="Z22" s="28"/>
      <c r="AA22" s="28"/>
      <c r="AB22" s="29"/>
      <c r="AC22" s="7"/>
      <c r="AD22" s="7"/>
      <c r="AE22" s="7"/>
      <c r="AF22" s="7"/>
      <c r="AG22" s="7"/>
      <c r="AH22" s="7"/>
      <c r="AI22" s="7"/>
      <c r="AJ22" s="7"/>
      <c r="AK22" s="7"/>
      <c r="AL22" s="7"/>
      <c r="AM22" s="7"/>
      <c r="AN22" s="7"/>
      <c r="AO22" s="7"/>
      <c r="AP22" s="7"/>
      <c r="AQ22" s="7"/>
    </row>
    <row r="23" spans="1:43" ht="15" thickBot="1" x14ac:dyDescent="0.35">
      <c r="A23" s="1"/>
      <c r="B23" s="1"/>
      <c r="C23" s="1"/>
      <c r="D23" s="1"/>
      <c r="E23" s="1"/>
      <c r="F23" s="1"/>
      <c r="G23" s="1"/>
      <c r="H23" s="1"/>
      <c r="I23" s="1"/>
      <c r="J23" s="1"/>
      <c r="K23" s="1"/>
      <c r="L23" s="1"/>
      <c r="M23" s="1"/>
      <c r="N23" s="1"/>
      <c r="O23" s="1"/>
      <c r="P23" s="31"/>
      <c r="Q23" s="32"/>
      <c r="R23" s="32"/>
      <c r="S23" s="32"/>
      <c r="T23" s="32"/>
      <c r="U23" s="32"/>
      <c r="V23" s="32"/>
      <c r="W23" s="32"/>
      <c r="X23" s="32"/>
      <c r="Y23" s="32"/>
      <c r="Z23" s="32"/>
      <c r="AA23" s="32"/>
      <c r="AB23" s="33"/>
      <c r="AC23" s="7"/>
      <c r="AD23" s="7"/>
      <c r="AE23" s="7"/>
      <c r="AF23" s="7"/>
      <c r="AG23" s="7"/>
      <c r="AH23" s="7"/>
      <c r="AI23" s="7"/>
      <c r="AJ23" s="7"/>
      <c r="AK23" s="7"/>
      <c r="AL23" s="7"/>
      <c r="AM23" s="7"/>
      <c r="AN23" s="7"/>
      <c r="AO23" s="7"/>
      <c r="AP23" s="7"/>
      <c r="AQ23" s="7"/>
    </row>
    <row r="24" spans="1:43" ht="30.6" thickBot="1" x14ac:dyDescent="0.35">
      <c r="A24" s="1"/>
      <c r="B24" s="1"/>
      <c r="C24" s="1"/>
      <c r="D24" s="1"/>
      <c r="E24" s="1"/>
      <c r="F24" s="1"/>
      <c r="G24" s="1"/>
      <c r="H24" s="1"/>
      <c r="I24" s="1"/>
      <c r="J24" s="1"/>
      <c r="K24" s="1"/>
      <c r="L24" s="1"/>
      <c r="M24" s="1"/>
      <c r="N24" s="1"/>
      <c r="O24" s="1"/>
      <c r="P24" s="31"/>
      <c r="Q24" s="32"/>
      <c r="R24" s="293" t="s">
        <v>133</v>
      </c>
      <c r="S24" s="294"/>
      <c r="T24" s="294"/>
      <c r="U24" s="294"/>
      <c r="V24" s="294"/>
      <c r="W24" s="294"/>
      <c r="X24" s="294"/>
      <c r="Y24" s="294"/>
      <c r="Z24" s="295"/>
      <c r="AA24" s="32"/>
      <c r="AB24" s="33"/>
      <c r="AC24" s="7"/>
      <c r="AD24" s="7"/>
      <c r="AE24" s="7"/>
      <c r="AF24" s="7"/>
      <c r="AG24" s="7"/>
      <c r="AH24" s="7"/>
      <c r="AI24" s="7"/>
      <c r="AJ24" s="7"/>
      <c r="AK24" s="7"/>
      <c r="AL24" s="7"/>
      <c r="AM24" s="7"/>
      <c r="AN24" s="7"/>
      <c r="AO24" s="7"/>
      <c r="AP24" s="7"/>
      <c r="AQ24" s="7"/>
    </row>
    <row r="25" spans="1:43" ht="15.45" customHeight="1" x14ac:dyDescent="0.3">
      <c r="A25" s="1"/>
      <c r="B25" s="1"/>
      <c r="C25" s="1"/>
      <c r="D25" s="1"/>
      <c r="E25" s="1"/>
      <c r="F25" s="1"/>
      <c r="G25" s="1"/>
      <c r="H25" s="1"/>
      <c r="I25" s="1"/>
      <c r="J25" s="1"/>
      <c r="K25" s="1"/>
      <c r="L25" s="1"/>
      <c r="M25" s="1"/>
      <c r="N25" s="1"/>
      <c r="O25" s="1"/>
      <c r="P25" s="31"/>
      <c r="Q25" s="32"/>
      <c r="R25" s="60"/>
      <c r="S25" s="60"/>
      <c r="T25" s="60"/>
      <c r="U25" s="60"/>
      <c r="V25" s="60"/>
      <c r="W25" s="60"/>
      <c r="X25" s="60"/>
      <c r="Y25" s="60"/>
      <c r="Z25" s="60"/>
      <c r="AA25" s="32"/>
      <c r="AB25" s="33"/>
      <c r="AC25" s="7"/>
      <c r="AD25" s="7"/>
      <c r="AE25" s="7"/>
      <c r="AF25" s="7"/>
      <c r="AG25" s="7"/>
      <c r="AH25" s="7"/>
      <c r="AI25" s="7"/>
      <c r="AJ25" s="7"/>
      <c r="AK25" s="7"/>
      <c r="AL25" s="7"/>
      <c r="AM25" s="7"/>
      <c r="AN25" s="7"/>
      <c r="AO25" s="7"/>
      <c r="AP25" s="7"/>
      <c r="AQ25" s="7"/>
    </row>
    <row r="26" spans="1:43" ht="15.45" customHeight="1" x14ac:dyDescent="0.3">
      <c r="A26" s="1"/>
      <c r="B26" s="1"/>
      <c r="C26" s="1"/>
      <c r="D26" s="1"/>
      <c r="E26" s="1"/>
      <c r="F26" s="1"/>
      <c r="G26" s="1"/>
      <c r="H26" s="1"/>
      <c r="I26" s="1"/>
      <c r="J26" s="1"/>
      <c r="K26" s="1"/>
      <c r="L26" s="1"/>
      <c r="M26" s="1"/>
      <c r="N26" s="1"/>
      <c r="O26" s="1"/>
      <c r="P26" s="31"/>
      <c r="Q26" s="32"/>
      <c r="R26" s="60"/>
      <c r="S26" s="60"/>
      <c r="T26" s="60"/>
      <c r="U26" s="60"/>
      <c r="V26" s="60"/>
      <c r="W26" s="60"/>
      <c r="X26" s="60"/>
      <c r="Y26" s="60"/>
      <c r="Z26" s="60"/>
      <c r="AA26" s="32"/>
      <c r="AB26" s="33"/>
      <c r="AC26" s="7"/>
      <c r="AD26" s="7"/>
      <c r="AE26" s="7"/>
      <c r="AF26" s="7"/>
      <c r="AG26" s="7"/>
      <c r="AH26" s="7"/>
      <c r="AI26" s="7"/>
      <c r="AJ26" s="7"/>
      <c r="AK26" s="7"/>
      <c r="AL26" s="7"/>
      <c r="AM26" s="7"/>
      <c r="AN26" s="7"/>
      <c r="AO26" s="7"/>
      <c r="AP26" s="7"/>
      <c r="AQ26" s="7"/>
    </row>
    <row r="27" spans="1:43" ht="15.45" customHeight="1" x14ac:dyDescent="0.3">
      <c r="A27" s="1"/>
      <c r="B27" s="1"/>
      <c r="C27" s="1"/>
      <c r="D27" s="1"/>
      <c r="E27" s="1"/>
      <c r="F27" s="1"/>
      <c r="G27" s="1"/>
      <c r="H27" s="1"/>
      <c r="I27" s="1"/>
      <c r="J27" s="1"/>
      <c r="K27" s="1"/>
      <c r="L27" s="1"/>
      <c r="M27" s="1"/>
      <c r="N27" s="1"/>
      <c r="O27" s="1"/>
      <c r="P27" s="31"/>
      <c r="Q27" s="32"/>
      <c r="R27" s="60"/>
      <c r="S27" s="209"/>
      <c r="T27" s="61"/>
      <c r="U27" s="61"/>
      <c r="V27" s="60"/>
      <c r="W27" s="60"/>
      <c r="X27" s="60"/>
      <c r="Y27" s="60"/>
      <c r="Z27" s="60"/>
      <c r="AA27" s="32"/>
      <c r="AB27" s="33"/>
      <c r="AC27" s="7"/>
      <c r="AD27" s="7"/>
      <c r="AE27" s="7"/>
      <c r="AF27" s="7"/>
      <c r="AG27" s="7"/>
      <c r="AH27" s="7"/>
      <c r="AI27" s="7"/>
      <c r="AJ27" s="7"/>
      <c r="AK27" s="7"/>
      <c r="AL27" s="7"/>
      <c r="AM27" s="7"/>
      <c r="AN27" s="7"/>
      <c r="AO27" s="7"/>
      <c r="AP27" s="7"/>
      <c r="AQ27" s="7"/>
    </row>
    <row r="28" spans="1:43" ht="15.45" customHeight="1" x14ac:dyDescent="0.3">
      <c r="A28" s="1"/>
      <c r="B28" s="1"/>
      <c r="C28" s="1"/>
      <c r="D28" s="1"/>
      <c r="E28" s="1"/>
      <c r="F28" s="1"/>
      <c r="G28" s="1"/>
      <c r="H28" s="1"/>
      <c r="I28" s="1"/>
      <c r="J28" s="1"/>
      <c r="K28" s="1"/>
      <c r="L28" s="1"/>
      <c r="M28" s="1"/>
      <c r="N28" s="1"/>
      <c r="O28" s="1"/>
      <c r="P28" s="31"/>
      <c r="Q28" s="32"/>
      <c r="R28" s="60"/>
      <c r="S28" s="61"/>
      <c r="T28" s="61"/>
      <c r="U28" s="61"/>
      <c r="V28" s="61"/>
      <c r="W28" s="61"/>
      <c r="X28" s="61"/>
      <c r="Y28" s="61"/>
      <c r="Z28" s="61"/>
      <c r="AA28" s="32"/>
      <c r="AB28" s="33"/>
      <c r="AC28" s="7"/>
      <c r="AD28" s="7"/>
      <c r="AE28" s="7"/>
      <c r="AF28" s="7"/>
      <c r="AG28" s="7"/>
      <c r="AH28" s="7"/>
      <c r="AI28" s="7"/>
      <c r="AJ28" s="7"/>
      <c r="AK28" s="7"/>
      <c r="AL28" s="7"/>
      <c r="AM28" s="7"/>
      <c r="AN28" s="7"/>
      <c r="AO28" s="7"/>
      <c r="AP28" s="7"/>
      <c r="AQ28" s="7"/>
    </row>
    <row r="29" spans="1:43" ht="15.45" customHeight="1" x14ac:dyDescent="0.3">
      <c r="A29" s="1"/>
      <c r="B29" s="1"/>
      <c r="C29" s="1"/>
      <c r="D29" s="1"/>
      <c r="E29" s="1"/>
      <c r="F29" s="1"/>
      <c r="G29" s="1"/>
      <c r="H29" s="1"/>
      <c r="I29" s="1"/>
      <c r="J29" s="1"/>
      <c r="K29" s="1"/>
      <c r="L29" s="1"/>
      <c r="M29" s="1"/>
      <c r="N29" s="1"/>
      <c r="O29" s="1"/>
      <c r="P29" s="31"/>
      <c r="Q29" s="32"/>
      <c r="R29" s="60"/>
      <c r="S29" s="61"/>
      <c r="T29" s="61"/>
      <c r="U29" s="61"/>
      <c r="V29" s="61"/>
      <c r="W29" s="61"/>
      <c r="X29" s="61"/>
      <c r="Y29" s="61"/>
      <c r="Z29" s="61"/>
      <c r="AA29" s="32"/>
      <c r="AB29" s="33"/>
      <c r="AC29" s="7"/>
      <c r="AD29" s="7"/>
      <c r="AE29" s="7"/>
      <c r="AF29" s="7"/>
      <c r="AG29" s="7"/>
      <c r="AH29" s="7"/>
      <c r="AI29" s="7"/>
      <c r="AJ29" s="7"/>
      <c r="AK29" s="7"/>
      <c r="AL29" s="7"/>
      <c r="AM29" s="7"/>
      <c r="AN29" s="7"/>
      <c r="AO29" s="7"/>
      <c r="AP29" s="7"/>
      <c r="AQ29" s="7"/>
    </row>
    <row r="30" spans="1:43" ht="15.45" customHeight="1" x14ac:dyDescent="0.3">
      <c r="A30" s="1"/>
      <c r="B30" s="1"/>
      <c r="C30" s="1"/>
      <c r="D30" s="1"/>
      <c r="E30" s="1"/>
      <c r="F30" s="1"/>
      <c r="G30" s="1"/>
      <c r="H30" s="1"/>
      <c r="I30" s="1"/>
      <c r="J30" s="1"/>
      <c r="K30" s="1"/>
      <c r="L30" s="1"/>
      <c r="M30" s="1"/>
      <c r="N30" s="1"/>
      <c r="O30" s="1"/>
      <c r="P30" s="31"/>
      <c r="Q30" s="32"/>
      <c r="R30" s="60"/>
      <c r="S30" s="61"/>
      <c r="T30" s="62" t="s">
        <v>134</v>
      </c>
      <c r="U30" s="61"/>
      <c r="V30" s="61"/>
      <c r="W30" s="61"/>
      <c r="X30" s="61"/>
      <c r="Y30" s="61"/>
      <c r="Z30" s="61"/>
      <c r="AA30" s="32"/>
      <c r="AB30" s="33"/>
      <c r="AC30" s="7"/>
      <c r="AD30" s="7"/>
      <c r="AE30" s="7"/>
      <c r="AF30" s="7"/>
      <c r="AG30" s="7"/>
      <c r="AH30" s="7"/>
      <c r="AI30" s="7"/>
      <c r="AJ30" s="7"/>
      <c r="AK30" s="7"/>
      <c r="AL30" s="7"/>
      <c r="AM30" s="7"/>
      <c r="AN30" s="7"/>
      <c r="AO30" s="7"/>
      <c r="AP30" s="7"/>
      <c r="AQ30" s="7"/>
    </row>
    <row r="31" spans="1:43" ht="15.45" customHeight="1" x14ac:dyDescent="0.3">
      <c r="A31" s="1"/>
      <c r="B31" s="1"/>
      <c r="C31" s="1"/>
      <c r="D31" s="1"/>
      <c r="E31" s="1"/>
      <c r="F31" s="1"/>
      <c r="G31" s="1"/>
      <c r="H31" s="1"/>
      <c r="I31" s="1"/>
      <c r="J31" s="1"/>
      <c r="K31" s="1"/>
      <c r="L31" s="1"/>
      <c r="M31" s="1"/>
      <c r="N31" s="1"/>
      <c r="O31" s="1"/>
      <c r="P31" s="31"/>
      <c r="Q31" s="32"/>
      <c r="R31" s="60"/>
      <c r="S31" s="61"/>
      <c r="T31" s="62" t="s">
        <v>135</v>
      </c>
      <c r="U31" s="209"/>
      <c r="V31" s="61"/>
      <c r="W31" s="61"/>
      <c r="X31" s="61"/>
      <c r="Y31" s="61"/>
      <c r="Z31" s="61"/>
      <c r="AA31" s="32"/>
      <c r="AB31" s="33"/>
      <c r="AC31" s="7"/>
      <c r="AD31" s="7"/>
      <c r="AE31" s="7"/>
      <c r="AF31" s="7"/>
      <c r="AG31" s="7"/>
      <c r="AH31" s="7"/>
      <c r="AI31" s="7"/>
      <c r="AJ31" s="7"/>
      <c r="AK31" s="7"/>
      <c r="AL31" s="7"/>
      <c r="AM31" s="7"/>
      <c r="AN31" s="7"/>
      <c r="AO31" s="7"/>
      <c r="AP31" s="7"/>
      <c r="AQ31" s="7"/>
    </row>
    <row r="32" spans="1:43" ht="15.45" customHeight="1" x14ac:dyDescent="0.3">
      <c r="A32" s="1"/>
      <c r="B32" s="1"/>
      <c r="C32" s="1"/>
      <c r="D32" s="1"/>
      <c r="E32" s="1"/>
      <c r="F32" s="1"/>
      <c r="G32" s="1"/>
      <c r="H32" s="1"/>
      <c r="I32" s="1"/>
      <c r="J32" s="1"/>
      <c r="K32" s="1"/>
      <c r="L32" s="1"/>
      <c r="M32" s="1"/>
      <c r="N32" s="1"/>
      <c r="O32" s="1"/>
      <c r="P32" s="31"/>
      <c r="Q32" s="32"/>
      <c r="R32" s="60"/>
      <c r="S32" s="61"/>
      <c r="T32" s="61"/>
      <c r="U32" s="209"/>
      <c r="V32" s="61"/>
      <c r="W32" s="61"/>
      <c r="X32" s="61"/>
      <c r="Y32" s="61"/>
      <c r="Z32" s="61"/>
      <c r="AA32" s="32"/>
      <c r="AB32" s="33"/>
      <c r="AC32" s="7"/>
      <c r="AD32" s="7"/>
      <c r="AE32" s="7"/>
      <c r="AF32" s="7"/>
      <c r="AG32" s="7"/>
      <c r="AH32" s="7"/>
      <c r="AI32" s="7"/>
      <c r="AJ32" s="7"/>
      <c r="AK32" s="7"/>
      <c r="AL32" s="7"/>
      <c r="AM32" s="7"/>
      <c r="AN32" s="7"/>
      <c r="AO32" s="7"/>
      <c r="AP32" s="7"/>
      <c r="AQ32" s="7"/>
    </row>
    <row r="33" spans="1:43" ht="15.45" customHeight="1" x14ac:dyDescent="0.3">
      <c r="A33" s="1"/>
      <c r="B33" s="1"/>
      <c r="C33" s="1"/>
      <c r="D33" s="1"/>
      <c r="E33" s="1"/>
      <c r="F33" s="1"/>
      <c r="G33" s="1"/>
      <c r="H33" s="1"/>
      <c r="I33" s="1"/>
      <c r="J33" s="1"/>
      <c r="K33" s="1"/>
      <c r="L33" s="1"/>
      <c r="M33" s="1"/>
      <c r="N33" s="1"/>
      <c r="O33" s="1"/>
      <c r="P33" s="31"/>
      <c r="Q33" s="32"/>
      <c r="R33" s="60"/>
      <c r="S33" s="61"/>
      <c r="T33" s="61"/>
      <c r="U33" s="61"/>
      <c r="V33" s="63"/>
      <c r="W33" s="63"/>
      <c r="X33" s="63"/>
      <c r="Y33" s="63"/>
      <c r="Z33" s="63"/>
      <c r="AA33" s="32"/>
      <c r="AB33" s="33"/>
      <c r="AC33" s="7"/>
      <c r="AD33" s="7"/>
      <c r="AE33" s="7"/>
      <c r="AF33" s="7"/>
      <c r="AG33" s="7"/>
      <c r="AH33" s="7"/>
      <c r="AI33" s="7"/>
      <c r="AJ33" s="7"/>
      <c r="AK33" s="7"/>
      <c r="AL33" s="7"/>
      <c r="AM33" s="7"/>
      <c r="AN33" s="7"/>
      <c r="AO33" s="7"/>
      <c r="AP33" s="7"/>
      <c r="AQ33" s="7"/>
    </row>
    <row r="34" spans="1:43" ht="15.45" customHeight="1" x14ac:dyDescent="0.3">
      <c r="A34" s="1"/>
      <c r="B34" s="1"/>
      <c r="C34" s="1"/>
      <c r="D34" s="1"/>
      <c r="E34" s="1"/>
      <c r="F34" s="1"/>
      <c r="G34" s="1"/>
      <c r="H34" s="1"/>
      <c r="I34" s="1"/>
      <c r="J34" s="1"/>
      <c r="K34" s="1"/>
      <c r="L34" s="1"/>
      <c r="M34" s="1"/>
      <c r="N34" s="1"/>
      <c r="O34" s="1"/>
      <c r="P34" s="31"/>
      <c r="Q34" s="32"/>
      <c r="R34" s="60"/>
      <c r="S34" s="61"/>
      <c r="T34" s="61"/>
      <c r="U34" s="61"/>
      <c r="V34" s="61"/>
      <c r="W34" s="61"/>
      <c r="X34" s="61"/>
      <c r="Y34" s="61"/>
      <c r="Z34" s="61"/>
      <c r="AA34" s="32"/>
      <c r="AB34" s="33"/>
      <c r="AC34" s="7"/>
      <c r="AD34" s="7"/>
      <c r="AE34" s="7"/>
      <c r="AF34" s="7"/>
      <c r="AG34" s="7"/>
      <c r="AH34" s="7"/>
      <c r="AI34" s="7"/>
      <c r="AJ34" s="7"/>
      <c r="AK34" s="7"/>
      <c r="AL34" s="7"/>
      <c r="AM34" s="7"/>
      <c r="AN34" s="7"/>
      <c r="AO34" s="7"/>
      <c r="AP34" s="7"/>
      <c r="AQ34" s="7"/>
    </row>
    <row r="35" spans="1:43" ht="15.45" customHeight="1" x14ac:dyDescent="0.3">
      <c r="A35" s="1"/>
      <c r="B35" s="1"/>
      <c r="C35" s="1"/>
      <c r="D35" s="1"/>
      <c r="E35" s="1"/>
      <c r="F35" s="1"/>
      <c r="G35" s="1"/>
      <c r="H35" s="1"/>
      <c r="I35" s="1"/>
      <c r="J35" s="1"/>
      <c r="K35" s="1"/>
      <c r="L35" s="1"/>
      <c r="M35" s="1"/>
      <c r="N35" s="1"/>
      <c r="O35" s="1"/>
      <c r="P35" s="31"/>
      <c r="Q35" s="32"/>
      <c r="R35" s="60"/>
      <c r="S35" s="61"/>
      <c r="T35" s="61"/>
      <c r="U35" s="61"/>
      <c r="V35" s="329" t="s">
        <v>136</v>
      </c>
      <c r="W35" s="329"/>
      <c r="X35" s="329"/>
      <c r="Y35" s="203">
        <v>5</v>
      </c>
      <c r="Z35" s="32" t="s">
        <v>27</v>
      </c>
      <c r="AA35" s="32"/>
      <c r="AB35" s="33"/>
      <c r="AC35" s="7"/>
      <c r="AD35" s="7"/>
      <c r="AE35" s="7"/>
      <c r="AF35" s="7"/>
      <c r="AG35" s="7"/>
      <c r="AH35" s="7"/>
      <c r="AI35" s="7"/>
      <c r="AJ35" s="7"/>
      <c r="AK35" s="7"/>
      <c r="AL35" s="7"/>
      <c r="AM35" s="7"/>
      <c r="AN35" s="7"/>
      <c r="AO35" s="7"/>
      <c r="AP35" s="7"/>
      <c r="AQ35" s="7"/>
    </row>
    <row r="36" spans="1:43" ht="15.45" customHeight="1" x14ac:dyDescent="0.3">
      <c r="A36" s="1"/>
      <c r="B36" s="1"/>
      <c r="C36" s="1"/>
      <c r="D36" s="1"/>
      <c r="E36" s="1"/>
      <c r="F36" s="1"/>
      <c r="G36" s="1"/>
      <c r="H36" s="1"/>
      <c r="I36" s="1"/>
      <c r="J36" s="1"/>
      <c r="K36" s="1"/>
      <c r="L36" s="1"/>
      <c r="M36" s="1"/>
      <c r="N36" s="1"/>
      <c r="O36" s="1"/>
      <c r="P36" s="31"/>
      <c r="Q36" s="32"/>
      <c r="R36" s="60"/>
      <c r="S36" s="61"/>
      <c r="T36" s="61"/>
      <c r="U36" s="61"/>
      <c r="V36" s="329" t="s">
        <v>137</v>
      </c>
      <c r="W36" s="329"/>
      <c r="X36" s="329"/>
      <c r="Y36" s="158">
        <f>12*((Y35/42)^2)</f>
        <v>0.17006802721088435</v>
      </c>
      <c r="Z36" s="64" t="s">
        <v>38</v>
      </c>
      <c r="AA36" s="32"/>
      <c r="AB36" s="33"/>
      <c r="AC36" s="7"/>
      <c r="AD36" s="7"/>
      <c r="AE36" s="7"/>
      <c r="AF36" s="7"/>
      <c r="AG36" s="7"/>
      <c r="AH36" s="7"/>
      <c r="AI36" s="7"/>
      <c r="AJ36" s="7"/>
      <c r="AK36" s="7"/>
      <c r="AL36" s="7"/>
      <c r="AM36" s="7"/>
      <c r="AN36" s="7"/>
      <c r="AO36" s="7"/>
      <c r="AP36" s="7"/>
      <c r="AQ36" s="7"/>
    </row>
    <row r="37" spans="1:43" ht="15.45" customHeight="1" x14ac:dyDescent="0.3">
      <c r="A37" s="1"/>
      <c r="B37" s="1"/>
      <c r="C37" s="1"/>
      <c r="D37" s="1"/>
      <c r="E37" s="1"/>
      <c r="F37" s="1"/>
      <c r="G37" s="1"/>
      <c r="H37" s="1"/>
      <c r="I37" s="1"/>
      <c r="J37" s="1"/>
      <c r="K37" s="1"/>
      <c r="L37" s="1"/>
      <c r="M37" s="1"/>
      <c r="N37" s="1"/>
      <c r="O37" s="1"/>
      <c r="P37" s="31"/>
      <c r="Q37" s="32"/>
      <c r="R37" s="60"/>
      <c r="S37" s="61"/>
      <c r="T37" s="61"/>
      <c r="U37" s="61"/>
      <c r="V37" s="329" t="s">
        <v>138</v>
      </c>
      <c r="W37" s="329"/>
      <c r="X37" s="329"/>
      <c r="Y37" s="203">
        <v>20</v>
      </c>
      <c r="Z37" s="32" t="s">
        <v>27</v>
      </c>
      <c r="AA37" s="32"/>
      <c r="AB37" s="33"/>
      <c r="AC37" s="7"/>
      <c r="AD37" s="7"/>
      <c r="AE37" s="7"/>
      <c r="AF37" s="7"/>
      <c r="AG37" s="7"/>
      <c r="AH37" s="7"/>
      <c r="AI37" s="7"/>
      <c r="AJ37" s="7"/>
      <c r="AK37" s="7"/>
      <c r="AL37" s="7"/>
      <c r="AM37" s="7"/>
      <c r="AN37" s="7"/>
      <c r="AO37" s="7"/>
      <c r="AP37" s="7"/>
      <c r="AQ37" s="7"/>
    </row>
    <row r="38" spans="1:43" ht="15.45" customHeight="1" x14ac:dyDescent="0.3">
      <c r="A38" s="1"/>
      <c r="B38" s="1"/>
      <c r="C38" s="1"/>
      <c r="D38" s="1"/>
      <c r="E38" s="1"/>
      <c r="F38" s="1"/>
      <c r="G38" s="1"/>
      <c r="H38" s="1"/>
      <c r="I38" s="1"/>
      <c r="J38" s="1"/>
      <c r="K38" s="1"/>
      <c r="L38" s="1"/>
      <c r="M38" s="1"/>
      <c r="N38" s="1"/>
      <c r="O38" s="1"/>
      <c r="P38" s="31"/>
      <c r="Q38" s="32"/>
      <c r="R38" s="60"/>
      <c r="S38" s="61"/>
      <c r="T38" s="61"/>
      <c r="U38" s="61"/>
      <c r="V38" s="329" t="s">
        <v>139</v>
      </c>
      <c r="W38" s="329"/>
      <c r="X38" s="329"/>
      <c r="Y38" s="204">
        <f>0.3</f>
        <v>0.3</v>
      </c>
      <c r="Z38" s="64" t="s">
        <v>38</v>
      </c>
      <c r="AA38" s="32"/>
      <c r="AB38" s="33"/>
      <c r="AC38" s="7"/>
      <c r="AD38" s="7"/>
      <c r="AE38" s="7"/>
      <c r="AF38" s="7"/>
      <c r="AG38" s="7"/>
      <c r="AH38" s="7"/>
      <c r="AI38" s="7"/>
      <c r="AJ38" s="7"/>
      <c r="AK38" s="7"/>
      <c r="AL38" s="7"/>
      <c r="AM38" s="7"/>
      <c r="AN38" s="7"/>
      <c r="AO38" s="7"/>
      <c r="AP38" s="7"/>
      <c r="AQ38" s="7"/>
    </row>
    <row r="39" spans="1:43" ht="15.45" customHeight="1" x14ac:dyDescent="0.3">
      <c r="A39" s="1"/>
      <c r="B39" s="1"/>
      <c r="C39" s="1"/>
      <c r="D39" s="1"/>
      <c r="E39" s="1"/>
      <c r="F39" s="1"/>
      <c r="G39" s="1"/>
      <c r="H39" s="1"/>
      <c r="I39" s="1"/>
      <c r="J39" s="1"/>
      <c r="K39" s="1"/>
      <c r="L39" s="1"/>
      <c r="M39" s="1"/>
      <c r="N39" s="1"/>
      <c r="O39" s="1"/>
      <c r="P39" s="31"/>
      <c r="Q39" s="32"/>
      <c r="R39" s="60"/>
      <c r="S39" s="61"/>
      <c r="T39" s="61"/>
      <c r="U39" s="61"/>
      <c r="V39" s="329"/>
      <c r="W39" s="329"/>
      <c r="X39" s="329"/>
      <c r="Y39" s="66"/>
      <c r="Z39" s="64"/>
      <c r="AA39" s="32"/>
      <c r="AB39" s="33"/>
      <c r="AC39" s="7"/>
      <c r="AD39" s="7"/>
      <c r="AE39" s="7"/>
      <c r="AF39" s="7"/>
      <c r="AG39" s="7"/>
      <c r="AH39" s="7"/>
      <c r="AI39" s="7"/>
      <c r="AJ39" s="7"/>
      <c r="AK39" s="7"/>
      <c r="AL39" s="7"/>
      <c r="AM39" s="7"/>
      <c r="AN39" s="7"/>
      <c r="AO39" s="7"/>
      <c r="AP39" s="7"/>
      <c r="AQ39" s="7"/>
    </row>
    <row r="40" spans="1:43" ht="15.45" customHeight="1" x14ac:dyDescent="0.3">
      <c r="A40" s="1"/>
      <c r="B40" s="1"/>
      <c r="C40" s="1"/>
      <c r="D40" s="1"/>
      <c r="E40" s="1"/>
      <c r="F40" s="1"/>
      <c r="G40" s="1"/>
      <c r="H40" s="1"/>
      <c r="I40" s="1"/>
      <c r="J40" s="1"/>
      <c r="K40" s="1"/>
      <c r="L40" s="1"/>
      <c r="M40" s="1"/>
      <c r="N40" s="1"/>
      <c r="O40" s="1"/>
      <c r="P40" s="31"/>
      <c r="Q40" s="32"/>
      <c r="R40" s="60"/>
      <c r="S40" s="61"/>
      <c r="T40" s="61"/>
      <c r="U40" s="61"/>
      <c r="V40" s="61"/>
      <c r="W40" s="61"/>
      <c r="X40" s="61"/>
      <c r="Y40" s="61"/>
      <c r="Z40" s="61"/>
      <c r="AA40" s="32"/>
      <c r="AB40" s="33"/>
      <c r="AC40" s="7"/>
      <c r="AD40" s="7"/>
      <c r="AE40" s="7"/>
      <c r="AF40" s="7"/>
      <c r="AG40" s="7"/>
      <c r="AH40" s="7"/>
      <c r="AI40" s="7"/>
      <c r="AJ40" s="7"/>
      <c r="AK40" s="7"/>
      <c r="AL40" s="7"/>
      <c r="AM40" s="7"/>
      <c r="AN40" s="7"/>
      <c r="AO40" s="7"/>
      <c r="AP40" s="7"/>
      <c r="AQ40" s="7"/>
    </row>
    <row r="41" spans="1:43" ht="15.45" customHeight="1" x14ac:dyDescent="0.3">
      <c r="A41" s="1"/>
      <c r="B41" s="1"/>
      <c r="C41" s="1"/>
      <c r="D41" s="1"/>
      <c r="E41" s="1"/>
      <c r="F41" s="1"/>
      <c r="G41" s="1"/>
      <c r="H41" s="1"/>
      <c r="I41" s="1"/>
      <c r="J41" s="1"/>
      <c r="K41" s="1"/>
      <c r="L41" s="1"/>
      <c r="M41" s="1"/>
      <c r="N41" s="1"/>
      <c r="O41" s="1"/>
      <c r="P41" s="31"/>
      <c r="Q41" s="32"/>
      <c r="R41" s="60"/>
      <c r="S41" s="61"/>
      <c r="T41" s="61"/>
      <c r="U41" s="61"/>
      <c r="V41" s="61"/>
      <c r="W41" s="61"/>
      <c r="X41" s="61"/>
      <c r="Y41" s="61"/>
      <c r="Z41" s="61"/>
      <c r="AA41" s="32"/>
      <c r="AB41" s="33"/>
      <c r="AC41" s="7"/>
      <c r="AD41" s="7"/>
      <c r="AE41" s="7"/>
      <c r="AF41" s="7"/>
      <c r="AG41" s="7"/>
      <c r="AH41" s="7"/>
      <c r="AI41" s="7"/>
      <c r="AJ41" s="7"/>
      <c r="AK41" s="7"/>
      <c r="AL41" s="7"/>
      <c r="AM41" s="7"/>
      <c r="AN41" s="7"/>
      <c r="AO41" s="7"/>
      <c r="AP41" s="7"/>
      <c r="AQ41" s="7"/>
    </row>
    <row r="42" spans="1:43" ht="15.45" customHeight="1" x14ac:dyDescent="0.3">
      <c r="A42" s="1"/>
      <c r="B42" s="1"/>
      <c r="C42" s="1"/>
      <c r="D42" s="1"/>
      <c r="E42" s="1"/>
      <c r="F42" s="1"/>
      <c r="G42" s="1"/>
      <c r="H42" s="1"/>
      <c r="I42" s="1"/>
      <c r="J42" s="1"/>
      <c r="K42" s="1"/>
      <c r="L42" s="1"/>
      <c r="M42" s="1"/>
      <c r="N42" s="1"/>
      <c r="O42" s="1"/>
      <c r="P42" s="31"/>
      <c r="Q42" s="32"/>
      <c r="R42" s="60"/>
      <c r="S42" s="61"/>
      <c r="T42" s="61"/>
      <c r="U42" s="61"/>
      <c r="V42" s="61"/>
      <c r="W42" s="61"/>
      <c r="X42" s="61"/>
      <c r="Y42" s="61"/>
      <c r="Z42" s="61"/>
      <c r="AA42" s="32"/>
      <c r="AB42" s="33"/>
      <c r="AC42" s="7"/>
      <c r="AD42" s="7"/>
      <c r="AE42" s="7"/>
      <c r="AF42" s="7"/>
      <c r="AG42" s="7"/>
      <c r="AH42" s="7"/>
      <c r="AI42" s="7"/>
      <c r="AJ42" s="7"/>
      <c r="AK42" s="7"/>
      <c r="AL42" s="7"/>
      <c r="AM42" s="7"/>
      <c r="AN42" s="7"/>
      <c r="AO42" s="7"/>
      <c r="AP42" s="7"/>
      <c r="AQ42" s="7"/>
    </row>
    <row r="43" spans="1:43" ht="15.45" customHeight="1" x14ac:dyDescent="0.3">
      <c r="A43" s="1"/>
      <c r="B43" s="1"/>
      <c r="C43" s="1"/>
      <c r="D43" s="1"/>
      <c r="E43" s="1"/>
      <c r="F43" s="1"/>
      <c r="G43" s="1"/>
      <c r="H43" s="1"/>
      <c r="I43" s="1"/>
      <c r="J43" s="1"/>
      <c r="K43" s="1"/>
      <c r="L43" s="1"/>
      <c r="M43" s="1"/>
      <c r="N43" s="1"/>
      <c r="O43" s="1"/>
      <c r="P43" s="31"/>
      <c r="Q43" s="32"/>
      <c r="R43" s="60"/>
      <c r="S43" s="61"/>
      <c r="T43" s="61"/>
      <c r="U43" s="61"/>
      <c r="V43" s="61"/>
      <c r="W43" s="61"/>
      <c r="X43" s="61"/>
      <c r="Y43" s="61"/>
      <c r="Z43" s="61"/>
      <c r="AA43" s="32"/>
      <c r="AB43" s="33"/>
      <c r="AC43" s="7"/>
      <c r="AD43" s="7"/>
      <c r="AE43" s="7"/>
      <c r="AF43" s="7"/>
      <c r="AG43" s="7"/>
      <c r="AH43" s="7"/>
      <c r="AI43" s="7"/>
      <c r="AJ43" s="7"/>
      <c r="AK43" s="7"/>
      <c r="AL43" s="7"/>
      <c r="AM43" s="7"/>
      <c r="AN43" s="7"/>
      <c r="AO43" s="7"/>
      <c r="AP43" s="7"/>
      <c r="AQ43" s="7"/>
    </row>
    <row r="44" spans="1:43" ht="15.45" customHeight="1" x14ac:dyDescent="0.3">
      <c r="A44" s="1"/>
      <c r="B44" s="1"/>
      <c r="C44" s="1"/>
      <c r="D44" s="1"/>
      <c r="E44" s="1"/>
      <c r="F44" s="1"/>
      <c r="G44" s="1"/>
      <c r="H44" s="1"/>
      <c r="I44" s="1"/>
      <c r="J44" s="1"/>
      <c r="K44" s="1"/>
      <c r="L44" s="1"/>
      <c r="M44" s="1"/>
      <c r="N44" s="1"/>
      <c r="O44" s="1"/>
      <c r="P44" s="31"/>
      <c r="Q44" s="32"/>
      <c r="R44" s="60"/>
      <c r="S44" s="61"/>
      <c r="T44" s="61"/>
      <c r="U44" s="61"/>
      <c r="V44" s="61"/>
      <c r="W44" s="61"/>
      <c r="X44" s="61"/>
      <c r="Y44" s="61"/>
      <c r="Z44" s="61"/>
      <c r="AA44" s="32"/>
      <c r="AB44" s="33"/>
      <c r="AC44" s="7"/>
      <c r="AD44" s="7"/>
      <c r="AE44" s="7"/>
      <c r="AF44" s="7"/>
      <c r="AG44" s="7"/>
      <c r="AH44" s="7"/>
      <c r="AI44" s="7"/>
      <c r="AJ44" s="7"/>
      <c r="AK44" s="7"/>
      <c r="AL44" s="7"/>
      <c r="AM44" s="7"/>
      <c r="AN44" s="7"/>
      <c r="AO44" s="7"/>
      <c r="AP44" s="7"/>
      <c r="AQ44" s="7"/>
    </row>
    <row r="45" spans="1:43" ht="15.45" customHeight="1" x14ac:dyDescent="0.3">
      <c r="A45" s="1"/>
      <c r="B45" s="1"/>
      <c r="C45" s="1"/>
      <c r="D45" s="1"/>
      <c r="E45" s="1"/>
      <c r="F45" s="1"/>
      <c r="G45" s="1"/>
      <c r="H45" s="1"/>
      <c r="I45" s="1"/>
      <c r="J45" s="1"/>
      <c r="K45" s="1"/>
      <c r="L45" s="1"/>
      <c r="M45" s="1"/>
      <c r="N45" s="1"/>
      <c r="O45" s="1"/>
      <c r="P45" s="31"/>
      <c r="Q45" s="32"/>
      <c r="R45" s="60"/>
      <c r="S45" s="61"/>
      <c r="T45" s="65" t="s">
        <v>140</v>
      </c>
      <c r="U45" s="209"/>
      <c r="V45" s="61"/>
      <c r="W45" s="61"/>
      <c r="X45" s="61"/>
      <c r="Y45" s="61"/>
      <c r="Z45" s="61"/>
      <c r="AA45" s="32"/>
      <c r="AB45" s="33"/>
      <c r="AC45" s="7"/>
      <c r="AD45" s="7"/>
      <c r="AE45" s="7"/>
      <c r="AF45" s="7"/>
      <c r="AG45" s="7"/>
      <c r="AH45" s="7"/>
      <c r="AI45" s="7"/>
      <c r="AJ45" s="7"/>
      <c r="AK45" s="7"/>
      <c r="AL45" s="7"/>
      <c r="AM45" s="7"/>
      <c r="AN45" s="7"/>
      <c r="AO45" s="7"/>
      <c r="AP45" s="7"/>
      <c r="AQ45" s="7"/>
    </row>
    <row r="46" spans="1:43" ht="15.45" customHeight="1" x14ac:dyDescent="0.3">
      <c r="A46" s="1"/>
      <c r="B46" s="1"/>
      <c r="C46" s="1"/>
      <c r="D46" s="1"/>
      <c r="E46" s="1"/>
      <c r="F46" s="1"/>
      <c r="G46" s="1"/>
      <c r="H46" s="1"/>
      <c r="I46" s="1"/>
      <c r="J46" s="1"/>
      <c r="K46" s="1"/>
      <c r="L46" s="1"/>
      <c r="M46" s="1"/>
      <c r="N46" s="1"/>
      <c r="O46" s="1"/>
      <c r="P46" s="31"/>
      <c r="Q46" s="32"/>
      <c r="R46" s="60"/>
      <c r="S46" s="61"/>
      <c r="T46" s="209" t="s">
        <v>135</v>
      </c>
      <c r="U46" s="61"/>
      <c r="V46" s="61"/>
      <c r="W46" s="61"/>
      <c r="X46" s="61"/>
      <c r="Y46" s="61"/>
      <c r="Z46" s="61"/>
      <c r="AA46" s="32"/>
      <c r="AB46" s="33"/>
      <c r="AC46" s="7"/>
      <c r="AD46" s="7"/>
      <c r="AE46" s="7"/>
      <c r="AF46" s="7"/>
      <c r="AG46" s="7"/>
      <c r="AH46" s="7"/>
      <c r="AI46" s="7"/>
      <c r="AJ46" s="7"/>
      <c r="AK46" s="7"/>
      <c r="AL46" s="7"/>
      <c r="AM46" s="7"/>
      <c r="AN46" s="7"/>
      <c r="AO46" s="7"/>
      <c r="AP46" s="7"/>
      <c r="AQ46" s="7"/>
    </row>
    <row r="47" spans="1:43" ht="15.45" customHeight="1" x14ac:dyDescent="0.3">
      <c r="A47" s="1"/>
      <c r="B47" s="1"/>
      <c r="C47" s="1"/>
      <c r="D47" s="1"/>
      <c r="E47" s="1"/>
      <c r="F47" s="1"/>
      <c r="G47" s="1"/>
      <c r="H47" s="1"/>
      <c r="I47" s="1"/>
      <c r="J47" s="1"/>
      <c r="K47" s="1"/>
      <c r="L47" s="1"/>
      <c r="M47" s="1"/>
      <c r="N47" s="1"/>
      <c r="O47" s="1"/>
      <c r="P47" s="31"/>
      <c r="Q47" s="32"/>
      <c r="R47" s="60"/>
      <c r="S47" s="61"/>
      <c r="T47" s="61"/>
      <c r="U47" s="209"/>
      <c r="V47" s="61"/>
      <c r="W47" s="61"/>
      <c r="X47" s="61"/>
      <c r="Y47" s="61"/>
      <c r="Z47" s="61"/>
      <c r="AA47" s="32"/>
      <c r="AB47" s="33"/>
      <c r="AC47" s="7"/>
      <c r="AD47" s="7"/>
      <c r="AE47" s="7"/>
      <c r="AF47" s="7"/>
      <c r="AG47" s="7"/>
      <c r="AH47" s="7"/>
      <c r="AI47" s="7"/>
      <c r="AJ47" s="7"/>
      <c r="AK47" s="7"/>
      <c r="AL47" s="7"/>
      <c r="AM47" s="7"/>
      <c r="AN47" s="7"/>
      <c r="AO47" s="7"/>
      <c r="AP47" s="7"/>
      <c r="AQ47" s="7"/>
    </row>
    <row r="48" spans="1:43" ht="15.45" customHeight="1" x14ac:dyDescent="0.3">
      <c r="A48" s="1"/>
      <c r="B48" s="1"/>
      <c r="C48" s="1"/>
      <c r="D48" s="1"/>
      <c r="E48" s="1"/>
      <c r="F48" s="1"/>
      <c r="G48" s="1"/>
      <c r="H48" s="1"/>
      <c r="I48" s="1"/>
      <c r="J48" s="1"/>
      <c r="K48" s="1"/>
      <c r="L48" s="1"/>
      <c r="M48" s="1"/>
      <c r="N48" s="1"/>
      <c r="O48" s="1"/>
      <c r="P48" s="31"/>
      <c r="Q48" s="32"/>
      <c r="R48" s="60"/>
      <c r="S48" s="60"/>
      <c r="T48" s="60"/>
      <c r="U48" s="60"/>
      <c r="V48" s="63"/>
      <c r="W48" s="63"/>
      <c r="X48" s="63"/>
      <c r="Y48" s="63"/>
      <c r="Z48" s="63"/>
      <c r="AA48" s="32"/>
      <c r="AB48" s="33"/>
      <c r="AC48" s="7"/>
      <c r="AD48" s="7"/>
      <c r="AE48" s="7"/>
      <c r="AF48" s="7"/>
      <c r="AG48" s="7"/>
      <c r="AH48" s="7"/>
      <c r="AI48" s="7"/>
      <c r="AJ48" s="7"/>
      <c r="AK48" s="7"/>
      <c r="AL48" s="7"/>
      <c r="AM48" s="7"/>
      <c r="AN48" s="7"/>
      <c r="AO48" s="7"/>
      <c r="AP48" s="7"/>
      <c r="AQ48" s="7"/>
    </row>
    <row r="49" spans="1:43" ht="15.45" customHeight="1" thickBot="1" x14ac:dyDescent="0.35">
      <c r="A49" s="1"/>
      <c r="B49" s="1"/>
      <c r="C49" s="1"/>
      <c r="D49" s="1"/>
      <c r="E49" s="1"/>
      <c r="F49" s="1"/>
      <c r="G49" s="1"/>
      <c r="H49" s="1"/>
      <c r="I49" s="1"/>
      <c r="J49" s="1"/>
      <c r="K49" s="1"/>
      <c r="L49" s="1"/>
      <c r="M49" s="1"/>
      <c r="N49" s="1"/>
      <c r="O49" s="1"/>
      <c r="P49" s="31"/>
      <c r="Q49" s="32"/>
      <c r="R49" s="60"/>
      <c r="S49" s="60"/>
      <c r="T49" s="60"/>
      <c r="U49" s="60"/>
      <c r="V49" s="60"/>
      <c r="W49" s="60"/>
      <c r="X49" s="60"/>
      <c r="Y49" s="60"/>
      <c r="Z49" s="60"/>
      <c r="AA49" s="32"/>
      <c r="AB49" s="33"/>
      <c r="AC49" s="7"/>
      <c r="AD49" s="7"/>
      <c r="AE49" s="7"/>
      <c r="AF49" s="7"/>
      <c r="AG49" s="7"/>
      <c r="AH49" s="7"/>
      <c r="AI49" s="7"/>
      <c r="AJ49" s="7"/>
      <c r="AK49" s="7"/>
      <c r="AL49" s="7"/>
      <c r="AM49" s="7"/>
      <c r="AN49" s="7"/>
      <c r="AO49" s="7"/>
      <c r="AP49" s="7"/>
      <c r="AQ49" s="7"/>
    </row>
    <row r="50" spans="1:43" ht="30.6" thickBot="1" x14ac:dyDescent="0.35">
      <c r="A50" s="1"/>
      <c r="B50" s="1"/>
      <c r="C50" s="1"/>
      <c r="D50" s="1"/>
      <c r="E50" s="1"/>
      <c r="F50" s="1"/>
      <c r="G50" s="1"/>
      <c r="H50" s="1"/>
      <c r="I50" s="1"/>
      <c r="J50" s="1"/>
      <c r="K50" s="1"/>
      <c r="L50" s="1"/>
      <c r="M50" s="1"/>
      <c r="N50" s="1"/>
      <c r="O50" s="1"/>
      <c r="P50" s="31"/>
      <c r="Q50" s="32"/>
      <c r="R50" s="293" t="s">
        <v>141</v>
      </c>
      <c r="S50" s="294"/>
      <c r="T50" s="294"/>
      <c r="U50" s="294"/>
      <c r="V50" s="294"/>
      <c r="W50" s="294"/>
      <c r="X50" s="294"/>
      <c r="Y50" s="294"/>
      <c r="Z50" s="295"/>
      <c r="AA50" s="32"/>
      <c r="AB50" s="33"/>
      <c r="AC50" s="7"/>
      <c r="AD50" s="7"/>
      <c r="AE50" s="7"/>
      <c r="AF50" s="7"/>
      <c r="AG50" s="7"/>
      <c r="AH50" s="7"/>
      <c r="AI50" s="7"/>
      <c r="AJ50" s="7"/>
      <c r="AK50" s="7"/>
      <c r="AL50" s="7"/>
      <c r="AM50" s="7"/>
      <c r="AN50" s="7"/>
      <c r="AO50" s="7"/>
      <c r="AP50" s="7"/>
      <c r="AQ50" s="7"/>
    </row>
    <row r="51" spans="1:43" ht="15.45" customHeight="1" x14ac:dyDescent="0.3">
      <c r="A51" s="1"/>
      <c r="B51" s="1"/>
      <c r="C51" s="1"/>
      <c r="D51" s="1"/>
      <c r="E51" s="1"/>
      <c r="F51" s="1"/>
      <c r="G51" s="1"/>
      <c r="H51" s="1"/>
      <c r="I51" s="1"/>
      <c r="J51" s="1"/>
      <c r="K51" s="1"/>
      <c r="L51" s="1"/>
      <c r="M51" s="1"/>
      <c r="N51" s="1"/>
      <c r="O51" s="1"/>
      <c r="P51" s="31"/>
      <c r="Q51" s="32"/>
      <c r="R51" s="60"/>
      <c r="S51" s="60"/>
      <c r="T51" s="60"/>
      <c r="U51" s="60"/>
      <c r="V51" s="60"/>
      <c r="W51" s="60"/>
      <c r="X51" s="60"/>
      <c r="Y51" s="60"/>
      <c r="Z51" s="60"/>
      <c r="AA51" s="32"/>
      <c r="AB51" s="33"/>
      <c r="AC51" s="7"/>
      <c r="AD51" s="7"/>
      <c r="AE51" s="7"/>
      <c r="AF51" s="7"/>
      <c r="AG51" s="7"/>
      <c r="AH51" s="7"/>
      <c r="AI51" s="7"/>
      <c r="AJ51" s="7"/>
      <c r="AK51" s="7"/>
      <c r="AL51" s="7"/>
      <c r="AM51" s="7"/>
      <c r="AN51" s="7"/>
      <c r="AO51" s="7"/>
      <c r="AP51" s="7"/>
      <c r="AQ51" s="7"/>
    </row>
    <row r="52" spans="1:43" ht="15.45" customHeight="1" x14ac:dyDescent="0.3">
      <c r="A52" s="1"/>
      <c r="B52" s="1"/>
      <c r="C52" s="1"/>
      <c r="D52" s="1"/>
      <c r="E52" s="1"/>
      <c r="F52" s="1"/>
      <c r="G52" s="1"/>
      <c r="H52" s="1"/>
      <c r="I52" s="1"/>
      <c r="J52" s="1"/>
      <c r="K52" s="1"/>
      <c r="L52" s="1"/>
      <c r="M52" s="1"/>
      <c r="N52" s="1"/>
      <c r="O52" s="1"/>
      <c r="P52" s="31"/>
      <c r="Q52" s="32"/>
      <c r="R52" s="61"/>
      <c r="S52" s="61"/>
      <c r="T52" s="61"/>
      <c r="U52" s="61"/>
      <c r="V52" s="61"/>
      <c r="W52" s="61"/>
      <c r="X52" s="60"/>
      <c r="Y52" s="60"/>
      <c r="Z52" s="60"/>
      <c r="AA52" s="32"/>
      <c r="AB52" s="33"/>
      <c r="AC52" s="7"/>
      <c r="AD52" s="7"/>
      <c r="AE52" s="7"/>
      <c r="AF52" s="7"/>
      <c r="AG52" s="7"/>
      <c r="AH52" s="7"/>
      <c r="AI52" s="7"/>
      <c r="AJ52" s="7"/>
      <c r="AK52" s="7"/>
      <c r="AL52" s="7"/>
      <c r="AM52" s="7"/>
      <c r="AN52" s="7"/>
      <c r="AO52" s="7"/>
      <c r="AP52" s="7"/>
      <c r="AQ52" s="7"/>
    </row>
    <row r="53" spans="1:43" x14ac:dyDescent="0.3">
      <c r="A53" s="1"/>
      <c r="B53" s="1"/>
      <c r="C53" s="1"/>
      <c r="D53" s="1"/>
      <c r="E53" s="1"/>
      <c r="F53" s="1"/>
      <c r="G53" s="1"/>
      <c r="H53" s="1"/>
      <c r="I53" s="1"/>
      <c r="J53" s="1"/>
      <c r="K53" s="1"/>
      <c r="L53" s="1"/>
      <c r="M53" s="1"/>
      <c r="N53" s="1"/>
      <c r="O53" s="1"/>
      <c r="P53" s="31"/>
      <c r="Q53" s="32"/>
      <c r="R53" s="369" t="s">
        <v>142</v>
      </c>
      <c r="S53" s="369"/>
      <c r="T53" s="369"/>
      <c r="U53" s="369"/>
      <c r="V53" s="369"/>
      <c r="W53" s="208"/>
      <c r="X53" s="64"/>
      <c r="Y53" s="64"/>
      <c r="Z53" s="64"/>
      <c r="AA53" s="32"/>
      <c r="AB53" s="33"/>
      <c r="AC53" s="7"/>
      <c r="AD53" s="7"/>
      <c r="AE53" s="7"/>
      <c r="AF53" s="7"/>
      <c r="AG53" s="7"/>
      <c r="AH53" s="7"/>
      <c r="AI53" s="7"/>
      <c r="AJ53" s="7"/>
      <c r="AK53" s="7"/>
      <c r="AL53" s="7"/>
      <c r="AM53" s="7"/>
      <c r="AN53" s="7"/>
      <c r="AO53" s="7"/>
      <c r="AP53" s="7"/>
      <c r="AQ53" s="7"/>
    </row>
    <row r="54" spans="1:43" x14ac:dyDescent="0.3">
      <c r="A54" s="1"/>
      <c r="B54" s="1"/>
      <c r="C54" s="1"/>
      <c r="D54" s="1"/>
      <c r="E54" s="1"/>
      <c r="F54" s="1"/>
      <c r="G54" s="1"/>
      <c r="H54" s="1"/>
      <c r="I54" s="1"/>
      <c r="J54" s="1"/>
      <c r="K54" s="1"/>
      <c r="L54" s="1"/>
      <c r="M54" s="1"/>
      <c r="N54" s="1"/>
      <c r="O54" s="1"/>
      <c r="P54" s="31"/>
      <c r="Q54" s="32"/>
      <c r="R54" s="368" t="s">
        <v>143</v>
      </c>
      <c r="S54" s="368"/>
      <c r="T54" s="368"/>
      <c r="U54" s="203">
        <v>1</v>
      </c>
      <c r="V54" s="64" t="s">
        <v>38</v>
      </c>
      <c r="W54" s="66"/>
      <c r="X54" s="64"/>
      <c r="Y54" s="64"/>
      <c r="Z54" s="64"/>
      <c r="AA54" s="32"/>
      <c r="AB54" s="33"/>
      <c r="AC54" s="7"/>
      <c r="AD54" s="7"/>
      <c r="AE54" s="7"/>
      <c r="AF54" s="7"/>
      <c r="AG54" s="7"/>
      <c r="AH54" s="7"/>
      <c r="AI54" s="7"/>
      <c r="AJ54" s="7"/>
      <c r="AK54" s="7"/>
      <c r="AL54" s="7"/>
      <c r="AM54" s="7"/>
      <c r="AN54" s="7"/>
      <c r="AO54" s="7"/>
      <c r="AP54" s="7"/>
      <c r="AQ54" s="7"/>
    </row>
    <row r="55" spans="1:43" x14ac:dyDescent="0.3">
      <c r="A55" s="1"/>
      <c r="B55" s="1"/>
      <c r="C55" s="1"/>
      <c r="D55" s="1"/>
      <c r="E55" s="1"/>
      <c r="F55" s="1"/>
      <c r="G55" s="1"/>
      <c r="H55" s="1"/>
      <c r="I55" s="1"/>
      <c r="J55" s="1"/>
      <c r="K55" s="1"/>
      <c r="L55" s="1"/>
      <c r="M55" s="1"/>
      <c r="N55" s="1"/>
      <c r="O55" s="1"/>
      <c r="P55" s="31"/>
      <c r="Q55" s="32"/>
      <c r="R55" s="368" t="s">
        <v>144</v>
      </c>
      <c r="S55" s="368"/>
      <c r="T55" s="368"/>
      <c r="U55" s="203">
        <v>1</v>
      </c>
      <c r="V55" s="64" t="s">
        <v>38</v>
      </c>
      <c r="W55" s="66"/>
      <c r="X55" s="64"/>
      <c r="Y55" s="64"/>
      <c r="Z55" s="64"/>
      <c r="AA55" s="32"/>
      <c r="AB55" s="33"/>
      <c r="AC55" s="7"/>
      <c r="AD55" s="7"/>
      <c r="AE55" s="7"/>
      <c r="AF55" s="7"/>
      <c r="AG55" s="7"/>
      <c r="AH55" s="7"/>
      <c r="AI55" s="7"/>
      <c r="AJ55" s="7"/>
      <c r="AK55" s="7"/>
      <c r="AL55" s="7"/>
      <c r="AM55" s="7"/>
      <c r="AN55" s="7"/>
      <c r="AO55" s="7"/>
      <c r="AP55" s="7"/>
      <c r="AQ55" s="7"/>
    </row>
    <row r="56" spans="1:43" x14ac:dyDescent="0.3">
      <c r="A56" s="1"/>
      <c r="B56" s="1"/>
      <c r="C56" s="1"/>
      <c r="D56" s="1"/>
      <c r="E56" s="1"/>
      <c r="F56" s="1"/>
      <c r="G56" s="1"/>
      <c r="H56" s="1"/>
      <c r="I56" s="1"/>
      <c r="J56" s="1"/>
      <c r="K56" s="1"/>
      <c r="L56" s="1"/>
      <c r="M56" s="1"/>
      <c r="N56" s="1"/>
      <c r="O56" s="1"/>
      <c r="P56" s="31"/>
      <c r="Q56" s="32"/>
      <c r="R56" s="368" t="s">
        <v>145</v>
      </c>
      <c r="S56" s="368"/>
      <c r="T56" s="368"/>
      <c r="U56" s="203">
        <v>90</v>
      </c>
      <c r="V56" s="64" t="s">
        <v>27</v>
      </c>
      <c r="W56" s="66"/>
      <c r="X56" s="64"/>
      <c r="Y56" s="64"/>
      <c r="Z56" s="64"/>
      <c r="AA56" s="32"/>
      <c r="AB56" s="33"/>
      <c r="AC56" s="7"/>
      <c r="AD56" s="7"/>
      <c r="AE56" s="7"/>
      <c r="AF56" s="7"/>
      <c r="AG56" s="7"/>
      <c r="AH56" s="7"/>
      <c r="AI56" s="7"/>
      <c r="AJ56" s="7"/>
      <c r="AK56" s="7"/>
      <c r="AL56" s="7"/>
      <c r="AM56" s="7"/>
      <c r="AN56" s="7"/>
      <c r="AO56" s="7"/>
      <c r="AP56" s="7"/>
      <c r="AQ56" s="7"/>
    </row>
    <row r="57" spans="1:43" x14ac:dyDescent="0.3">
      <c r="A57" s="1"/>
      <c r="B57" s="1"/>
      <c r="C57" s="1"/>
      <c r="D57" s="1"/>
      <c r="E57" s="1"/>
      <c r="F57" s="1"/>
      <c r="G57" s="1"/>
      <c r="H57" s="1"/>
      <c r="I57" s="1"/>
      <c r="J57" s="1"/>
      <c r="K57" s="1"/>
      <c r="L57" s="1"/>
      <c r="M57" s="1"/>
      <c r="N57" s="1"/>
      <c r="O57" s="1"/>
      <c r="P57" s="31"/>
      <c r="Q57" s="32"/>
      <c r="R57" s="368" t="s">
        <v>146</v>
      </c>
      <c r="S57" s="368"/>
      <c r="T57" s="368"/>
      <c r="U57" s="158">
        <f>-10*LOG('Backend Data'!D34)</f>
        <v>0.22825214260717014</v>
      </c>
      <c r="V57" s="67" t="s">
        <v>38</v>
      </c>
      <c r="W57" s="67"/>
      <c r="X57" s="64"/>
      <c r="Y57" s="64"/>
      <c r="Z57" s="64"/>
      <c r="AA57" s="32"/>
      <c r="AB57" s="33"/>
      <c r="AC57" s="7"/>
      <c r="AD57" s="7"/>
      <c r="AE57" s="7"/>
      <c r="AF57" s="7"/>
      <c r="AG57" s="7"/>
      <c r="AH57" s="7"/>
      <c r="AI57" s="7"/>
      <c r="AJ57" s="7"/>
      <c r="AK57" s="7"/>
      <c r="AL57" s="7"/>
      <c r="AM57" s="7"/>
      <c r="AN57" s="7"/>
      <c r="AO57" s="7"/>
      <c r="AP57" s="7"/>
      <c r="AQ57" s="7"/>
    </row>
    <row r="58" spans="1:43" x14ac:dyDescent="0.3">
      <c r="A58" s="1"/>
      <c r="B58" s="1"/>
      <c r="C58" s="1"/>
      <c r="D58" s="1"/>
      <c r="E58" s="1"/>
      <c r="F58" s="1"/>
      <c r="G58" s="1"/>
      <c r="H58" s="1"/>
      <c r="I58" s="1"/>
      <c r="J58" s="1"/>
      <c r="K58" s="1"/>
      <c r="L58" s="1"/>
      <c r="M58" s="1"/>
      <c r="N58" s="1"/>
      <c r="O58" s="1"/>
      <c r="P58" s="31"/>
      <c r="Q58" s="32"/>
      <c r="R58" s="61"/>
      <c r="S58" s="61"/>
      <c r="T58" s="61"/>
      <c r="U58" s="61"/>
      <c r="V58" s="61"/>
      <c r="W58" s="61"/>
      <c r="X58" s="64"/>
      <c r="Y58" s="64"/>
      <c r="Z58" s="64"/>
      <c r="AA58" s="32"/>
      <c r="AB58" s="33"/>
      <c r="AC58" s="7"/>
      <c r="AD58" s="7"/>
      <c r="AE58" s="7"/>
      <c r="AF58" s="7"/>
      <c r="AG58" s="7"/>
      <c r="AH58" s="7"/>
      <c r="AI58" s="7"/>
      <c r="AJ58" s="7"/>
      <c r="AK58" s="7"/>
      <c r="AL58" s="7"/>
      <c r="AM58" s="7"/>
      <c r="AN58" s="7"/>
      <c r="AO58" s="7"/>
      <c r="AP58" s="7"/>
      <c r="AQ58" s="7"/>
    </row>
    <row r="59" spans="1:43" x14ac:dyDescent="0.3">
      <c r="A59" s="1"/>
      <c r="B59" s="1"/>
      <c r="C59" s="1"/>
      <c r="D59" s="1"/>
      <c r="E59" s="1"/>
      <c r="F59" s="1"/>
      <c r="G59" s="1"/>
      <c r="H59" s="1"/>
      <c r="I59" s="1"/>
      <c r="J59" s="1"/>
      <c r="K59" s="1"/>
      <c r="L59" s="1"/>
      <c r="M59" s="1"/>
      <c r="N59" s="1"/>
      <c r="O59" s="1"/>
      <c r="P59" s="31"/>
      <c r="Q59" s="32"/>
      <c r="R59" s="370" t="s">
        <v>147</v>
      </c>
      <c r="S59" s="370"/>
      <c r="T59" s="370"/>
      <c r="U59" s="370"/>
      <c r="V59" s="61"/>
      <c r="W59" s="61"/>
      <c r="X59" s="64"/>
      <c r="Y59" s="64"/>
      <c r="Z59" s="64"/>
      <c r="AA59" s="32"/>
      <c r="AB59" s="33"/>
      <c r="AC59" s="7"/>
      <c r="AD59" s="7"/>
      <c r="AE59" s="7"/>
      <c r="AF59" s="7"/>
      <c r="AG59" s="7"/>
      <c r="AH59" s="7"/>
      <c r="AI59" s="7"/>
      <c r="AJ59" s="7"/>
      <c r="AK59" s="7"/>
      <c r="AL59" s="7"/>
      <c r="AM59" s="7"/>
      <c r="AN59" s="7"/>
      <c r="AO59" s="7"/>
      <c r="AP59" s="7"/>
      <c r="AQ59" s="7"/>
    </row>
    <row r="60" spans="1:43" x14ac:dyDescent="0.3">
      <c r="A60" s="1"/>
      <c r="B60" s="1"/>
      <c r="C60" s="1"/>
      <c r="D60" s="1"/>
      <c r="E60" s="1"/>
      <c r="F60" s="1"/>
      <c r="G60" s="1"/>
      <c r="H60" s="1"/>
      <c r="I60" s="1"/>
      <c r="J60" s="1"/>
      <c r="K60" s="1"/>
      <c r="L60" s="1"/>
      <c r="M60" s="1"/>
      <c r="N60" s="1"/>
      <c r="O60" s="1"/>
      <c r="P60" s="31"/>
      <c r="Q60" s="32"/>
      <c r="R60" s="371" t="s">
        <v>148</v>
      </c>
      <c r="S60" s="371"/>
      <c r="T60" s="371"/>
      <c r="U60" s="204">
        <f>10*LOG10(1-'Backend Data'!D34)</f>
        <v>-12.907320722611759</v>
      </c>
      <c r="V60" s="61" t="s">
        <v>38</v>
      </c>
      <c r="W60" s="61"/>
      <c r="X60" s="64"/>
      <c r="Y60" s="64"/>
      <c r="Z60" s="64"/>
      <c r="AA60" s="32"/>
      <c r="AB60" s="33"/>
      <c r="AC60" s="7"/>
      <c r="AD60" s="7"/>
      <c r="AE60" s="7"/>
      <c r="AF60" s="7"/>
      <c r="AG60" s="7"/>
      <c r="AH60" s="7"/>
      <c r="AI60" s="7"/>
      <c r="AJ60" s="7"/>
      <c r="AK60" s="7"/>
      <c r="AL60" s="7"/>
      <c r="AM60" s="7"/>
      <c r="AN60" s="7"/>
      <c r="AO60" s="7"/>
      <c r="AP60" s="7"/>
      <c r="AQ60" s="7"/>
    </row>
    <row r="61" spans="1:43" x14ac:dyDescent="0.3">
      <c r="A61" s="1"/>
      <c r="B61" s="1"/>
      <c r="C61" s="1"/>
      <c r="D61" s="1"/>
      <c r="E61" s="1"/>
      <c r="F61" s="1"/>
      <c r="G61" s="1"/>
      <c r="H61" s="1"/>
      <c r="I61" s="1"/>
      <c r="J61" s="1"/>
      <c r="K61" s="1"/>
      <c r="L61" s="1"/>
      <c r="M61" s="1"/>
      <c r="N61" s="1"/>
      <c r="O61" s="1"/>
      <c r="P61" s="31"/>
      <c r="Q61" s="32"/>
      <c r="R61" s="371" t="s">
        <v>149</v>
      </c>
      <c r="S61" s="371"/>
      <c r="T61" s="371"/>
      <c r="U61" s="158">
        <f>U57-U60</f>
        <v>13.135572865218929</v>
      </c>
      <c r="V61" s="61" t="s">
        <v>38</v>
      </c>
      <c r="W61" s="61"/>
      <c r="X61" s="64"/>
      <c r="Y61" s="64"/>
      <c r="Z61" s="64"/>
      <c r="AA61" s="32"/>
      <c r="AB61" s="33"/>
      <c r="AC61" s="7"/>
      <c r="AD61" s="7"/>
      <c r="AE61" s="7"/>
      <c r="AF61" s="7"/>
      <c r="AG61" s="7"/>
      <c r="AH61" s="7"/>
      <c r="AI61" s="7"/>
      <c r="AJ61" s="7"/>
      <c r="AK61" s="7"/>
      <c r="AL61" s="7"/>
      <c r="AM61" s="7"/>
      <c r="AN61" s="7"/>
      <c r="AO61" s="7"/>
      <c r="AP61" s="7"/>
      <c r="AQ61" s="7"/>
    </row>
    <row r="62" spans="1:43" x14ac:dyDescent="0.3">
      <c r="A62" s="1"/>
      <c r="B62" s="1"/>
      <c r="C62" s="1"/>
      <c r="D62" s="1"/>
      <c r="E62" s="1"/>
      <c r="F62" s="1"/>
      <c r="G62" s="1"/>
      <c r="H62" s="1"/>
      <c r="I62" s="1"/>
      <c r="J62" s="1"/>
      <c r="K62" s="1"/>
      <c r="L62" s="1"/>
      <c r="M62" s="1"/>
      <c r="N62" s="1"/>
      <c r="O62" s="1"/>
      <c r="P62" s="31"/>
      <c r="Q62" s="32"/>
      <c r="R62" s="61"/>
      <c r="S62" s="61"/>
      <c r="T62" s="61"/>
      <c r="U62" s="61"/>
      <c r="V62" s="61"/>
      <c r="W62" s="61"/>
      <c r="X62" s="68"/>
      <c r="Y62" s="68"/>
      <c r="Z62" s="68"/>
      <c r="AA62" s="32"/>
      <c r="AB62" s="33"/>
      <c r="AC62" s="7"/>
      <c r="AD62" s="7"/>
      <c r="AE62" s="7"/>
      <c r="AF62" s="7"/>
      <c r="AG62" s="7"/>
      <c r="AH62" s="7"/>
      <c r="AI62" s="7"/>
      <c r="AJ62" s="7"/>
      <c r="AK62" s="7"/>
      <c r="AL62" s="7"/>
      <c r="AM62" s="7"/>
      <c r="AN62" s="7"/>
      <c r="AO62" s="7"/>
      <c r="AP62" s="7"/>
      <c r="AQ62" s="7"/>
    </row>
    <row r="63" spans="1:43" ht="15" thickBot="1" x14ac:dyDescent="0.35">
      <c r="A63" s="1"/>
      <c r="B63" s="1"/>
      <c r="C63" s="1"/>
      <c r="D63" s="1"/>
      <c r="E63" s="1"/>
      <c r="F63" s="1"/>
      <c r="G63" s="1"/>
      <c r="H63" s="1"/>
      <c r="I63" s="1"/>
      <c r="J63" s="1"/>
      <c r="K63" s="1"/>
      <c r="L63" s="1"/>
      <c r="M63" s="1"/>
      <c r="N63" s="1"/>
      <c r="O63" s="1"/>
      <c r="P63" s="34"/>
      <c r="Q63" s="35"/>
      <c r="R63" s="69"/>
      <c r="S63" s="69"/>
      <c r="T63" s="69"/>
      <c r="U63" s="69"/>
      <c r="V63" s="35"/>
      <c r="W63" s="70"/>
      <c r="X63" s="70"/>
      <c r="Y63" s="70"/>
      <c r="Z63" s="70"/>
      <c r="AA63" s="35"/>
      <c r="AB63" s="36"/>
      <c r="AC63" s="30"/>
      <c r="AD63" s="7"/>
      <c r="AE63" s="7"/>
      <c r="AF63" s="7"/>
      <c r="AG63" s="7"/>
      <c r="AH63" s="7"/>
      <c r="AI63" s="7"/>
      <c r="AJ63" s="7"/>
      <c r="AK63" s="7"/>
      <c r="AL63" s="7"/>
      <c r="AM63" s="7"/>
      <c r="AN63" s="7"/>
      <c r="AO63" s="7"/>
      <c r="AP63" s="7"/>
      <c r="AQ63" s="7"/>
    </row>
    <row r="64" spans="1:43" ht="30.6" thickBot="1" x14ac:dyDescent="0.35">
      <c r="A64" s="1"/>
      <c r="B64" s="1"/>
      <c r="C64" s="1"/>
      <c r="D64" s="1"/>
      <c r="E64" s="1"/>
      <c r="F64" s="1"/>
      <c r="G64" s="1"/>
      <c r="H64" s="1"/>
      <c r="I64" s="1"/>
      <c r="J64" s="1"/>
      <c r="K64" s="1"/>
      <c r="L64" s="1"/>
      <c r="M64" s="1"/>
      <c r="N64" s="1"/>
      <c r="O64" s="1"/>
      <c r="P64" s="71"/>
      <c r="Q64" s="71"/>
      <c r="R64" s="71"/>
      <c r="S64" s="71"/>
      <c r="T64" s="71"/>
      <c r="U64" s="71"/>
      <c r="V64" s="71"/>
      <c r="W64" s="71"/>
      <c r="X64" s="71"/>
      <c r="Y64" s="71"/>
      <c r="Z64" s="71"/>
      <c r="AA64" s="71"/>
      <c r="AB64" s="71"/>
      <c r="AC64" s="7"/>
      <c r="AD64" s="7"/>
      <c r="AE64" s="7"/>
      <c r="AF64" s="7"/>
      <c r="AG64" s="7"/>
      <c r="AH64" s="7"/>
      <c r="AI64" s="7"/>
      <c r="AJ64" s="7"/>
      <c r="AK64" s="7"/>
      <c r="AL64" s="7"/>
      <c r="AM64" s="7"/>
      <c r="AN64" s="7"/>
      <c r="AO64" s="7"/>
      <c r="AP64" s="7"/>
      <c r="AQ64" s="7"/>
    </row>
    <row r="65" spans="1:43" x14ac:dyDescent="0.3">
      <c r="A65" s="1"/>
      <c r="B65" s="1"/>
      <c r="C65" s="1"/>
      <c r="D65" s="1"/>
      <c r="E65" s="1"/>
      <c r="F65" s="1"/>
      <c r="G65" s="1"/>
      <c r="H65" s="1"/>
      <c r="I65" s="1"/>
      <c r="J65" s="1"/>
      <c r="K65" s="1"/>
      <c r="L65" s="1"/>
      <c r="M65" s="1"/>
      <c r="N65" s="1"/>
      <c r="O65" s="1"/>
      <c r="P65" s="37"/>
      <c r="Q65" s="38"/>
      <c r="R65" s="38"/>
      <c r="S65" s="38"/>
      <c r="T65" s="38"/>
      <c r="U65" s="38"/>
      <c r="V65" s="38"/>
      <c r="W65" s="38"/>
      <c r="X65" s="38"/>
      <c r="Y65" s="38"/>
      <c r="Z65" s="38"/>
      <c r="AA65" s="38"/>
      <c r="AB65" s="39"/>
      <c r="AC65" s="1"/>
      <c r="AD65" s="1"/>
      <c r="AE65" s="1"/>
      <c r="AF65" s="1"/>
      <c r="AG65" s="1"/>
      <c r="AH65" s="1"/>
      <c r="AI65" s="1"/>
      <c r="AJ65" s="1"/>
      <c r="AK65" s="1"/>
      <c r="AL65" s="1"/>
      <c r="AM65" s="1"/>
      <c r="AN65" s="1"/>
      <c r="AO65" s="1"/>
      <c r="AP65" s="1"/>
      <c r="AQ65" s="1"/>
    </row>
    <row r="66" spans="1:43" ht="15" thickBot="1" x14ac:dyDescent="0.35">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1"/>
      <c r="AD66" s="1"/>
      <c r="AE66" s="1"/>
      <c r="AF66" s="1"/>
      <c r="AG66" s="1"/>
      <c r="AH66" s="1"/>
      <c r="AI66" s="1"/>
      <c r="AJ66" s="1"/>
      <c r="AK66" s="1"/>
      <c r="AL66" s="1"/>
      <c r="AM66" s="1"/>
      <c r="AN66" s="1"/>
      <c r="AO66" s="1"/>
      <c r="AP66" s="1"/>
      <c r="AQ66" s="1"/>
    </row>
    <row r="67" spans="1:43" ht="30.6" thickBot="1" x14ac:dyDescent="0.35">
      <c r="A67" s="1"/>
      <c r="B67" s="1"/>
      <c r="C67" s="1"/>
      <c r="D67" s="1"/>
      <c r="E67" s="1"/>
      <c r="F67" s="1"/>
      <c r="G67" s="1"/>
      <c r="H67" s="1"/>
      <c r="I67" s="1"/>
      <c r="J67" s="1"/>
      <c r="K67" s="1"/>
      <c r="L67" s="1"/>
      <c r="M67" s="1"/>
      <c r="N67" s="1"/>
      <c r="O67" s="1"/>
      <c r="P67" s="40"/>
      <c r="Q67" s="41"/>
      <c r="R67" s="293" t="s">
        <v>150</v>
      </c>
      <c r="S67" s="294"/>
      <c r="T67" s="294"/>
      <c r="U67" s="294"/>
      <c r="V67" s="294"/>
      <c r="W67" s="294"/>
      <c r="X67" s="294"/>
      <c r="Y67" s="294"/>
      <c r="Z67" s="295"/>
      <c r="AA67" s="41"/>
      <c r="AB67" s="42"/>
      <c r="AC67" s="1"/>
      <c r="AD67" s="1"/>
      <c r="AE67" s="1"/>
      <c r="AF67" s="1"/>
      <c r="AG67" s="1"/>
      <c r="AH67" s="1"/>
      <c r="AI67" s="1"/>
      <c r="AJ67" s="1"/>
      <c r="AK67" s="1"/>
      <c r="AL67" s="1"/>
      <c r="AM67" s="1"/>
      <c r="AN67" s="1"/>
      <c r="AO67" s="1"/>
      <c r="AP67" s="1"/>
      <c r="AQ67" s="1"/>
    </row>
    <row r="68" spans="1:43" ht="15.45" customHeight="1" x14ac:dyDescent="0.3">
      <c r="A68" s="1"/>
      <c r="B68" s="1"/>
      <c r="C68" s="1"/>
      <c r="D68" s="1"/>
      <c r="E68" s="1"/>
      <c r="F68" s="1"/>
      <c r="G68" s="1"/>
      <c r="H68" s="1"/>
      <c r="I68" s="1"/>
      <c r="J68" s="1"/>
      <c r="K68" s="1"/>
      <c r="L68" s="1"/>
      <c r="M68" s="1"/>
      <c r="N68" s="1"/>
      <c r="O68" s="1"/>
      <c r="P68" s="40"/>
      <c r="Q68" s="41"/>
      <c r="R68" s="72"/>
      <c r="S68" s="72"/>
      <c r="T68" s="72"/>
      <c r="U68" s="72"/>
      <c r="V68" s="72"/>
      <c r="W68" s="72"/>
      <c r="X68" s="72"/>
      <c r="Y68" s="72"/>
      <c r="Z68" s="72"/>
      <c r="AA68" s="41"/>
      <c r="AB68" s="42"/>
      <c r="AC68" s="1"/>
      <c r="AD68" s="1"/>
      <c r="AE68" s="1"/>
      <c r="AF68" s="1"/>
      <c r="AG68" s="1"/>
      <c r="AH68" s="1"/>
      <c r="AI68" s="1"/>
      <c r="AJ68" s="1"/>
      <c r="AK68" s="1"/>
      <c r="AL68" s="1"/>
      <c r="AM68" s="1"/>
      <c r="AN68" s="1"/>
      <c r="AO68" s="1"/>
      <c r="AP68" s="1"/>
      <c r="AQ68" s="1"/>
    </row>
    <row r="69" spans="1:43" ht="15.45" customHeight="1" x14ac:dyDescent="0.3">
      <c r="A69" s="1"/>
      <c r="B69" s="1"/>
      <c r="C69" s="1"/>
      <c r="D69" s="1"/>
      <c r="E69" s="1"/>
      <c r="F69" s="1"/>
      <c r="G69" s="1"/>
      <c r="H69" s="1"/>
      <c r="I69" s="1"/>
      <c r="J69" s="1"/>
      <c r="K69" s="1"/>
      <c r="L69" s="1"/>
      <c r="M69" s="1"/>
      <c r="N69" s="1"/>
      <c r="O69" s="1"/>
      <c r="P69" s="40"/>
      <c r="Q69" s="41"/>
      <c r="R69" s="41"/>
      <c r="S69" s="41"/>
      <c r="T69" s="41"/>
      <c r="U69" s="41"/>
      <c r="V69" s="72"/>
      <c r="W69" s="72"/>
      <c r="X69" s="72"/>
      <c r="Y69" s="72"/>
      <c r="Z69" s="72"/>
      <c r="AA69" s="41"/>
      <c r="AB69" s="42"/>
      <c r="AC69" s="1"/>
      <c r="AD69" s="1"/>
      <c r="AE69" s="1"/>
      <c r="AF69" s="1"/>
      <c r="AG69" s="1"/>
      <c r="AH69" s="1"/>
      <c r="AI69" s="1"/>
      <c r="AJ69" s="1"/>
      <c r="AK69" s="1"/>
      <c r="AL69" s="1"/>
      <c r="AM69" s="1"/>
      <c r="AN69" s="1"/>
      <c r="AO69" s="1"/>
      <c r="AP69" s="1"/>
      <c r="AQ69" s="1"/>
    </row>
    <row r="70" spans="1:43" ht="15.45" customHeight="1" x14ac:dyDescent="0.3">
      <c r="A70" s="1"/>
      <c r="B70" s="1"/>
      <c r="C70" s="1"/>
      <c r="D70" s="1"/>
      <c r="E70" s="1"/>
      <c r="F70" s="1"/>
      <c r="G70" s="1"/>
      <c r="H70" s="1"/>
      <c r="I70" s="1"/>
      <c r="J70" s="1"/>
      <c r="K70" s="1"/>
      <c r="L70" s="1"/>
      <c r="M70" s="1"/>
      <c r="N70" s="1"/>
      <c r="O70" s="1"/>
      <c r="P70" s="40"/>
      <c r="Q70" s="41"/>
      <c r="R70" s="41"/>
      <c r="S70" s="41"/>
      <c r="T70" s="205"/>
      <c r="U70" s="41"/>
      <c r="V70" s="72"/>
      <c r="W70" s="72"/>
      <c r="X70" s="72"/>
      <c r="Y70" s="72"/>
      <c r="Z70" s="72"/>
      <c r="AA70" s="41"/>
      <c r="AB70" s="42"/>
      <c r="AC70" s="1"/>
      <c r="AD70" s="1"/>
      <c r="AE70" s="1"/>
      <c r="AF70" s="1"/>
      <c r="AG70" s="1"/>
      <c r="AH70" s="1"/>
      <c r="AI70" s="1"/>
      <c r="AJ70" s="1"/>
      <c r="AK70" s="1"/>
      <c r="AL70" s="1"/>
      <c r="AM70" s="1"/>
      <c r="AN70" s="1"/>
      <c r="AO70" s="1"/>
      <c r="AP70" s="1"/>
      <c r="AQ70" s="1"/>
    </row>
    <row r="71" spans="1:43" x14ac:dyDescent="0.3">
      <c r="A71" s="1"/>
      <c r="B71" s="1"/>
      <c r="C71" s="1"/>
      <c r="D71" s="1"/>
      <c r="E71" s="1"/>
      <c r="F71" s="1"/>
      <c r="G71" s="1"/>
      <c r="H71" s="1"/>
      <c r="I71" s="1"/>
      <c r="J71" s="1"/>
      <c r="K71" s="1"/>
      <c r="L71" s="1"/>
      <c r="M71" s="1"/>
      <c r="N71" s="1"/>
      <c r="O71" s="1"/>
      <c r="P71" s="40"/>
      <c r="Q71" s="41"/>
      <c r="R71" s="41"/>
      <c r="S71" s="41"/>
      <c r="T71" s="41"/>
      <c r="U71" s="41"/>
      <c r="V71" s="41"/>
      <c r="W71" s="41"/>
      <c r="X71" s="41"/>
      <c r="Y71" s="41"/>
      <c r="Z71" s="41"/>
      <c r="AA71" s="41"/>
      <c r="AB71" s="42"/>
      <c r="AC71" s="1"/>
      <c r="AD71" s="1"/>
      <c r="AE71" s="1"/>
      <c r="AF71" s="1"/>
      <c r="AG71" s="1"/>
      <c r="AH71" s="1"/>
      <c r="AI71" s="1"/>
      <c r="AJ71" s="1"/>
      <c r="AK71" s="1"/>
      <c r="AL71" s="1"/>
      <c r="AM71" s="1"/>
      <c r="AN71" s="1"/>
      <c r="AO71" s="1"/>
      <c r="AP71" s="1"/>
      <c r="AQ71" s="1"/>
    </row>
    <row r="72" spans="1:43" x14ac:dyDescent="0.3">
      <c r="A72" s="1"/>
      <c r="B72" s="1"/>
      <c r="C72" s="1"/>
      <c r="D72" s="1"/>
      <c r="E72" s="1"/>
      <c r="F72" s="1"/>
      <c r="G72" s="1"/>
      <c r="H72" s="1"/>
      <c r="I72" s="1"/>
      <c r="J72" s="1"/>
      <c r="K72" s="1"/>
      <c r="L72" s="1"/>
      <c r="M72" s="1"/>
      <c r="N72" s="1"/>
      <c r="O72" s="1"/>
      <c r="P72" s="40"/>
      <c r="Q72" s="41"/>
      <c r="R72" s="41"/>
      <c r="S72" s="41"/>
      <c r="T72" s="41"/>
      <c r="U72" s="41"/>
      <c r="V72" s="41"/>
      <c r="W72" s="41"/>
      <c r="X72" s="41"/>
      <c r="Y72" s="41"/>
      <c r="Z72" s="41"/>
      <c r="AA72" s="41"/>
      <c r="AB72" s="42"/>
      <c r="AC72" s="1"/>
      <c r="AD72" s="1"/>
      <c r="AE72" s="1"/>
      <c r="AF72" s="1"/>
      <c r="AG72" s="1"/>
      <c r="AH72" s="1"/>
      <c r="AI72" s="1"/>
      <c r="AJ72" s="1"/>
      <c r="AK72" s="1"/>
      <c r="AL72" s="1"/>
      <c r="AM72" s="1"/>
      <c r="AN72" s="1"/>
      <c r="AO72" s="1"/>
      <c r="AP72" s="1"/>
      <c r="AQ72" s="1"/>
    </row>
    <row r="73" spans="1:43" x14ac:dyDescent="0.3">
      <c r="A73" s="1"/>
      <c r="B73" s="1"/>
      <c r="C73" s="1"/>
      <c r="D73" s="1"/>
      <c r="E73" s="1"/>
      <c r="F73" s="1"/>
      <c r="G73" s="1"/>
      <c r="H73" s="1"/>
      <c r="I73" s="1"/>
      <c r="J73" s="1"/>
      <c r="K73" s="1"/>
      <c r="L73" s="1"/>
      <c r="M73" s="1"/>
      <c r="N73" s="1"/>
      <c r="O73" s="1"/>
      <c r="P73" s="40"/>
      <c r="Q73" s="41"/>
      <c r="R73" s="41" t="s">
        <v>134</v>
      </c>
      <c r="S73" s="41"/>
      <c r="T73" s="41"/>
      <c r="U73" s="41"/>
      <c r="V73" s="41"/>
      <c r="W73" s="41"/>
      <c r="X73" s="41"/>
      <c r="Y73" s="41"/>
      <c r="Z73" s="41"/>
      <c r="AA73" s="41"/>
      <c r="AB73" s="42"/>
      <c r="AC73" s="1"/>
      <c r="AD73" s="1"/>
      <c r="AE73" s="1"/>
      <c r="AF73" s="1"/>
      <c r="AG73" s="1"/>
      <c r="AH73" s="1"/>
      <c r="AI73" s="1"/>
      <c r="AJ73" s="1"/>
      <c r="AK73" s="1"/>
      <c r="AL73" s="1"/>
      <c r="AM73" s="1"/>
      <c r="AN73" s="1"/>
      <c r="AO73" s="1"/>
      <c r="AP73" s="1"/>
      <c r="AQ73" s="1"/>
    </row>
    <row r="74" spans="1:43" x14ac:dyDescent="0.3">
      <c r="A74" s="1"/>
      <c r="B74" s="1"/>
      <c r="C74" s="1"/>
      <c r="D74" s="1"/>
      <c r="E74" s="1"/>
      <c r="F74" s="1"/>
      <c r="G74" s="1"/>
      <c r="H74" s="1"/>
      <c r="I74" s="1"/>
      <c r="J74" s="1"/>
      <c r="K74" s="1"/>
      <c r="L74" s="1"/>
      <c r="M74" s="1"/>
      <c r="N74" s="1"/>
      <c r="O74" s="1"/>
      <c r="P74" s="40"/>
      <c r="Q74" s="41"/>
      <c r="R74" s="205" t="s">
        <v>135</v>
      </c>
      <c r="S74" s="41"/>
      <c r="T74" s="41"/>
      <c r="U74" s="41"/>
      <c r="V74" s="41"/>
      <c r="W74" s="41"/>
      <c r="X74" s="41"/>
      <c r="Y74" s="41"/>
      <c r="Z74" s="41"/>
      <c r="AA74" s="41"/>
      <c r="AB74" s="42"/>
      <c r="AC74" s="1"/>
      <c r="AD74" s="1"/>
      <c r="AE74" s="1"/>
      <c r="AF74" s="1"/>
      <c r="AG74" s="1"/>
      <c r="AH74" s="1"/>
      <c r="AI74" s="1"/>
      <c r="AJ74" s="1"/>
      <c r="AK74" s="1"/>
      <c r="AL74" s="1"/>
      <c r="AM74" s="1"/>
      <c r="AN74" s="1"/>
      <c r="AO74" s="1"/>
      <c r="AP74" s="1"/>
      <c r="AQ74" s="1"/>
    </row>
    <row r="75" spans="1:43" x14ac:dyDescent="0.3">
      <c r="A75" s="1"/>
      <c r="B75" s="1"/>
      <c r="C75" s="1"/>
      <c r="D75" s="1"/>
      <c r="E75" s="1"/>
      <c r="F75" s="1"/>
      <c r="G75" s="1"/>
      <c r="H75" s="1"/>
      <c r="I75" s="1"/>
      <c r="J75" s="1"/>
      <c r="K75" s="1"/>
      <c r="L75" s="1"/>
      <c r="M75" s="1"/>
      <c r="N75" s="1"/>
      <c r="O75" s="1"/>
      <c r="P75" s="40"/>
      <c r="Q75" s="41"/>
      <c r="R75" s="205"/>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x14ac:dyDescent="0.3">
      <c r="A76" s="1"/>
      <c r="B76" s="1"/>
      <c r="C76" s="1"/>
      <c r="D76" s="1"/>
      <c r="E76" s="1"/>
      <c r="F76" s="1"/>
      <c r="G76" s="1"/>
      <c r="H76" s="1"/>
      <c r="I76" s="1"/>
      <c r="J76" s="1"/>
      <c r="K76" s="1"/>
      <c r="L76" s="1"/>
      <c r="M76" s="1"/>
      <c r="N76" s="1"/>
      <c r="O76" s="1"/>
      <c r="P76" s="40"/>
      <c r="Q76" s="41"/>
      <c r="R76" s="41"/>
      <c r="S76" s="41"/>
      <c r="T76" s="41"/>
      <c r="U76" s="41"/>
      <c r="V76" s="73"/>
      <c r="W76" s="73"/>
      <c r="X76" s="73"/>
      <c r="Y76" s="73"/>
      <c r="Z76" s="73"/>
      <c r="AA76" s="41"/>
      <c r="AB76" s="42"/>
      <c r="AC76" s="1"/>
      <c r="AD76" s="1"/>
      <c r="AE76" s="1"/>
      <c r="AF76" s="1"/>
      <c r="AG76" s="1"/>
      <c r="AH76" s="1"/>
      <c r="AI76" s="1"/>
      <c r="AJ76" s="1"/>
      <c r="AK76" s="1"/>
      <c r="AL76" s="1"/>
      <c r="AM76" s="1"/>
      <c r="AN76" s="1"/>
      <c r="AO76" s="1"/>
      <c r="AP76" s="1"/>
      <c r="AQ76" s="1"/>
    </row>
    <row r="77" spans="1:43" x14ac:dyDescent="0.3">
      <c r="A77" s="1" t="s">
        <v>67</v>
      </c>
      <c r="B77" s="1"/>
      <c r="C77" s="1"/>
      <c r="D77" s="1"/>
      <c r="E77" s="1"/>
      <c r="F77" s="1"/>
      <c r="G77" s="1"/>
      <c r="H77" s="1"/>
      <c r="I77" s="1"/>
      <c r="J77" s="1"/>
      <c r="K77" s="1"/>
      <c r="L77" s="1"/>
      <c r="M77" s="1"/>
      <c r="N77" s="1"/>
      <c r="O77" s="1"/>
      <c r="P77" s="40"/>
      <c r="Q77" s="41"/>
      <c r="R77" s="41"/>
      <c r="S77" s="41"/>
      <c r="T77" s="41"/>
      <c r="U77" s="41"/>
      <c r="V77" s="41"/>
      <c r="W77" s="41"/>
      <c r="X77" s="41"/>
      <c r="Y77" s="41"/>
      <c r="Z77" s="41"/>
      <c r="AA77" s="41"/>
      <c r="AB77" s="42"/>
      <c r="AC77" s="1"/>
      <c r="AD77" s="1"/>
      <c r="AE77" s="1"/>
      <c r="AF77" s="1"/>
      <c r="AG77" s="1"/>
      <c r="AH77" s="1"/>
      <c r="AI77" s="1"/>
      <c r="AJ77" s="1"/>
      <c r="AK77" s="1"/>
      <c r="AL77" s="1"/>
      <c r="AM77" s="1"/>
      <c r="AN77" s="1"/>
      <c r="AO77" s="1"/>
      <c r="AP77" s="1"/>
      <c r="AQ77" s="1"/>
    </row>
    <row r="78" spans="1:43" x14ac:dyDescent="0.3">
      <c r="A78" s="1"/>
      <c r="B78" s="1"/>
      <c r="C78" s="1"/>
      <c r="D78" s="1"/>
      <c r="E78" s="1"/>
      <c r="F78" s="1"/>
      <c r="G78" s="1"/>
      <c r="H78" s="1"/>
      <c r="I78" s="1"/>
      <c r="J78" s="1"/>
      <c r="K78" s="1"/>
      <c r="L78" s="1"/>
      <c r="M78" s="1"/>
      <c r="N78" s="1"/>
      <c r="O78" s="1"/>
      <c r="P78" s="40"/>
      <c r="Q78" s="41"/>
      <c r="R78" s="41"/>
      <c r="S78" s="41"/>
      <c r="T78" s="41"/>
      <c r="U78" s="41"/>
      <c r="V78" s="336" t="s">
        <v>151</v>
      </c>
      <c r="W78" s="336"/>
      <c r="X78" s="336"/>
      <c r="Y78" s="203">
        <v>20</v>
      </c>
      <c r="Z78" s="41" t="s">
        <v>27</v>
      </c>
      <c r="AA78" s="41"/>
      <c r="AB78" s="42"/>
      <c r="AC78" s="1"/>
      <c r="AD78" s="1"/>
      <c r="AE78" s="1"/>
      <c r="AF78" s="1"/>
      <c r="AG78" s="1"/>
      <c r="AH78" s="1"/>
      <c r="AI78" s="1"/>
      <c r="AJ78" s="1"/>
      <c r="AK78" s="1"/>
      <c r="AL78" s="1"/>
      <c r="AM78" s="1"/>
      <c r="AN78" s="1"/>
      <c r="AO78" s="1"/>
      <c r="AP78" s="1"/>
      <c r="AQ78" s="1"/>
    </row>
    <row r="79" spans="1:43" x14ac:dyDescent="0.3">
      <c r="A79" s="1"/>
      <c r="B79" s="1"/>
      <c r="C79" s="1"/>
      <c r="D79" s="1"/>
      <c r="E79" s="1"/>
      <c r="F79" s="1"/>
      <c r="G79" s="1"/>
      <c r="H79" s="1"/>
      <c r="I79" s="1"/>
      <c r="J79" s="1"/>
      <c r="K79" s="1"/>
      <c r="L79" s="1"/>
      <c r="M79" s="1"/>
      <c r="N79" s="1"/>
      <c r="O79" s="1"/>
      <c r="P79" s="40"/>
      <c r="Q79" s="41"/>
      <c r="R79" s="41"/>
      <c r="S79" s="41"/>
      <c r="T79" s="41"/>
      <c r="U79" s="41"/>
      <c r="V79" s="336" t="s">
        <v>139</v>
      </c>
      <c r="W79" s="336"/>
      <c r="X79" s="336"/>
      <c r="Y79" s="204">
        <v>0.3</v>
      </c>
      <c r="Z79" s="74" t="s">
        <v>38</v>
      </c>
      <c r="AA79" s="41"/>
      <c r="AB79" s="42"/>
      <c r="AC79" s="1"/>
      <c r="AD79" s="1"/>
      <c r="AE79" s="1"/>
      <c r="AF79" s="1"/>
      <c r="AG79" s="1"/>
      <c r="AH79" s="1"/>
      <c r="AI79" s="1"/>
      <c r="AJ79" s="1"/>
      <c r="AK79" s="1"/>
      <c r="AL79" s="1"/>
      <c r="AM79" s="1"/>
      <c r="AN79" s="1"/>
      <c r="AO79" s="1"/>
      <c r="AP79" s="1"/>
      <c r="AQ79" s="1"/>
    </row>
    <row r="80" spans="1:43" x14ac:dyDescent="0.3">
      <c r="A80" s="1"/>
      <c r="B80" s="1"/>
      <c r="C80" s="1"/>
      <c r="D80" s="1"/>
      <c r="E80" s="1"/>
      <c r="F80" s="1"/>
      <c r="G80" s="1"/>
      <c r="H80" s="1"/>
      <c r="I80" s="1"/>
      <c r="J80" s="1"/>
      <c r="K80" s="1"/>
      <c r="L80" s="1"/>
      <c r="M80" s="1"/>
      <c r="N80" s="1"/>
      <c r="O80" s="1"/>
      <c r="P80" s="40"/>
      <c r="Q80" s="41"/>
      <c r="R80" s="41"/>
      <c r="S80" s="41"/>
      <c r="T80" s="41"/>
      <c r="U80" s="41"/>
      <c r="V80" s="336" t="s">
        <v>152</v>
      </c>
      <c r="W80" s="336"/>
      <c r="X80" s="336"/>
      <c r="Y80" s="203">
        <v>5</v>
      </c>
      <c r="Z80" s="41" t="s">
        <v>27</v>
      </c>
      <c r="AA80" s="41"/>
      <c r="AB80" s="42"/>
      <c r="AC80" s="1"/>
      <c r="AD80" s="1"/>
      <c r="AE80" s="1"/>
      <c r="AF80" s="1"/>
      <c r="AG80" s="1"/>
      <c r="AH80" s="1"/>
      <c r="AI80" s="1"/>
      <c r="AJ80" s="1"/>
      <c r="AK80" s="1"/>
      <c r="AL80" s="1"/>
      <c r="AM80" s="1"/>
      <c r="AN80" s="1"/>
      <c r="AO80" s="1"/>
      <c r="AP80" s="1"/>
      <c r="AQ80" s="1"/>
    </row>
    <row r="81" spans="1:43" x14ac:dyDescent="0.3">
      <c r="A81" s="1"/>
      <c r="B81" s="1"/>
      <c r="C81" s="1"/>
      <c r="D81" s="1"/>
      <c r="E81" s="1"/>
      <c r="F81" s="1"/>
      <c r="G81" s="1"/>
      <c r="H81" s="1"/>
      <c r="I81" s="1"/>
      <c r="J81" s="1"/>
      <c r="K81" s="1"/>
      <c r="L81" s="1"/>
      <c r="M81" s="1"/>
      <c r="N81" s="1"/>
      <c r="O81" s="1"/>
      <c r="P81" s="40"/>
      <c r="Q81" s="41"/>
      <c r="R81" s="41"/>
      <c r="S81" s="41"/>
      <c r="T81" s="41"/>
      <c r="U81" s="41"/>
      <c r="V81" s="336" t="s">
        <v>137</v>
      </c>
      <c r="W81" s="336"/>
      <c r="X81" s="336"/>
      <c r="Y81" s="204">
        <f>12*((Y80/42)^2)</f>
        <v>0.17006802721088435</v>
      </c>
      <c r="Z81" s="74" t="s">
        <v>38</v>
      </c>
      <c r="AA81" s="41"/>
      <c r="AB81" s="42"/>
      <c r="AC81" s="1"/>
      <c r="AD81" s="1"/>
      <c r="AE81" s="1"/>
      <c r="AF81" s="1"/>
      <c r="AG81" s="1"/>
      <c r="AH81" s="1"/>
      <c r="AI81" s="1"/>
      <c r="AJ81" s="1"/>
      <c r="AK81" s="1">
        <v>233</v>
      </c>
      <c r="AL81" s="1"/>
      <c r="AM81" s="1"/>
      <c r="AN81" s="1"/>
      <c r="AO81" s="1"/>
      <c r="AP81" s="1"/>
      <c r="AQ81" s="1"/>
    </row>
    <row r="82" spans="1:43" x14ac:dyDescent="0.3">
      <c r="A82" s="1"/>
      <c r="B82" s="1"/>
      <c r="C82" s="1"/>
      <c r="D82" s="1"/>
      <c r="E82" s="1"/>
      <c r="F82" s="1"/>
      <c r="G82" s="1"/>
      <c r="H82" s="1"/>
      <c r="I82" s="1"/>
      <c r="J82" s="1"/>
      <c r="K82" s="1"/>
      <c r="L82" s="1"/>
      <c r="M82" s="1"/>
      <c r="N82" s="1"/>
      <c r="O82" s="1"/>
      <c r="P82" s="40"/>
      <c r="Q82" s="41"/>
      <c r="R82" s="41"/>
      <c r="S82" s="41"/>
      <c r="T82" s="41"/>
      <c r="U82" s="41"/>
      <c r="V82" s="336"/>
      <c r="W82" s="336"/>
      <c r="X82" s="336"/>
      <c r="Y82" s="41"/>
      <c r="Z82" s="74"/>
      <c r="AA82" s="41"/>
      <c r="AB82" s="42"/>
      <c r="AC82" s="1"/>
      <c r="AD82" s="1"/>
      <c r="AE82" s="1"/>
      <c r="AF82" s="1"/>
      <c r="AG82" s="1"/>
      <c r="AH82" s="1"/>
      <c r="AI82" s="1"/>
      <c r="AJ82" s="1"/>
      <c r="AK82" s="1"/>
      <c r="AL82" s="1"/>
      <c r="AM82" s="1"/>
      <c r="AN82" s="1"/>
      <c r="AO82" s="1"/>
      <c r="AP82" s="1"/>
      <c r="AQ82" s="1"/>
    </row>
    <row r="83" spans="1:43" x14ac:dyDescent="0.3">
      <c r="A83" s="1"/>
      <c r="B83" s="1"/>
      <c r="C83" s="1"/>
      <c r="D83" s="1"/>
      <c r="E83" s="1"/>
      <c r="F83" s="1"/>
      <c r="G83" s="1"/>
      <c r="H83" s="1"/>
      <c r="I83" s="1"/>
      <c r="J83" s="1"/>
      <c r="K83" s="1"/>
      <c r="L83" s="1"/>
      <c r="M83" s="1"/>
      <c r="N83" s="1"/>
      <c r="O83" s="1"/>
      <c r="P83" s="40"/>
      <c r="Q83" s="41"/>
      <c r="R83" s="41"/>
      <c r="S83" s="41"/>
      <c r="T83" s="41"/>
      <c r="U83" s="41"/>
      <c r="V83" s="41"/>
      <c r="W83" s="41"/>
      <c r="X83" s="41"/>
      <c r="Y83" s="41"/>
      <c r="Z83" s="41"/>
      <c r="AA83" s="41"/>
      <c r="AB83" s="42"/>
      <c r="AC83" s="1"/>
      <c r="AD83" s="1"/>
      <c r="AE83" s="1"/>
      <c r="AF83" s="1"/>
      <c r="AG83" s="1"/>
      <c r="AH83" s="1"/>
      <c r="AI83" s="1"/>
      <c r="AJ83" s="1"/>
      <c r="AK83" s="1"/>
      <c r="AL83" s="1"/>
      <c r="AM83" s="1"/>
      <c r="AN83" s="1"/>
      <c r="AO83" s="1"/>
      <c r="AP83" s="1"/>
      <c r="AQ83" s="1"/>
    </row>
    <row r="84" spans="1:43" x14ac:dyDescent="0.3">
      <c r="A84" s="1"/>
      <c r="B84" s="1"/>
      <c r="C84" s="1"/>
      <c r="D84" s="1"/>
      <c r="E84" s="1"/>
      <c r="F84" s="1"/>
      <c r="G84" s="1"/>
      <c r="H84" s="1"/>
      <c r="I84" s="1"/>
      <c r="J84" s="1"/>
      <c r="K84" s="1"/>
      <c r="L84" s="1"/>
      <c r="M84" s="1"/>
      <c r="N84" s="1"/>
      <c r="O84" s="1"/>
      <c r="P84" s="40"/>
      <c r="Q84" s="41"/>
      <c r="R84" s="41"/>
      <c r="S84" s="41"/>
      <c r="T84" s="41"/>
      <c r="U84" s="41"/>
      <c r="V84" s="41"/>
      <c r="W84" s="41"/>
      <c r="X84" s="41"/>
      <c r="Y84" s="41"/>
      <c r="Z84" s="41"/>
      <c r="AA84" s="41"/>
      <c r="AB84" s="42"/>
      <c r="AC84" s="1"/>
      <c r="AD84" s="1"/>
      <c r="AE84" s="1"/>
      <c r="AF84" s="1"/>
      <c r="AG84" s="1"/>
      <c r="AH84" s="1"/>
      <c r="AI84" s="1"/>
      <c r="AJ84" s="1"/>
      <c r="AK84" s="1"/>
      <c r="AL84" s="1"/>
      <c r="AM84" s="1"/>
      <c r="AN84" s="1"/>
      <c r="AO84" s="1"/>
      <c r="AP84" s="1"/>
      <c r="AQ84" s="1"/>
    </row>
    <row r="85" spans="1:43" x14ac:dyDescent="0.3">
      <c r="A85" s="1"/>
      <c r="B85" s="1"/>
      <c r="C85" s="1"/>
      <c r="D85" s="1"/>
      <c r="E85" s="1"/>
      <c r="F85" s="1"/>
      <c r="G85" s="1"/>
      <c r="H85" s="1"/>
      <c r="I85" s="1"/>
      <c r="J85" s="1"/>
      <c r="K85" s="1"/>
      <c r="L85" s="1"/>
      <c r="M85" s="1"/>
      <c r="N85" s="1"/>
      <c r="O85" s="1"/>
      <c r="P85" s="40"/>
      <c r="Q85" s="41"/>
      <c r="R85" s="41"/>
      <c r="S85" s="41"/>
      <c r="T85" s="41"/>
      <c r="U85" s="41"/>
      <c r="V85" s="41"/>
      <c r="W85" s="41"/>
      <c r="X85" s="41"/>
      <c r="Y85" s="41"/>
      <c r="Z85" s="41"/>
      <c r="AA85" s="41"/>
      <c r="AB85" s="42"/>
      <c r="AC85" s="1"/>
      <c r="AD85" s="1"/>
      <c r="AE85" s="1"/>
      <c r="AF85" s="1"/>
      <c r="AG85" s="1"/>
      <c r="AH85" s="1"/>
      <c r="AI85" s="1"/>
      <c r="AJ85" s="1"/>
      <c r="AK85" s="1"/>
      <c r="AL85" s="1"/>
      <c r="AM85" s="1"/>
      <c r="AN85" s="1"/>
      <c r="AO85" s="1"/>
      <c r="AP85" s="1"/>
      <c r="AQ85" s="1"/>
    </row>
    <row r="86" spans="1:43" x14ac:dyDescent="0.3">
      <c r="A86" s="1"/>
      <c r="B86" s="1"/>
      <c r="C86" s="1"/>
      <c r="D86" s="1"/>
      <c r="E86" s="1"/>
      <c r="F86" s="1"/>
      <c r="G86" s="1"/>
      <c r="H86" s="1"/>
      <c r="I86" s="1"/>
      <c r="J86" s="1"/>
      <c r="K86" s="1"/>
      <c r="L86" s="1"/>
      <c r="M86" s="1"/>
      <c r="N86" s="1"/>
      <c r="O86" s="1"/>
      <c r="P86" s="40"/>
      <c r="Q86" s="41"/>
      <c r="R86" s="41"/>
      <c r="S86" s="41"/>
      <c r="T86" s="41"/>
      <c r="U86" s="41"/>
      <c r="V86" s="41"/>
      <c r="W86" s="41"/>
      <c r="X86" s="41"/>
      <c r="Y86" s="41"/>
      <c r="Z86" s="41"/>
      <c r="AA86" s="41"/>
      <c r="AB86" s="42"/>
      <c r="AC86" s="1"/>
      <c r="AD86" s="1"/>
      <c r="AE86" s="1"/>
      <c r="AF86" s="1"/>
      <c r="AG86" s="1"/>
      <c r="AH86" s="1"/>
      <c r="AI86" s="1"/>
      <c r="AJ86" s="1"/>
      <c r="AK86" s="1"/>
      <c r="AL86" s="1"/>
      <c r="AM86" s="1"/>
      <c r="AN86" s="1"/>
      <c r="AO86" s="1"/>
      <c r="AP86" s="1"/>
      <c r="AQ86" s="1"/>
    </row>
    <row r="87" spans="1:43" x14ac:dyDescent="0.3">
      <c r="A87" s="1"/>
      <c r="B87" s="1"/>
      <c r="C87" s="1"/>
      <c r="D87" s="1"/>
      <c r="E87" s="1"/>
      <c r="F87" s="1"/>
      <c r="G87" s="1"/>
      <c r="H87" s="1"/>
      <c r="I87" s="1"/>
      <c r="J87" s="1"/>
      <c r="K87" s="1"/>
      <c r="L87" s="1"/>
      <c r="M87" s="1"/>
      <c r="N87" s="1"/>
      <c r="O87" s="1"/>
      <c r="P87" s="40"/>
      <c r="Q87" s="41"/>
      <c r="R87" s="41"/>
      <c r="S87" s="41"/>
      <c r="T87" s="41"/>
      <c r="U87" s="41"/>
      <c r="V87" s="41"/>
      <c r="W87" s="41"/>
      <c r="X87" s="41"/>
      <c r="Y87" s="41"/>
      <c r="Z87" s="41"/>
      <c r="AA87" s="41"/>
      <c r="AB87" s="42"/>
      <c r="AC87" s="1"/>
      <c r="AD87" s="1"/>
      <c r="AE87" s="1"/>
      <c r="AF87" s="1"/>
      <c r="AG87" s="1"/>
      <c r="AH87" s="1"/>
      <c r="AI87" s="1"/>
      <c r="AJ87" s="1"/>
      <c r="AK87" s="1"/>
      <c r="AL87" s="1"/>
      <c r="AM87" s="1"/>
      <c r="AN87" s="1"/>
      <c r="AO87" s="1"/>
      <c r="AP87" s="1"/>
      <c r="AQ87" s="1"/>
    </row>
    <row r="88" spans="1:43" x14ac:dyDescent="0.3">
      <c r="A88" s="1"/>
      <c r="B88" s="1"/>
      <c r="C88" s="1"/>
      <c r="D88" s="1"/>
      <c r="E88" s="1"/>
      <c r="F88" s="1"/>
      <c r="G88" s="1"/>
      <c r="H88" s="1"/>
      <c r="I88" s="1"/>
      <c r="J88" s="1"/>
      <c r="K88" s="1"/>
      <c r="L88" s="1"/>
      <c r="M88" s="1"/>
      <c r="N88" s="1"/>
      <c r="O88" s="1"/>
      <c r="P88" s="40"/>
      <c r="Q88" s="41"/>
      <c r="R88" s="205" t="s">
        <v>140</v>
      </c>
      <c r="S88" s="41"/>
      <c r="T88" s="41"/>
      <c r="U88" s="41"/>
      <c r="V88" s="41"/>
      <c r="W88" s="41"/>
      <c r="X88" s="41"/>
      <c r="Y88" s="41"/>
      <c r="Z88" s="41"/>
      <c r="AA88" s="41"/>
      <c r="AB88" s="42"/>
      <c r="AC88" s="1"/>
      <c r="AD88" s="1"/>
      <c r="AE88" s="1"/>
      <c r="AF88" s="1"/>
      <c r="AG88" s="1"/>
      <c r="AH88" s="1"/>
      <c r="AI88" s="1"/>
      <c r="AJ88" s="1"/>
      <c r="AK88" s="1"/>
      <c r="AL88" s="1"/>
      <c r="AM88" s="1"/>
      <c r="AN88" s="1"/>
      <c r="AO88" s="1"/>
      <c r="AP88" s="1"/>
      <c r="AQ88" s="1"/>
    </row>
    <row r="89" spans="1:43" x14ac:dyDescent="0.3">
      <c r="A89" s="1"/>
      <c r="B89" s="1"/>
      <c r="C89" s="1"/>
      <c r="D89" s="1"/>
      <c r="E89" s="1"/>
      <c r="F89" s="1"/>
      <c r="G89" s="1"/>
      <c r="H89" s="1"/>
      <c r="I89" s="1"/>
      <c r="J89" s="1"/>
      <c r="K89" s="1"/>
      <c r="L89" s="1"/>
      <c r="M89" s="1"/>
      <c r="N89" s="1"/>
      <c r="O89" s="1"/>
      <c r="P89" s="40"/>
      <c r="Q89" s="41"/>
      <c r="R89" s="41" t="s">
        <v>135</v>
      </c>
      <c r="S89" s="41"/>
      <c r="T89" s="41"/>
      <c r="U89" s="41"/>
      <c r="V89" s="41"/>
      <c r="W89" s="41"/>
      <c r="X89" s="41"/>
      <c r="Y89" s="41"/>
      <c r="Z89" s="41"/>
      <c r="AA89" s="41"/>
      <c r="AB89" s="42"/>
      <c r="AC89" s="1"/>
      <c r="AD89" s="1"/>
      <c r="AE89" s="1"/>
      <c r="AF89" s="1"/>
      <c r="AG89" s="1"/>
      <c r="AH89" s="1"/>
      <c r="AI89" s="1"/>
      <c r="AJ89" s="1"/>
      <c r="AK89" s="1"/>
      <c r="AL89" s="1"/>
      <c r="AM89" s="1"/>
      <c r="AN89" s="1"/>
      <c r="AO89" s="1"/>
      <c r="AP89" s="1"/>
      <c r="AQ89" s="1"/>
    </row>
    <row r="90" spans="1:43" x14ac:dyDescent="0.3">
      <c r="A90" s="1"/>
      <c r="B90" s="1"/>
      <c r="C90" s="1"/>
      <c r="D90" s="1"/>
      <c r="E90" s="1"/>
      <c r="F90" s="1"/>
      <c r="G90" s="1"/>
      <c r="H90" s="1"/>
      <c r="I90" s="1"/>
      <c r="J90" s="1"/>
      <c r="K90" s="1"/>
      <c r="L90" s="1"/>
      <c r="M90" s="1"/>
      <c r="N90" s="1"/>
      <c r="O90" s="1"/>
      <c r="P90" s="40"/>
      <c r="Q90" s="41"/>
      <c r="R90" s="205"/>
      <c r="S90" s="41"/>
      <c r="T90" s="41"/>
      <c r="U90" s="41"/>
      <c r="V90" s="73"/>
      <c r="W90" s="73"/>
      <c r="X90" s="73"/>
      <c r="Y90" s="73"/>
      <c r="Z90" s="73"/>
      <c r="AA90" s="41"/>
      <c r="AB90" s="42"/>
      <c r="AC90" s="1"/>
      <c r="AD90" s="1"/>
      <c r="AE90" s="1"/>
      <c r="AF90" s="1"/>
      <c r="AG90" s="1"/>
      <c r="AH90" s="1"/>
      <c r="AI90" s="1"/>
      <c r="AJ90" s="1"/>
      <c r="AK90" s="1"/>
      <c r="AL90" s="1"/>
      <c r="AM90" s="1"/>
      <c r="AN90" s="1"/>
      <c r="AO90" s="1"/>
      <c r="AP90" s="1"/>
      <c r="AQ90" s="1"/>
    </row>
    <row r="91" spans="1:43" ht="15.45" customHeight="1" x14ac:dyDescent="0.3">
      <c r="A91" s="1"/>
      <c r="B91" s="1"/>
      <c r="C91" s="1"/>
      <c r="D91" s="1"/>
      <c r="E91" s="1"/>
      <c r="F91" s="1"/>
      <c r="G91" s="1"/>
      <c r="H91" s="1"/>
      <c r="I91" s="1"/>
      <c r="J91" s="1"/>
      <c r="K91" s="1"/>
      <c r="L91" s="1"/>
      <c r="M91" s="1"/>
      <c r="N91" s="1"/>
      <c r="O91" s="1"/>
      <c r="P91" s="40"/>
      <c r="Q91" s="41"/>
      <c r="R91" s="72"/>
      <c r="S91" s="72"/>
      <c r="T91" s="72"/>
      <c r="U91" s="72"/>
      <c r="V91" s="72"/>
      <c r="W91" s="72"/>
      <c r="X91" s="72"/>
      <c r="Y91" s="72"/>
      <c r="Z91" s="72"/>
      <c r="AA91" s="41"/>
      <c r="AB91" s="42"/>
      <c r="AC91" s="1"/>
      <c r="AD91" s="1"/>
      <c r="AE91" s="1"/>
      <c r="AF91" s="1"/>
      <c r="AG91" s="1"/>
      <c r="AH91" s="1"/>
      <c r="AI91" s="1"/>
      <c r="AJ91" s="1"/>
      <c r="AK91" s="1"/>
      <c r="AL91" s="1"/>
      <c r="AM91" s="1"/>
      <c r="AN91" s="1"/>
      <c r="AO91" s="1"/>
      <c r="AP91" s="1"/>
      <c r="AQ91" s="1"/>
    </row>
    <row r="92" spans="1:43" ht="15.45" customHeight="1" thickBot="1" x14ac:dyDescent="0.35">
      <c r="A92" s="1"/>
      <c r="B92" s="1"/>
      <c r="C92" s="1"/>
      <c r="D92" s="1"/>
      <c r="E92" s="1"/>
      <c r="F92" s="1"/>
      <c r="G92" s="1"/>
      <c r="H92" s="1"/>
      <c r="I92" s="1"/>
      <c r="J92" s="1"/>
      <c r="K92" s="1"/>
      <c r="L92" s="1"/>
      <c r="M92" s="1"/>
      <c r="N92" s="1"/>
      <c r="O92" s="1"/>
      <c r="P92" s="40"/>
      <c r="Q92" s="41"/>
      <c r="R92" s="72"/>
      <c r="S92" s="72"/>
      <c r="T92" s="72"/>
      <c r="U92" s="72"/>
      <c r="V92" s="72"/>
      <c r="W92" s="72"/>
      <c r="X92" s="72"/>
      <c r="Y92" s="72"/>
      <c r="Z92" s="72"/>
      <c r="AA92" s="41"/>
      <c r="AB92" s="42"/>
      <c r="AC92" s="1"/>
      <c r="AD92" s="1"/>
      <c r="AE92" s="1"/>
      <c r="AF92" s="1"/>
      <c r="AG92" s="1"/>
      <c r="AH92" s="1"/>
      <c r="AI92" s="1"/>
      <c r="AJ92" s="1"/>
      <c r="AK92" s="1"/>
      <c r="AL92" s="1"/>
      <c r="AM92" s="1"/>
      <c r="AN92" s="1"/>
      <c r="AO92" s="1"/>
      <c r="AP92" s="1"/>
      <c r="AQ92" s="1"/>
    </row>
    <row r="93" spans="1:43" ht="30.6" thickBot="1" x14ac:dyDescent="0.35">
      <c r="A93" s="1"/>
      <c r="B93" s="1"/>
      <c r="C93" s="1"/>
      <c r="D93" s="1"/>
      <c r="E93" s="1"/>
      <c r="F93" s="1"/>
      <c r="G93" s="1"/>
      <c r="H93" s="1"/>
      <c r="I93" s="1"/>
      <c r="J93" s="1"/>
      <c r="K93" s="1"/>
      <c r="L93" s="1"/>
      <c r="M93" s="1"/>
      <c r="N93" s="1"/>
      <c r="O93" s="1"/>
      <c r="P93" s="40"/>
      <c r="Q93" s="41"/>
      <c r="R93" s="293" t="s">
        <v>153</v>
      </c>
      <c r="S93" s="294"/>
      <c r="T93" s="294"/>
      <c r="U93" s="294"/>
      <c r="V93" s="294"/>
      <c r="W93" s="294"/>
      <c r="X93" s="294"/>
      <c r="Y93" s="294"/>
      <c r="Z93" s="295"/>
      <c r="AA93" s="41"/>
      <c r="AB93" s="42"/>
      <c r="AC93" s="1"/>
      <c r="AD93" s="1"/>
      <c r="AE93" s="1"/>
      <c r="AF93" s="1"/>
      <c r="AG93" s="1"/>
      <c r="AH93" s="1"/>
      <c r="AI93" s="1"/>
      <c r="AJ93" s="1"/>
      <c r="AK93" s="1"/>
      <c r="AL93" s="1"/>
      <c r="AM93" s="1"/>
      <c r="AN93" s="1"/>
      <c r="AO93" s="1"/>
      <c r="AP93" s="1"/>
      <c r="AQ93" s="1"/>
    </row>
    <row r="94" spans="1:43" ht="15.45" customHeight="1" x14ac:dyDescent="0.3">
      <c r="A94" s="1"/>
      <c r="B94" s="1"/>
      <c r="C94" s="1"/>
      <c r="D94" s="1"/>
      <c r="E94" s="1"/>
      <c r="F94" s="1"/>
      <c r="G94" s="1"/>
      <c r="H94" s="1"/>
      <c r="I94" s="1"/>
      <c r="J94" s="1"/>
      <c r="K94" s="1"/>
      <c r="L94" s="1"/>
      <c r="M94" s="1"/>
      <c r="N94" s="1"/>
      <c r="O94" s="1"/>
      <c r="P94" s="40"/>
      <c r="Q94" s="41"/>
      <c r="R94" s="72"/>
      <c r="S94" s="72"/>
      <c r="T94" s="72"/>
      <c r="U94" s="72"/>
      <c r="V94" s="72"/>
      <c r="W94" s="72"/>
      <c r="X94" s="72"/>
      <c r="Y94" s="72"/>
      <c r="Z94" s="72"/>
      <c r="AA94" s="41"/>
      <c r="AB94" s="42"/>
      <c r="AC94" s="1"/>
      <c r="AD94" s="1"/>
      <c r="AE94" s="1"/>
      <c r="AF94" s="1"/>
      <c r="AG94" s="1"/>
      <c r="AH94" s="1"/>
      <c r="AI94" s="1"/>
      <c r="AJ94" s="1"/>
      <c r="AK94" s="1"/>
      <c r="AL94" s="1"/>
      <c r="AM94" s="1"/>
      <c r="AN94" s="1"/>
      <c r="AO94" s="1"/>
      <c r="AP94" s="1"/>
      <c r="AQ94" s="1"/>
    </row>
    <row r="95" spans="1:43" ht="15.45" customHeight="1" x14ac:dyDescent="0.3">
      <c r="A95" s="1"/>
      <c r="B95" s="1"/>
      <c r="C95" s="1"/>
      <c r="D95" s="1"/>
      <c r="E95" s="1"/>
      <c r="F95" s="1"/>
      <c r="G95" s="1"/>
      <c r="H95" s="1"/>
      <c r="I95" s="1"/>
      <c r="J95" s="1"/>
      <c r="K95" s="1"/>
      <c r="L95" s="1"/>
      <c r="M95" s="1"/>
      <c r="N95" s="1"/>
      <c r="O95" s="1"/>
      <c r="P95" s="40"/>
      <c r="Q95" s="41"/>
      <c r="R95" s="75"/>
      <c r="S95" s="75"/>
      <c r="T95" s="75"/>
      <c r="U95" s="75"/>
      <c r="V95" s="75"/>
      <c r="W95" s="75"/>
      <c r="X95" s="72"/>
      <c r="Y95" s="72"/>
      <c r="Z95" s="72"/>
      <c r="AA95" s="41"/>
      <c r="AB95" s="42"/>
      <c r="AC95" s="1"/>
      <c r="AD95" s="1"/>
      <c r="AE95" s="1"/>
      <c r="AF95" s="1"/>
      <c r="AG95" s="1"/>
      <c r="AH95" s="1"/>
      <c r="AI95" s="1"/>
      <c r="AJ95" s="1"/>
      <c r="AK95" s="1"/>
      <c r="AL95" s="1"/>
      <c r="AM95" s="1"/>
      <c r="AN95" s="1"/>
      <c r="AO95" s="1"/>
      <c r="AP95" s="1"/>
      <c r="AQ95" s="1"/>
    </row>
    <row r="96" spans="1:43" x14ac:dyDescent="0.3">
      <c r="A96" s="1"/>
      <c r="B96" s="1"/>
      <c r="C96" s="1"/>
      <c r="D96" s="1"/>
      <c r="E96" s="1"/>
      <c r="F96" s="1"/>
      <c r="G96" s="1"/>
      <c r="H96" s="1"/>
      <c r="I96" s="1"/>
      <c r="J96" s="1"/>
      <c r="K96" s="1"/>
      <c r="L96" s="1"/>
      <c r="M96" s="1"/>
      <c r="N96" s="1"/>
      <c r="O96" s="1"/>
      <c r="P96" s="40"/>
      <c r="Q96" s="41"/>
      <c r="R96" s="374" t="s">
        <v>142</v>
      </c>
      <c r="S96" s="374"/>
      <c r="T96" s="374"/>
      <c r="U96" s="374"/>
      <c r="V96" s="374"/>
      <c r="W96" s="207"/>
      <c r="X96" s="74"/>
      <c r="Y96" s="74"/>
      <c r="Z96" s="74"/>
      <c r="AA96" s="41"/>
      <c r="AB96" s="42"/>
      <c r="AC96" s="1"/>
      <c r="AD96" s="1"/>
      <c r="AE96" s="1"/>
      <c r="AF96" s="1"/>
      <c r="AG96" s="1"/>
      <c r="AH96" s="1"/>
      <c r="AI96" s="1"/>
      <c r="AJ96" s="1"/>
      <c r="AK96" s="1"/>
      <c r="AL96" s="1"/>
      <c r="AM96" s="1"/>
      <c r="AN96" s="1"/>
      <c r="AO96" s="1"/>
      <c r="AP96" s="1"/>
      <c r="AQ96" s="1"/>
    </row>
    <row r="97" spans="1:43" x14ac:dyDescent="0.3">
      <c r="A97" s="1"/>
      <c r="B97" s="1"/>
      <c r="C97" s="1"/>
      <c r="D97" s="1"/>
      <c r="E97" s="1"/>
      <c r="F97" s="1"/>
      <c r="G97" s="1"/>
      <c r="H97" s="1"/>
      <c r="I97" s="1"/>
      <c r="J97" s="1"/>
      <c r="K97" s="1"/>
      <c r="L97" s="1"/>
      <c r="M97" s="1"/>
      <c r="N97" s="1"/>
      <c r="O97" s="1"/>
      <c r="P97" s="40"/>
      <c r="Q97" s="41"/>
      <c r="R97" s="375" t="s">
        <v>154</v>
      </c>
      <c r="S97" s="375"/>
      <c r="T97" s="375"/>
      <c r="U97" s="203">
        <v>1</v>
      </c>
      <c r="V97" s="74" t="s">
        <v>38</v>
      </c>
      <c r="W97" s="76"/>
      <c r="X97" s="74"/>
      <c r="Y97" s="74"/>
      <c r="Z97" s="74"/>
      <c r="AA97" s="41"/>
      <c r="AB97" s="42"/>
      <c r="AC97" s="1"/>
      <c r="AD97" s="1"/>
      <c r="AE97" s="1"/>
      <c r="AF97" s="1"/>
      <c r="AG97" s="1"/>
      <c r="AH97" s="1"/>
      <c r="AI97" s="1"/>
      <c r="AJ97" s="1"/>
      <c r="AK97" s="1"/>
      <c r="AL97" s="1"/>
      <c r="AM97" s="1"/>
      <c r="AN97" s="1"/>
      <c r="AO97" s="1"/>
      <c r="AP97" s="1"/>
      <c r="AQ97" s="1"/>
    </row>
    <row r="98" spans="1:43" x14ac:dyDescent="0.3">
      <c r="A98" s="1"/>
      <c r="B98" s="1"/>
      <c r="C98" s="1"/>
      <c r="D98" s="1"/>
      <c r="E98" s="1"/>
      <c r="F98" s="1"/>
      <c r="G98" s="1"/>
      <c r="H98" s="1"/>
      <c r="I98" s="1"/>
      <c r="J98" s="1"/>
      <c r="K98" s="1"/>
      <c r="L98" s="1"/>
      <c r="M98" s="1"/>
      <c r="N98" s="1"/>
      <c r="O98" s="1"/>
      <c r="P98" s="40"/>
      <c r="Q98" s="41"/>
      <c r="R98" s="375" t="s">
        <v>155</v>
      </c>
      <c r="S98" s="375"/>
      <c r="T98" s="375"/>
      <c r="U98" s="203">
        <v>1</v>
      </c>
      <c r="V98" s="74" t="s">
        <v>38</v>
      </c>
      <c r="W98" s="76"/>
      <c r="X98" s="74"/>
      <c r="Y98" s="74"/>
      <c r="Z98" s="74"/>
      <c r="AA98" s="41"/>
      <c r="AB98" s="42"/>
      <c r="AC98" s="1"/>
      <c r="AD98" s="1"/>
      <c r="AE98" s="1"/>
      <c r="AF98" s="1"/>
      <c r="AG98" s="1"/>
      <c r="AH98" s="1"/>
      <c r="AI98" s="1"/>
      <c r="AJ98" s="1"/>
      <c r="AK98" s="1"/>
      <c r="AL98" s="1"/>
      <c r="AM98" s="1"/>
      <c r="AN98" s="1"/>
      <c r="AO98" s="1"/>
      <c r="AP98" s="1"/>
      <c r="AQ98" s="1"/>
    </row>
    <row r="99" spans="1:43" x14ac:dyDescent="0.3">
      <c r="A99" s="1"/>
      <c r="B99" s="1"/>
      <c r="C99" s="1"/>
      <c r="D99" s="1"/>
      <c r="E99" s="1"/>
      <c r="F99" s="1"/>
      <c r="G99" s="1"/>
      <c r="H99" s="1"/>
      <c r="I99" s="1"/>
      <c r="J99" s="1"/>
      <c r="K99" s="1"/>
      <c r="L99" s="1"/>
      <c r="M99" s="1"/>
      <c r="N99" s="1"/>
      <c r="O99" s="1"/>
      <c r="P99" s="40"/>
      <c r="Q99" s="41"/>
      <c r="R99" s="375" t="s">
        <v>145</v>
      </c>
      <c r="S99" s="375"/>
      <c r="T99" s="375"/>
      <c r="U99" s="203">
        <v>90</v>
      </c>
      <c r="V99" s="74" t="s">
        <v>27</v>
      </c>
      <c r="W99" s="76"/>
      <c r="X99" s="74"/>
      <c r="Y99" s="74"/>
      <c r="Z99" s="74"/>
      <c r="AA99" s="41"/>
      <c r="AB99" s="42"/>
      <c r="AC99" s="1"/>
      <c r="AD99" s="1"/>
      <c r="AE99" s="1"/>
      <c r="AF99" s="1"/>
      <c r="AG99" s="1"/>
      <c r="AH99" s="1"/>
      <c r="AI99" s="1"/>
      <c r="AJ99" s="1"/>
      <c r="AK99" s="1"/>
      <c r="AL99" s="1"/>
      <c r="AM99" s="1"/>
      <c r="AN99" s="1"/>
      <c r="AO99" s="1"/>
      <c r="AP99" s="1"/>
      <c r="AQ99" s="1"/>
    </row>
    <row r="100" spans="1:43" x14ac:dyDescent="0.3">
      <c r="A100" s="1"/>
      <c r="B100" s="1"/>
      <c r="C100" s="1"/>
      <c r="D100" s="1"/>
      <c r="E100" s="1"/>
      <c r="F100" s="1"/>
      <c r="G100" s="1"/>
      <c r="H100" s="1"/>
      <c r="I100" s="1"/>
      <c r="J100" s="1"/>
      <c r="K100" s="1"/>
      <c r="L100" s="1"/>
      <c r="M100" s="1"/>
      <c r="N100" s="1"/>
      <c r="O100" s="1"/>
      <c r="P100" s="40"/>
      <c r="Q100" s="41"/>
      <c r="R100" s="375" t="s">
        <v>146</v>
      </c>
      <c r="S100" s="375"/>
      <c r="T100" s="375"/>
      <c r="U100" s="204">
        <f>-10*LOG('Backend Data'!D41)</f>
        <v>0.22825214260717014</v>
      </c>
      <c r="V100" s="77" t="s">
        <v>38</v>
      </c>
      <c r="W100" s="77"/>
      <c r="X100" s="74"/>
      <c r="Y100" s="74"/>
      <c r="Z100" s="74"/>
      <c r="AA100" s="41"/>
      <c r="AB100" s="42"/>
      <c r="AC100" s="1"/>
      <c r="AD100" s="1"/>
      <c r="AE100" s="1"/>
      <c r="AF100" s="1"/>
      <c r="AG100" s="1"/>
      <c r="AH100" s="1"/>
      <c r="AI100" s="1"/>
      <c r="AJ100" s="1"/>
      <c r="AK100" s="1"/>
      <c r="AL100" s="1"/>
      <c r="AM100" s="1"/>
      <c r="AN100" s="1"/>
      <c r="AO100" s="1"/>
      <c r="AP100" s="1"/>
      <c r="AQ100" s="1"/>
    </row>
    <row r="101" spans="1:43" x14ac:dyDescent="0.3">
      <c r="A101" s="1"/>
      <c r="B101" s="1"/>
      <c r="C101" s="1"/>
      <c r="D101" s="1"/>
      <c r="E101" s="1"/>
      <c r="F101" s="1"/>
      <c r="G101" s="1"/>
      <c r="H101" s="1"/>
      <c r="I101" s="1"/>
      <c r="J101" s="1"/>
      <c r="K101" s="1"/>
      <c r="L101" s="1"/>
      <c r="M101" s="1"/>
      <c r="N101" s="1"/>
      <c r="O101" s="1"/>
      <c r="P101" s="40"/>
      <c r="Q101" s="41"/>
      <c r="R101" s="75"/>
      <c r="S101" s="75"/>
      <c r="T101" s="75"/>
      <c r="U101" s="75"/>
      <c r="V101" s="75"/>
      <c r="W101" s="75"/>
      <c r="X101" s="74"/>
      <c r="Y101" s="74"/>
      <c r="Z101" s="74"/>
      <c r="AA101" s="41"/>
      <c r="AB101" s="42"/>
      <c r="AC101" s="1"/>
      <c r="AD101" s="1"/>
      <c r="AE101" s="1"/>
      <c r="AF101" s="1"/>
      <c r="AG101" s="1"/>
      <c r="AH101" s="1"/>
      <c r="AI101" s="1"/>
      <c r="AJ101" s="1"/>
      <c r="AK101" s="1"/>
      <c r="AL101" s="1"/>
      <c r="AM101" s="1"/>
      <c r="AN101" s="1"/>
      <c r="AO101" s="1"/>
      <c r="AP101" s="1"/>
      <c r="AQ101" s="1"/>
    </row>
    <row r="102" spans="1:43" x14ac:dyDescent="0.3">
      <c r="A102" s="1"/>
      <c r="B102" s="1"/>
      <c r="C102" s="1"/>
      <c r="D102" s="1"/>
      <c r="E102" s="1"/>
      <c r="F102" s="1"/>
      <c r="G102" s="1"/>
      <c r="H102" s="1"/>
      <c r="I102" s="1"/>
      <c r="J102" s="1"/>
      <c r="K102" s="1"/>
      <c r="L102" s="1"/>
      <c r="M102" s="1"/>
      <c r="N102" s="1"/>
      <c r="O102" s="1"/>
      <c r="P102" s="40"/>
      <c r="Q102" s="41"/>
      <c r="R102" s="372" t="s">
        <v>147</v>
      </c>
      <c r="S102" s="372"/>
      <c r="T102" s="372"/>
      <c r="U102" s="372"/>
      <c r="V102" s="75"/>
      <c r="W102" s="75"/>
      <c r="X102" s="74"/>
      <c r="Y102" s="74"/>
      <c r="Z102" s="74"/>
      <c r="AA102" s="41"/>
      <c r="AB102" s="42"/>
      <c r="AC102" s="1"/>
      <c r="AD102" s="1"/>
      <c r="AE102" s="1"/>
      <c r="AF102" s="1"/>
      <c r="AG102" s="1"/>
      <c r="AH102" s="1"/>
      <c r="AI102" s="1"/>
      <c r="AJ102" s="1"/>
      <c r="AK102" s="1"/>
      <c r="AL102" s="1"/>
      <c r="AM102" s="1"/>
      <c r="AN102" s="1"/>
      <c r="AO102" s="1"/>
      <c r="AP102" s="1"/>
      <c r="AQ102" s="1"/>
    </row>
    <row r="103" spans="1:43" x14ac:dyDescent="0.3">
      <c r="A103" s="1"/>
      <c r="B103" s="1"/>
      <c r="C103" s="1"/>
      <c r="D103" s="1"/>
      <c r="E103" s="1"/>
      <c r="F103" s="1"/>
      <c r="G103" s="1"/>
      <c r="H103" s="1"/>
      <c r="I103" s="1"/>
      <c r="J103" s="1"/>
      <c r="K103" s="1"/>
      <c r="L103" s="1"/>
      <c r="M103" s="1"/>
      <c r="N103" s="1"/>
      <c r="O103" s="1"/>
      <c r="P103" s="40"/>
      <c r="Q103" s="41"/>
      <c r="R103" s="373" t="s">
        <v>148</v>
      </c>
      <c r="S103" s="373"/>
      <c r="T103" s="373"/>
      <c r="U103" s="204">
        <f>10*LOG10(1-'Backend Data'!D41)</f>
        <v>-12.907320722611759</v>
      </c>
      <c r="V103" s="75" t="s">
        <v>38</v>
      </c>
      <c r="W103" s="75"/>
      <c r="X103" s="74"/>
      <c r="Y103" s="74"/>
      <c r="Z103" s="74"/>
      <c r="AA103" s="41"/>
      <c r="AB103" s="42"/>
      <c r="AC103" s="1"/>
      <c r="AD103" s="1"/>
      <c r="AE103" s="1"/>
      <c r="AF103" s="1"/>
      <c r="AG103" s="1"/>
      <c r="AH103" s="1"/>
      <c r="AI103" s="1"/>
      <c r="AJ103" s="1"/>
      <c r="AK103" s="1"/>
      <c r="AL103" s="1"/>
      <c r="AM103" s="1"/>
      <c r="AN103" s="1"/>
      <c r="AO103" s="1"/>
      <c r="AP103" s="1"/>
      <c r="AQ103" s="1"/>
    </row>
    <row r="104" spans="1:43" x14ac:dyDescent="0.3">
      <c r="A104" s="1"/>
      <c r="B104" s="1"/>
      <c r="C104" s="1"/>
      <c r="D104" s="1"/>
      <c r="E104" s="1"/>
      <c r="F104" s="1"/>
      <c r="G104" s="1"/>
      <c r="H104" s="1"/>
      <c r="I104" s="1"/>
      <c r="J104" s="1"/>
      <c r="K104" s="1"/>
      <c r="L104" s="1"/>
      <c r="M104" s="1"/>
      <c r="N104" s="1"/>
      <c r="O104" s="1"/>
      <c r="P104" s="40"/>
      <c r="Q104" s="41"/>
      <c r="R104" s="373" t="s">
        <v>149</v>
      </c>
      <c r="S104" s="373"/>
      <c r="T104" s="373"/>
      <c r="U104" s="204">
        <f>U100-U103</f>
        <v>13.135572865218929</v>
      </c>
      <c r="V104" s="75" t="s">
        <v>38</v>
      </c>
      <c r="W104" s="75"/>
      <c r="X104" s="74"/>
      <c r="Y104" s="74"/>
      <c r="Z104" s="74"/>
      <c r="AA104" s="41"/>
      <c r="AB104" s="42"/>
      <c r="AC104" s="1"/>
      <c r="AD104" s="1"/>
      <c r="AE104" s="1"/>
      <c r="AF104" s="1"/>
      <c r="AG104" s="1"/>
      <c r="AH104" s="1"/>
      <c r="AI104" s="1"/>
      <c r="AJ104" s="1"/>
      <c r="AK104" s="1"/>
      <c r="AL104" s="1"/>
      <c r="AM104" s="1"/>
      <c r="AN104" s="1"/>
      <c r="AO104" s="1"/>
      <c r="AP104" s="1"/>
      <c r="AQ104" s="1"/>
    </row>
    <row r="105" spans="1:43" x14ac:dyDescent="0.3">
      <c r="A105" s="1"/>
      <c r="B105" s="1"/>
      <c r="C105" s="1"/>
      <c r="D105" s="1"/>
      <c r="E105" s="1"/>
      <c r="F105" s="1"/>
      <c r="G105" s="1"/>
      <c r="H105" s="1"/>
      <c r="I105" s="1"/>
      <c r="J105" s="1"/>
      <c r="K105" s="1"/>
      <c r="L105" s="1"/>
      <c r="M105" s="1"/>
      <c r="N105" s="1"/>
      <c r="O105" s="1"/>
      <c r="P105" s="40"/>
      <c r="Q105" s="41"/>
      <c r="R105" s="41"/>
      <c r="S105" s="41"/>
      <c r="T105" s="41"/>
      <c r="U105" s="41"/>
      <c r="V105" s="41"/>
      <c r="W105" s="50"/>
      <c r="X105" s="50"/>
      <c r="Y105" s="50"/>
      <c r="Z105" s="50"/>
      <c r="AA105" s="41"/>
      <c r="AB105" s="42"/>
      <c r="AC105" s="1"/>
      <c r="AD105" s="1"/>
      <c r="AE105" s="1"/>
      <c r="AF105" s="1"/>
      <c r="AG105" s="1"/>
      <c r="AH105" s="1"/>
      <c r="AI105" s="1"/>
      <c r="AJ105" s="1"/>
      <c r="AK105" s="1"/>
      <c r="AL105" s="1"/>
      <c r="AM105" s="1"/>
      <c r="AN105" s="1"/>
      <c r="AO105" s="1"/>
      <c r="AP105" s="1"/>
      <c r="AQ105" s="1"/>
    </row>
    <row r="106" spans="1:43" ht="15" thickBot="1" x14ac:dyDescent="0.35">
      <c r="A106" s="1"/>
      <c r="B106" s="1"/>
      <c r="C106" s="1"/>
      <c r="D106" s="1"/>
      <c r="E106" s="1"/>
      <c r="F106" s="1"/>
      <c r="G106" s="1"/>
      <c r="H106" s="1"/>
      <c r="I106" s="1"/>
      <c r="J106" s="1"/>
      <c r="K106" s="1"/>
      <c r="L106" s="1"/>
      <c r="M106" s="1"/>
      <c r="N106" s="1"/>
      <c r="O106" s="1"/>
      <c r="P106" s="43"/>
      <c r="Q106" s="44"/>
      <c r="R106" s="78"/>
      <c r="S106" s="78"/>
      <c r="T106" s="78"/>
      <c r="U106" s="78"/>
      <c r="V106" s="44"/>
      <c r="W106" s="44"/>
      <c r="X106" s="44"/>
      <c r="Y106" s="44"/>
      <c r="Z106" s="44"/>
      <c r="AA106" s="44"/>
      <c r="AB106" s="45"/>
      <c r="AC106" s="1"/>
      <c r="AD106" s="1"/>
      <c r="AE106" s="1"/>
      <c r="AF106" s="1"/>
      <c r="AG106" s="1"/>
      <c r="AH106" s="1"/>
      <c r="AI106" s="1"/>
      <c r="AJ106" s="1"/>
      <c r="AK106" s="1"/>
      <c r="AL106" s="1"/>
      <c r="AM106" s="1"/>
      <c r="AN106" s="1"/>
      <c r="AO106" s="1"/>
      <c r="AP106" s="1"/>
      <c r="AQ106" s="1"/>
    </row>
    <row r="107" spans="1:43"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R102:U102"/>
    <mergeCell ref="R103:T103"/>
    <mergeCell ref="R104:T104"/>
    <mergeCell ref="R96:V96"/>
    <mergeCell ref="R97:T97"/>
    <mergeCell ref="R98:T98"/>
    <mergeCell ref="R99:T99"/>
    <mergeCell ref="R100:T100"/>
    <mergeCell ref="R93:Z93"/>
    <mergeCell ref="V82:X82"/>
    <mergeCell ref="V79:X79"/>
    <mergeCell ref="V80:X80"/>
    <mergeCell ref="V81:X81"/>
    <mergeCell ref="V78:X78"/>
    <mergeCell ref="R56:T56"/>
    <mergeCell ref="R57:T57"/>
    <mergeCell ref="R59:U59"/>
    <mergeCell ref="R60:T60"/>
    <mergeCell ref="R61:T61"/>
    <mergeCell ref="R67:Z67"/>
    <mergeCell ref="R55:T55"/>
    <mergeCell ref="T16:U16"/>
    <mergeCell ref="T17:U17"/>
    <mergeCell ref="R24:Z24"/>
    <mergeCell ref="V35:X35"/>
    <mergeCell ref="V36:X36"/>
    <mergeCell ref="V37:X37"/>
    <mergeCell ref="V38:X38"/>
    <mergeCell ref="V39:X39"/>
    <mergeCell ref="R53:V53"/>
    <mergeCell ref="R50:Z50"/>
    <mergeCell ref="R54:T54"/>
    <mergeCell ref="T15:W15"/>
    <mergeCell ref="R2:Z2"/>
    <mergeCell ref="R6:Z6"/>
    <mergeCell ref="T9:U9"/>
    <mergeCell ref="T10:U10"/>
    <mergeCell ref="R13:Z13"/>
    <mergeCell ref="T8:W8"/>
    <mergeCell ref="T11:U11"/>
    <mergeCell ref="T12:U12"/>
  </mergeCells>
  <conditionalFormatting sqref="Y38">
    <cfRule type="expression" dxfId="44" priority="46">
      <formula>$AA$9=4</formula>
    </cfRule>
  </conditionalFormatting>
  <conditionalFormatting sqref="Y35">
    <cfRule type="expression" dxfId="43" priority="51">
      <formula>$AA$9=1</formula>
    </cfRule>
  </conditionalFormatting>
  <conditionalFormatting sqref="Y35">
    <cfRule type="expression" dxfId="42" priority="50">
      <formula>$AA$9=3</formula>
    </cfRule>
  </conditionalFormatting>
  <conditionalFormatting sqref="Y35">
    <cfRule type="expression" dxfId="41" priority="49">
      <formula>$AA$9=4</formula>
    </cfRule>
  </conditionalFormatting>
  <conditionalFormatting sqref="Y38">
    <cfRule type="expression" dxfId="40" priority="48">
      <formula>$AA$9=1</formula>
    </cfRule>
  </conditionalFormatting>
  <conditionalFormatting sqref="Y38">
    <cfRule type="expression" dxfId="39" priority="47">
      <formula>$AA$9=3</formula>
    </cfRule>
  </conditionalFormatting>
  <conditionalFormatting sqref="U54">
    <cfRule type="expression" dxfId="38" priority="45">
      <formula>$AA$9=1</formula>
    </cfRule>
  </conditionalFormatting>
  <conditionalFormatting sqref="U54">
    <cfRule type="expression" dxfId="37" priority="44">
      <formula>$AA$9=3</formula>
    </cfRule>
  </conditionalFormatting>
  <conditionalFormatting sqref="U54">
    <cfRule type="expression" dxfId="36" priority="43">
      <formula>$AA$9=4</formula>
    </cfRule>
  </conditionalFormatting>
  <conditionalFormatting sqref="U55">
    <cfRule type="expression" dxfId="35" priority="42">
      <formula>$AA$9=1</formula>
    </cfRule>
  </conditionalFormatting>
  <conditionalFormatting sqref="U55">
    <cfRule type="expression" dxfId="34" priority="41">
      <formula>$AA$9=3</formula>
    </cfRule>
  </conditionalFormatting>
  <conditionalFormatting sqref="U55">
    <cfRule type="expression" dxfId="33" priority="40">
      <formula>$AA$9=4</formula>
    </cfRule>
  </conditionalFormatting>
  <conditionalFormatting sqref="U56">
    <cfRule type="expression" dxfId="32" priority="39">
      <formula>$AA$9=1</formula>
    </cfRule>
  </conditionalFormatting>
  <conditionalFormatting sqref="U56">
    <cfRule type="expression" dxfId="31" priority="38">
      <formula>$AA$9=3</formula>
    </cfRule>
  </conditionalFormatting>
  <conditionalFormatting sqref="U56">
    <cfRule type="expression" dxfId="30" priority="37">
      <formula>$AA$9=4</formula>
    </cfRule>
  </conditionalFormatting>
  <conditionalFormatting sqref="Y78">
    <cfRule type="expression" dxfId="29" priority="33">
      <formula>$AA$9=1</formula>
    </cfRule>
  </conditionalFormatting>
  <conditionalFormatting sqref="Y78">
    <cfRule type="expression" dxfId="28" priority="32">
      <formula>$AA$9=3</formula>
    </cfRule>
  </conditionalFormatting>
  <conditionalFormatting sqref="Y78">
    <cfRule type="expression" dxfId="27" priority="31">
      <formula>$AA$9=4</formula>
    </cfRule>
  </conditionalFormatting>
  <conditionalFormatting sqref="Y37">
    <cfRule type="expression" dxfId="26" priority="13">
      <formula>$AA$9=4</formula>
    </cfRule>
  </conditionalFormatting>
  <conditionalFormatting sqref="Y37">
    <cfRule type="expression" dxfId="25" priority="15">
      <formula>$AA$9=1</formula>
    </cfRule>
  </conditionalFormatting>
  <conditionalFormatting sqref="Y37">
    <cfRule type="expression" dxfId="24" priority="14">
      <formula>$AA$9=3</formula>
    </cfRule>
  </conditionalFormatting>
  <conditionalFormatting sqref="Y80">
    <cfRule type="expression" dxfId="23" priority="12">
      <formula>$AA$9=1</formula>
    </cfRule>
  </conditionalFormatting>
  <conditionalFormatting sqref="Y80">
    <cfRule type="expression" dxfId="22" priority="11">
      <formula>$AA$9=3</formula>
    </cfRule>
  </conditionalFormatting>
  <conditionalFormatting sqref="Y80">
    <cfRule type="expression" dxfId="21" priority="10">
      <formula>$AA$9=4</formula>
    </cfRule>
  </conditionalFormatting>
  <conditionalFormatting sqref="U97">
    <cfRule type="expression" dxfId="20" priority="9">
      <formula>$AA$9=1</formula>
    </cfRule>
  </conditionalFormatting>
  <conditionalFormatting sqref="U97">
    <cfRule type="expression" dxfId="19" priority="8">
      <formula>$AA$9=3</formula>
    </cfRule>
  </conditionalFormatting>
  <conditionalFormatting sqref="U97">
    <cfRule type="expression" dxfId="18" priority="7">
      <formula>$AA$9=4</formula>
    </cfRule>
  </conditionalFormatting>
  <conditionalFormatting sqref="U98">
    <cfRule type="expression" dxfId="17" priority="6">
      <formula>$AA$9=1</formula>
    </cfRule>
  </conditionalFormatting>
  <conditionalFormatting sqref="U98">
    <cfRule type="expression" dxfId="16" priority="5">
      <formula>$AA$9=3</formula>
    </cfRule>
  </conditionalFormatting>
  <conditionalFormatting sqref="U98">
    <cfRule type="expression" dxfId="15" priority="4">
      <formula>$AA$9=4</formula>
    </cfRule>
  </conditionalFormatting>
  <conditionalFormatting sqref="U99">
    <cfRule type="expression" dxfId="14" priority="3">
      <formula>$AA$9=1</formula>
    </cfRule>
  </conditionalFormatting>
  <conditionalFormatting sqref="U99">
    <cfRule type="expression" dxfId="13" priority="2">
      <formula>$AA$9=3</formula>
    </cfRule>
  </conditionalFormatting>
  <conditionalFormatting sqref="U99">
    <cfRule type="expression" dxfId="12" priority="1">
      <formula>$AA$9=4</formula>
    </cfRule>
  </conditionalFormatting>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48"/>
  <sheetViews>
    <sheetView topLeftCell="A22" zoomScaleNormal="100" workbookViewId="0">
      <selection activeCell="E50" sqref="E50"/>
    </sheetView>
  </sheetViews>
  <sheetFormatPr defaultColWidth="0" defaultRowHeight="14.4" x14ac:dyDescent="0.3"/>
  <cols>
    <col min="1" max="3" width="3.5546875" customWidth="1"/>
    <col min="4" max="4" width="39.21875" customWidth="1"/>
    <col min="5" max="5" width="17.109375" customWidth="1"/>
    <col min="6" max="6" width="4.88671875" bestFit="1" customWidth="1"/>
    <col min="7" max="7" width="41.44140625" bestFit="1" customWidth="1"/>
    <col min="8" max="9" width="3.33203125" customWidth="1"/>
    <col min="10" max="10" width="3.5546875" customWidth="1"/>
    <col min="11" max="11" width="0" hidden="1" customWidth="1"/>
    <col min="12" max="16384" width="8.6640625" hidden="1"/>
  </cols>
  <sheetData>
    <row r="1" spans="1:11" ht="15" thickBot="1" x14ac:dyDescent="0.35">
      <c r="A1" s="1"/>
      <c r="B1" s="1"/>
      <c r="C1" s="1"/>
      <c r="D1" s="1"/>
      <c r="E1" s="1"/>
      <c r="F1" s="1"/>
      <c r="G1" s="1"/>
      <c r="H1" s="1"/>
      <c r="I1" s="1"/>
      <c r="J1" s="1"/>
      <c r="K1" s="211"/>
    </row>
    <row r="2" spans="1:11" ht="30.6" thickBot="1" x14ac:dyDescent="0.35">
      <c r="A2" s="1"/>
      <c r="B2" s="1"/>
      <c r="C2" s="293" t="s">
        <v>156</v>
      </c>
      <c r="D2" s="294"/>
      <c r="E2" s="294"/>
      <c r="F2" s="294"/>
      <c r="G2" s="295"/>
      <c r="H2" s="126"/>
      <c r="I2" s="126"/>
      <c r="J2" s="126"/>
      <c r="K2" s="125"/>
    </row>
    <row r="3" spans="1:11" ht="13.2" customHeight="1" thickBot="1" x14ac:dyDescent="0.35">
      <c r="A3" s="1"/>
      <c r="B3" s="1"/>
      <c r="C3" s="1"/>
      <c r="D3" s="1"/>
      <c r="E3" s="1"/>
      <c r="F3" s="1"/>
      <c r="G3" s="1"/>
      <c r="H3" s="1"/>
      <c r="I3" s="1"/>
      <c r="J3" s="1"/>
      <c r="K3" s="211"/>
    </row>
    <row r="4" spans="1:11" ht="15" thickBot="1" x14ac:dyDescent="0.35">
      <c r="A4" s="1"/>
      <c r="B4" s="105"/>
      <c r="C4" s="99"/>
      <c r="D4" s="153" t="s">
        <v>157</v>
      </c>
      <c r="E4" s="99" t="s">
        <v>2</v>
      </c>
      <c r="F4" s="99" t="s">
        <v>158</v>
      </c>
      <c r="G4" s="99" t="s">
        <v>159</v>
      </c>
      <c r="H4" s="99"/>
      <c r="I4" s="106"/>
      <c r="J4" s="1"/>
      <c r="K4" s="211"/>
    </row>
    <row r="5" spans="1:11" ht="15" thickBot="1" x14ac:dyDescent="0.35">
      <c r="A5" s="1"/>
      <c r="B5" s="107"/>
      <c r="C5" s="100"/>
      <c r="D5" s="154" t="s">
        <v>140</v>
      </c>
      <c r="E5" s="102"/>
      <c r="F5" s="103"/>
      <c r="G5" s="100"/>
      <c r="H5" s="100"/>
      <c r="I5" s="108"/>
      <c r="J5" s="1"/>
      <c r="K5" s="211"/>
    </row>
    <row r="6" spans="1:11" x14ac:dyDescent="0.3">
      <c r="A6" s="1"/>
      <c r="B6" s="109"/>
      <c r="C6" s="97"/>
      <c r="D6" s="376" t="s">
        <v>160</v>
      </c>
      <c r="E6" s="79">
        <f>Transmitters!T15</f>
        <v>1</v>
      </c>
      <c r="F6" s="98" t="s">
        <v>43</v>
      </c>
      <c r="G6" s="97"/>
      <c r="H6" s="97"/>
      <c r="I6" s="110"/>
      <c r="J6" s="1"/>
      <c r="K6" s="211"/>
    </row>
    <row r="7" spans="1:11" x14ac:dyDescent="0.3">
      <c r="A7" s="1"/>
      <c r="B7" s="109"/>
      <c r="C7" s="97"/>
      <c r="D7" s="376"/>
      <c r="E7" s="79">
        <f>Transmitters!T16</f>
        <v>0</v>
      </c>
      <c r="F7" s="98" t="s">
        <v>44</v>
      </c>
      <c r="G7" s="97"/>
      <c r="H7" s="97"/>
      <c r="I7" s="110"/>
      <c r="J7" s="1"/>
      <c r="K7" s="211"/>
    </row>
    <row r="8" spans="1:11" x14ac:dyDescent="0.3">
      <c r="A8" s="1"/>
      <c r="B8" s="109"/>
      <c r="C8" s="97"/>
      <c r="D8" s="376"/>
      <c r="E8" s="79">
        <f>Transmitters!T17</f>
        <v>30</v>
      </c>
      <c r="F8" s="98" t="s">
        <v>46</v>
      </c>
      <c r="G8" s="97"/>
      <c r="H8" s="97"/>
      <c r="I8" s="110"/>
      <c r="J8" s="1"/>
      <c r="K8" s="211"/>
    </row>
    <row r="9" spans="1:11" x14ac:dyDescent="0.3">
      <c r="A9" s="1"/>
      <c r="B9" s="109"/>
      <c r="C9" s="97"/>
      <c r="D9" s="155" t="s">
        <v>161</v>
      </c>
      <c r="E9" s="79">
        <f>Transmitters!V31</f>
        <v>0.40094999999999997</v>
      </c>
      <c r="F9" s="98" t="s">
        <v>38</v>
      </c>
      <c r="G9" s="97"/>
      <c r="H9" s="97"/>
      <c r="I9" s="110"/>
      <c r="J9" s="1"/>
      <c r="K9" s="211"/>
    </row>
    <row r="10" spans="1:11" x14ac:dyDescent="0.3">
      <c r="A10" s="1"/>
      <c r="B10" s="109"/>
      <c r="C10" s="97"/>
      <c r="D10" s="155" t="s">
        <v>162</v>
      </c>
      <c r="E10" s="80">
        <f>Antennas!W12</f>
        <v>13.3</v>
      </c>
      <c r="F10" s="98" t="s">
        <v>75</v>
      </c>
      <c r="G10" s="97"/>
      <c r="H10" s="97"/>
      <c r="I10" s="110"/>
      <c r="J10" s="1"/>
      <c r="K10" s="211"/>
    </row>
    <row r="11" spans="1:11" ht="15" thickBot="1" x14ac:dyDescent="0.35">
      <c r="A11" s="1"/>
      <c r="B11" s="109"/>
      <c r="C11" s="97"/>
      <c r="D11" s="155" t="s">
        <v>163</v>
      </c>
      <c r="E11" s="79">
        <f>E7-E9+E10</f>
        <v>12.899050000000001</v>
      </c>
      <c r="F11" s="98" t="s">
        <v>44</v>
      </c>
      <c r="G11" s="97"/>
      <c r="H11" s="97"/>
      <c r="I11" s="110"/>
      <c r="J11" s="1"/>
      <c r="K11" s="211"/>
    </row>
    <row r="12" spans="1:11" ht="15" thickBot="1" x14ac:dyDescent="0.35">
      <c r="A12" s="1"/>
      <c r="B12" s="107"/>
      <c r="C12" s="100"/>
      <c r="D12" s="154" t="s">
        <v>164</v>
      </c>
      <c r="E12" s="104"/>
      <c r="F12" s="103"/>
      <c r="G12" s="100"/>
      <c r="H12" s="100"/>
      <c r="I12" s="108"/>
      <c r="J12" s="1"/>
      <c r="K12" s="211"/>
    </row>
    <row r="13" spans="1:11" x14ac:dyDescent="0.3">
      <c r="A13" s="1"/>
      <c r="B13" s="109"/>
      <c r="C13" s="97"/>
      <c r="D13" s="155" t="s">
        <v>165</v>
      </c>
      <c r="E13" s="79">
        <f>Losses!Y38</f>
        <v>0.3</v>
      </c>
      <c r="F13" s="98" t="s">
        <v>38</v>
      </c>
      <c r="G13" s="97"/>
      <c r="H13" s="97"/>
      <c r="I13" s="110"/>
      <c r="J13" s="1"/>
      <c r="K13" s="211"/>
    </row>
    <row r="14" spans="1:11" x14ac:dyDescent="0.3">
      <c r="A14" s="1"/>
      <c r="B14" s="109"/>
      <c r="C14" s="97"/>
      <c r="D14" s="155" t="s">
        <v>166</v>
      </c>
      <c r="E14" s="79">
        <f>IF(Antennas!T12=Antennas!T21,Losses!U57,Losses!U61)</f>
        <v>0.22825214260717014</v>
      </c>
      <c r="F14" s="98" t="s">
        <v>38</v>
      </c>
      <c r="G14" s="111"/>
      <c r="H14" s="97"/>
      <c r="I14" s="110"/>
      <c r="J14" s="1"/>
      <c r="K14" s="211"/>
    </row>
    <row r="15" spans="1:11" x14ac:dyDescent="0.3">
      <c r="A15" s="1"/>
      <c r="B15" s="109"/>
      <c r="C15" s="97"/>
      <c r="D15" s="155" t="s">
        <v>167</v>
      </c>
      <c r="E15" s="79">
        <f>Orbit!T35</f>
        <v>150.50012259786155</v>
      </c>
      <c r="F15" s="98" t="s">
        <v>38</v>
      </c>
      <c r="G15" s="97"/>
      <c r="H15" s="97"/>
      <c r="I15" s="110"/>
      <c r="J15" s="1"/>
      <c r="K15" s="211"/>
    </row>
    <row r="16" spans="1:11" x14ac:dyDescent="0.3">
      <c r="A16" s="1"/>
      <c r="B16" s="109"/>
      <c r="C16" s="97"/>
      <c r="D16" s="155" t="s">
        <v>168</v>
      </c>
      <c r="E16" s="80">
        <f>Losses!W10</f>
        <v>1.8624534763891498</v>
      </c>
      <c r="F16" s="98" t="s">
        <v>38</v>
      </c>
      <c r="G16" s="97"/>
      <c r="H16" s="97"/>
      <c r="I16" s="110"/>
      <c r="J16" s="1"/>
      <c r="K16" s="211"/>
    </row>
    <row r="17" spans="1:10" x14ac:dyDescent="0.3">
      <c r="A17" s="1"/>
      <c r="B17" s="109"/>
      <c r="C17" s="97"/>
      <c r="D17" s="155" t="s">
        <v>169</v>
      </c>
      <c r="E17" s="80">
        <f>Losses!W16</f>
        <v>0.5</v>
      </c>
      <c r="F17" s="98" t="s">
        <v>38</v>
      </c>
      <c r="G17" s="97"/>
      <c r="H17" s="97"/>
      <c r="I17" s="110"/>
      <c r="J17" s="1"/>
    </row>
    <row r="18" spans="1:10" x14ac:dyDescent="0.3">
      <c r="A18" s="1"/>
      <c r="B18" s="109"/>
      <c r="C18" s="97"/>
      <c r="D18" s="155" t="s">
        <v>170</v>
      </c>
      <c r="E18" s="128">
        <v>0</v>
      </c>
      <c r="F18" s="98" t="s">
        <v>38</v>
      </c>
      <c r="G18" s="97" t="s">
        <v>171</v>
      </c>
      <c r="H18" s="97"/>
      <c r="I18" s="110"/>
      <c r="J18" s="1"/>
    </row>
    <row r="19" spans="1:10" ht="15" thickBot="1" x14ac:dyDescent="0.35">
      <c r="A19" s="1"/>
      <c r="B19" s="109"/>
      <c r="C19" s="97"/>
      <c r="D19" s="155" t="s">
        <v>172</v>
      </c>
      <c r="E19" s="79">
        <f>E11-SUM(E13:E18)</f>
        <v>-140.49177821685788</v>
      </c>
      <c r="F19" s="98" t="s">
        <v>44</v>
      </c>
      <c r="G19" s="97"/>
      <c r="H19" s="97"/>
      <c r="I19" s="110"/>
      <c r="J19" s="1"/>
    </row>
    <row r="20" spans="1:10" ht="15" thickBot="1" x14ac:dyDescent="0.35">
      <c r="A20" s="1"/>
      <c r="B20" s="107"/>
      <c r="C20" s="100"/>
      <c r="D20" s="154" t="s">
        <v>173</v>
      </c>
      <c r="E20" s="104"/>
      <c r="F20" s="103"/>
      <c r="G20" s="100"/>
      <c r="H20" s="100"/>
      <c r="I20" s="108"/>
      <c r="J20" s="1"/>
    </row>
    <row r="21" spans="1:10" x14ac:dyDescent="0.3">
      <c r="A21" s="1"/>
      <c r="B21" s="109"/>
      <c r="C21" s="97"/>
      <c r="D21" s="155" t="s">
        <v>174</v>
      </c>
      <c r="E21" s="79">
        <f>Losses!Y38</f>
        <v>0.3</v>
      </c>
      <c r="F21" s="98" t="s">
        <v>38</v>
      </c>
      <c r="G21" s="97"/>
      <c r="H21" s="97"/>
      <c r="I21" s="110"/>
      <c r="J21" s="1"/>
    </row>
    <row r="22" spans="1:10" x14ac:dyDescent="0.3">
      <c r="A22" s="1"/>
      <c r="B22" s="109"/>
      <c r="C22" s="97"/>
      <c r="D22" s="155" t="s">
        <v>175</v>
      </c>
      <c r="E22" s="80">
        <f>Antennas!W21</f>
        <v>1.5</v>
      </c>
      <c r="F22" s="98" t="s">
        <v>75</v>
      </c>
      <c r="G22" s="97"/>
      <c r="H22" s="97"/>
      <c r="I22" s="110"/>
      <c r="J22" s="1"/>
    </row>
    <row r="23" spans="1:10" x14ac:dyDescent="0.3">
      <c r="A23" s="1"/>
      <c r="B23" s="109"/>
      <c r="C23" s="97"/>
      <c r="D23" s="155" t="s">
        <v>176</v>
      </c>
      <c r="E23" s="80">
        <f>Receivers!V32</f>
        <v>0.4</v>
      </c>
      <c r="F23" s="98" t="s">
        <v>38</v>
      </c>
      <c r="G23" s="97"/>
      <c r="H23" s="97"/>
      <c r="I23" s="110"/>
      <c r="J23" s="1"/>
    </row>
    <row r="24" spans="1:10" x14ac:dyDescent="0.3">
      <c r="A24" s="1"/>
      <c r="B24" s="109"/>
      <c r="C24" s="97"/>
      <c r="D24" s="155" t="s">
        <v>177</v>
      </c>
      <c r="E24" s="79">
        <f>Receivers!V42</f>
        <v>332.62468964220676</v>
      </c>
      <c r="F24" s="98" t="s">
        <v>94</v>
      </c>
      <c r="G24" s="97"/>
      <c r="H24" s="97"/>
      <c r="I24" s="110"/>
      <c r="J24" s="1"/>
    </row>
    <row r="25" spans="1:10" x14ac:dyDescent="0.3">
      <c r="A25" s="1"/>
      <c r="B25" s="109"/>
      <c r="C25" s="97"/>
      <c r="D25" s="155" t="s">
        <v>178</v>
      </c>
      <c r="E25" s="79">
        <f>E22-E23-10*LOG10(E24)</f>
        <v>-24.119544823381304</v>
      </c>
      <c r="F25" s="98" t="s">
        <v>179</v>
      </c>
      <c r="G25" s="97"/>
      <c r="H25" s="97"/>
      <c r="I25" s="110"/>
      <c r="J25" s="1"/>
    </row>
    <row r="26" spans="1:10" x14ac:dyDescent="0.3">
      <c r="A26" s="1"/>
      <c r="B26" s="109"/>
      <c r="C26" s="97"/>
      <c r="D26" s="155" t="s">
        <v>180</v>
      </c>
      <c r="E26" s="79">
        <f>E19-E21+E22-E23</f>
        <v>-139.6917782168579</v>
      </c>
      <c r="F26" s="98" t="s">
        <v>44</v>
      </c>
      <c r="G26" s="97"/>
      <c r="H26" s="97"/>
      <c r="I26" s="110"/>
      <c r="J26" s="1"/>
    </row>
    <row r="27" spans="1:10" x14ac:dyDescent="0.3">
      <c r="A27" s="1"/>
      <c r="B27" s="109"/>
      <c r="C27" s="97"/>
      <c r="D27" s="155" t="s">
        <v>181</v>
      </c>
      <c r="E27" s="80">
        <f>Inputs!V31*1000</f>
        <v>25000</v>
      </c>
      <c r="F27" s="98" t="s">
        <v>182</v>
      </c>
      <c r="G27" s="97"/>
      <c r="H27" s="97"/>
      <c r="I27" s="110"/>
      <c r="J27" s="1"/>
    </row>
    <row r="28" spans="1:10" x14ac:dyDescent="0.3">
      <c r="A28" s="1"/>
      <c r="B28" s="109"/>
      <c r="C28" s="97"/>
      <c r="D28" s="155" t="s">
        <v>183</v>
      </c>
      <c r="E28" s="79">
        <f>Inputs!V10+10*LOG10(E24)+10*LOG10(E27)</f>
        <v>-159.40105508989831</v>
      </c>
      <c r="F28" s="98" t="s">
        <v>44</v>
      </c>
      <c r="G28" s="97"/>
      <c r="H28" s="97"/>
      <c r="I28" s="110"/>
      <c r="J28" s="1"/>
    </row>
    <row r="29" spans="1:10" x14ac:dyDescent="0.3">
      <c r="A29" s="1"/>
      <c r="B29" s="109"/>
      <c r="C29" s="97"/>
      <c r="D29" s="155" t="s">
        <v>184</v>
      </c>
      <c r="E29" s="79">
        <f>E26-E28</f>
        <v>19.709276873040409</v>
      </c>
      <c r="F29" s="98" t="s">
        <v>38</v>
      </c>
      <c r="G29" s="97"/>
      <c r="H29" s="97"/>
      <c r="I29" s="110"/>
      <c r="J29" s="1"/>
    </row>
    <row r="30" spans="1:10" x14ac:dyDescent="0.3">
      <c r="A30" s="1"/>
      <c r="B30" s="109"/>
      <c r="C30" s="97"/>
      <c r="D30" s="155" t="s">
        <v>185</v>
      </c>
      <c r="E30" s="199">
        <f>Modulation!X15</f>
        <v>13.9</v>
      </c>
      <c r="F30" s="98" t="s">
        <v>38</v>
      </c>
      <c r="G30" s="227" t="s">
        <v>269</v>
      </c>
      <c r="H30" s="97"/>
      <c r="I30" s="110"/>
      <c r="J30" s="1"/>
    </row>
    <row r="31" spans="1:10" ht="15" thickBot="1" x14ac:dyDescent="0.35">
      <c r="A31" s="1"/>
      <c r="B31" s="109"/>
      <c r="C31" s="97"/>
      <c r="D31" s="155" t="s">
        <v>186</v>
      </c>
      <c r="E31" s="204">
        <f>IF((E29-E30)&lt;0,"Link not completed!",E29-E30)</f>
        <v>5.8092768730404085</v>
      </c>
      <c r="F31" s="98" t="s">
        <v>38</v>
      </c>
      <c r="G31" s="196" t="str">
        <f>IF(E31&gt;3,"Good signal reception","Hard to differentiate the signal from the noise")</f>
        <v>Good signal reception</v>
      </c>
      <c r="H31" s="97"/>
      <c r="I31" s="110"/>
      <c r="J31" s="1"/>
    </row>
    <row r="32" spans="1:10" ht="15" thickBot="1" x14ac:dyDescent="0.35">
      <c r="A32" s="1"/>
      <c r="B32" s="107"/>
      <c r="C32" s="100"/>
      <c r="D32" s="101" t="s">
        <v>187</v>
      </c>
      <c r="E32" s="100"/>
      <c r="F32" s="100"/>
      <c r="G32" s="100"/>
      <c r="H32" s="100"/>
      <c r="I32" s="108"/>
      <c r="J32" s="1"/>
    </row>
    <row r="33" spans="1:10" x14ac:dyDescent="0.3">
      <c r="A33" s="1"/>
      <c r="B33" s="119"/>
      <c r="C33" s="120"/>
      <c r="D33" s="120" t="s">
        <v>174</v>
      </c>
      <c r="E33" s="121">
        <f>Losses!Y38</f>
        <v>0.3</v>
      </c>
      <c r="F33" s="122" t="s">
        <v>38</v>
      </c>
      <c r="G33" s="120"/>
      <c r="H33" s="120"/>
      <c r="I33" s="123"/>
      <c r="J33" s="1"/>
    </row>
    <row r="34" spans="1:10" x14ac:dyDescent="0.3">
      <c r="A34" s="1"/>
      <c r="B34" s="109"/>
      <c r="C34" s="97"/>
      <c r="D34" s="97" t="s">
        <v>175</v>
      </c>
      <c r="E34" s="124">
        <f>Antennas!W21</f>
        <v>1.5</v>
      </c>
      <c r="F34" s="98" t="s">
        <v>75</v>
      </c>
      <c r="G34" s="97"/>
      <c r="H34" s="97"/>
      <c r="I34" s="110"/>
      <c r="J34" s="1"/>
    </row>
    <row r="35" spans="1:10" x14ac:dyDescent="0.3">
      <c r="A35" s="1"/>
      <c r="B35" s="109"/>
      <c r="C35" s="97"/>
      <c r="D35" s="97" t="s">
        <v>188</v>
      </c>
      <c r="E35" s="117">
        <f>Receivers!T21</f>
        <v>0.2</v>
      </c>
      <c r="F35" s="98" t="s">
        <v>38</v>
      </c>
      <c r="G35" s="97"/>
      <c r="H35" s="97"/>
      <c r="I35" s="110"/>
      <c r="J35" s="1"/>
    </row>
    <row r="36" spans="1:10" x14ac:dyDescent="0.3">
      <c r="A36" s="1"/>
      <c r="B36" s="109"/>
      <c r="C36" s="97"/>
      <c r="D36" s="97" t="s">
        <v>177</v>
      </c>
      <c r="E36" s="117">
        <f>Receivers!V42</f>
        <v>332.62468964220676</v>
      </c>
      <c r="F36" s="98" t="s">
        <v>94</v>
      </c>
      <c r="G36" s="97"/>
      <c r="H36" s="97"/>
      <c r="I36" s="110"/>
      <c r="J36" s="1"/>
    </row>
    <row r="37" spans="1:10" x14ac:dyDescent="0.3">
      <c r="A37" s="1"/>
      <c r="B37" s="109"/>
      <c r="C37" s="97"/>
      <c r="D37" s="97" t="s">
        <v>189</v>
      </c>
      <c r="E37" s="117">
        <f>E34-E35-10*LOG10(E36)</f>
        <v>-23.919544823381305</v>
      </c>
      <c r="F37" s="98" t="s">
        <v>179</v>
      </c>
      <c r="G37" s="97"/>
      <c r="H37" s="97"/>
      <c r="I37" s="110"/>
      <c r="J37" s="1"/>
    </row>
    <row r="38" spans="1:10" x14ac:dyDescent="0.3">
      <c r="A38" s="1"/>
      <c r="B38" s="109"/>
      <c r="C38" s="97"/>
      <c r="D38" s="97" t="s">
        <v>190</v>
      </c>
      <c r="E38" s="117">
        <f>E19-E33-Inputs!V10+E37</f>
        <v>63.888676959760801</v>
      </c>
      <c r="F38" s="97" t="s">
        <v>191</v>
      </c>
      <c r="G38" s="97"/>
      <c r="H38" s="97"/>
      <c r="I38" s="110"/>
      <c r="J38" s="1"/>
    </row>
    <row r="39" spans="1:10" x14ac:dyDescent="0.3">
      <c r="A39" s="1"/>
      <c r="B39" s="109"/>
      <c r="C39" s="97"/>
      <c r="D39" s="376" t="s">
        <v>192</v>
      </c>
      <c r="E39" s="124">
        <f>Modulation!X11*1000</f>
        <v>9600</v>
      </c>
      <c r="F39" s="97" t="s">
        <v>117</v>
      </c>
      <c r="G39" s="97"/>
      <c r="H39" s="97"/>
      <c r="I39" s="110"/>
      <c r="J39" s="1"/>
    </row>
    <row r="40" spans="1:10" x14ac:dyDescent="0.3">
      <c r="A40" s="1"/>
      <c r="B40" s="109"/>
      <c r="C40" s="97"/>
      <c r="D40" s="376"/>
      <c r="E40" s="117">
        <f>10*LOG10(E39)</f>
        <v>39.822712330395682</v>
      </c>
      <c r="F40" s="97" t="s">
        <v>191</v>
      </c>
      <c r="G40" s="97"/>
      <c r="H40" s="97"/>
      <c r="I40" s="110"/>
      <c r="J40" s="1"/>
    </row>
    <row r="41" spans="1:10" x14ac:dyDescent="0.3">
      <c r="A41" s="1"/>
      <c r="B41" s="109"/>
      <c r="C41" s="97"/>
      <c r="D41" s="97" t="s">
        <v>193</v>
      </c>
      <c r="E41" s="117">
        <f>E38-E40</f>
        <v>24.065964629365119</v>
      </c>
      <c r="F41" s="97" t="s">
        <v>38</v>
      </c>
      <c r="G41" s="97"/>
      <c r="H41" s="97"/>
      <c r="I41" s="110"/>
      <c r="J41" s="1"/>
    </row>
    <row r="42" spans="1:10" x14ac:dyDescent="0.3">
      <c r="A42" s="1"/>
      <c r="B42" s="109"/>
      <c r="C42" s="97"/>
      <c r="D42" s="97" t="s">
        <v>194</v>
      </c>
      <c r="E42" s="195">
        <f>Modulation!X8</f>
        <v>1.0000000000000001E-5</v>
      </c>
      <c r="F42" s="97"/>
      <c r="G42" s="97"/>
      <c r="H42" s="97"/>
      <c r="I42" s="110"/>
      <c r="J42" s="1"/>
    </row>
    <row r="43" spans="1:10" x14ac:dyDescent="0.3">
      <c r="A43" s="1"/>
      <c r="B43" s="109"/>
      <c r="C43" s="97"/>
      <c r="D43" s="97" t="s">
        <v>195</v>
      </c>
      <c r="E43" s="117">
        <f>Modulation!X15</f>
        <v>13.9</v>
      </c>
      <c r="F43" s="97" t="s">
        <v>38</v>
      </c>
      <c r="G43" s="97"/>
      <c r="H43" s="97"/>
      <c r="I43" s="110"/>
      <c r="J43" s="1"/>
    </row>
    <row r="44" spans="1:10" ht="15" thickBot="1" x14ac:dyDescent="0.35">
      <c r="A44" s="1"/>
      <c r="B44" s="22"/>
      <c r="C44" s="112"/>
      <c r="D44" s="112" t="s">
        <v>196</v>
      </c>
      <c r="E44" s="204">
        <f>IF((E41-E43)&lt;0,"Link not completed!",E41-E43)</f>
        <v>10.165964629365119</v>
      </c>
      <c r="F44" s="112" t="s">
        <v>38</v>
      </c>
      <c r="G44" s="196" t="str">
        <f>IF(E44&gt;3,"Good signal reception","Hard to differentiate the signal from the noise")</f>
        <v>Good signal reception</v>
      </c>
      <c r="H44" s="112"/>
      <c r="I44" s="23"/>
      <c r="J44" s="1"/>
    </row>
    <row r="45" spans="1:10" ht="15" thickBot="1" x14ac:dyDescent="0.35">
      <c r="A45" s="1"/>
      <c r="B45" s="107"/>
      <c r="C45" s="100"/>
      <c r="D45" s="154" t="s">
        <v>197</v>
      </c>
      <c r="E45" s="104"/>
      <c r="F45" s="103"/>
      <c r="G45" s="100"/>
      <c r="H45" s="100"/>
      <c r="I45" s="108"/>
      <c r="J45" s="1"/>
    </row>
    <row r="46" spans="1:10" x14ac:dyDescent="0.3">
      <c r="A46" s="1"/>
      <c r="B46" s="119"/>
      <c r="C46" s="120"/>
      <c r="D46" s="120" t="s">
        <v>198</v>
      </c>
      <c r="E46" s="121">
        <f>IF(E44&lt;0,"Link not completed!",((E27)*LOG((1+E44),2)))</f>
        <v>87025.899651835251</v>
      </c>
      <c r="F46" s="122" t="s">
        <v>117</v>
      </c>
      <c r="G46" s="166" t="s">
        <v>199</v>
      </c>
      <c r="H46" s="120"/>
      <c r="I46" s="123"/>
      <c r="J46" s="1"/>
    </row>
    <row r="47" spans="1:10" ht="15" thickBot="1" x14ac:dyDescent="0.35">
      <c r="A47" s="1"/>
      <c r="B47" s="22"/>
      <c r="C47" s="112"/>
      <c r="D47" s="112" t="s">
        <v>200</v>
      </c>
      <c r="E47" s="118">
        <f>Modulation!X11*1000</f>
        <v>9600</v>
      </c>
      <c r="F47" s="113" t="s">
        <v>117</v>
      </c>
      <c r="G47" s="112"/>
      <c r="H47" s="112"/>
      <c r="I47" s="23"/>
      <c r="J47" s="1"/>
    </row>
    <row r="48" spans="1:10" x14ac:dyDescent="0.3">
      <c r="A48" s="1"/>
      <c r="B48" s="1"/>
      <c r="C48" s="1"/>
      <c r="D48" s="1"/>
      <c r="E48" s="1"/>
      <c r="F48" s="1"/>
      <c r="G48" s="1"/>
      <c r="H48" s="1"/>
      <c r="I48" s="1"/>
      <c r="J48" s="1"/>
    </row>
  </sheetData>
  <mergeCells count="3">
    <mergeCell ref="D6:D8"/>
    <mergeCell ref="C2:G2"/>
    <mergeCell ref="D39:D40"/>
  </mergeCells>
  <conditionalFormatting sqref="E18">
    <cfRule type="expression" dxfId="11" priority="9">
      <formula>$AA$9=1</formula>
    </cfRule>
  </conditionalFormatting>
  <conditionalFormatting sqref="E18">
    <cfRule type="expression" dxfId="10" priority="8">
      <formula>$AA$9=3</formula>
    </cfRule>
  </conditionalFormatting>
  <conditionalFormatting sqref="E18">
    <cfRule type="expression" dxfId="9" priority="7">
      <formula>$AA$9=4</formula>
    </cfRule>
  </conditionalFormatting>
  <conditionalFormatting sqref="E30">
    <cfRule type="expression" dxfId="8" priority="3">
      <formula>$AA$9=1</formula>
    </cfRule>
  </conditionalFormatting>
  <conditionalFormatting sqref="E30">
    <cfRule type="expression" dxfId="7" priority="2">
      <formula>$AA$9=3</formula>
    </cfRule>
  </conditionalFormatting>
  <conditionalFormatting sqref="E30">
    <cfRule type="expression" dxfId="6" priority="1">
      <formula>$AA$9=4</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2A71BC4ECA304CBE7FF294F62403D9" ma:contentTypeVersion="10" ma:contentTypeDescription="Create a new document." ma:contentTypeScope="" ma:versionID="122fefe54d960630bf5b20b24170daae">
  <xsd:schema xmlns:xsd="http://www.w3.org/2001/XMLSchema" xmlns:xs="http://www.w3.org/2001/XMLSchema" xmlns:p="http://schemas.microsoft.com/office/2006/metadata/properties" xmlns:ns2="faa8458a-39ef-48ae-8257-c495dbdb5060" xmlns:ns3="0f79ac94-e588-4a76-8f43-fa84dedf7eed" targetNamespace="http://schemas.microsoft.com/office/2006/metadata/properties" ma:root="true" ma:fieldsID="58d934540c3a58b188b1456c56549192" ns2:_="" ns3:_="">
    <xsd:import namespace="faa8458a-39ef-48ae-8257-c495dbdb5060"/>
    <xsd:import namespace="0f79ac94-e588-4a76-8f43-fa84dedf7ee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a8458a-39ef-48ae-8257-c495dbdb5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79ac94-e588-4a76-8f43-fa84dedf7ee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0f79ac94-e588-4a76-8f43-fa84dedf7eed">
      <UserInfo>
        <DisplayName>Ruhmaa Saeed Bhatti</DisplayName>
        <AccountId>512</AccountId>
        <AccountType/>
      </UserInfo>
      <UserInfo>
        <DisplayName>Jayshri Sabarinathan</DisplayName>
        <AccountId>16</AccountId>
        <AccountType/>
      </UserInfo>
      <UserInfo>
        <DisplayName>Alexander Tavares</DisplayName>
        <AccountId>505</AccountId>
        <AccountType/>
      </UserInfo>
      <UserInfo>
        <DisplayName>Sarah Coveney</DisplayName>
        <AccountId>520</AccountId>
        <AccountType/>
      </UserInfo>
      <UserInfo>
        <DisplayName>Zoee Fox</DisplayName>
        <AccountId>507</AccountId>
        <AccountType/>
      </UserInfo>
      <UserInfo>
        <DisplayName>Nicholas Scott Mitchell</DisplayName>
        <AccountId>20</AccountId>
        <AccountType/>
      </UserInfo>
      <UserInfo>
        <DisplayName>Aref Bakhtazad</DisplayName>
        <AccountId>18</AccountId>
        <AccountType/>
      </UserInfo>
    </SharedWithUsers>
  </documentManagement>
</p:properties>
</file>

<file path=customXml/itemProps1.xml><?xml version="1.0" encoding="utf-8"?>
<ds:datastoreItem xmlns:ds="http://schemas.openxmlformats.org/officeDocument/2006/customXml" ds:itemID="{7212931B-6F69-4190-ABF0-22BF5736C0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a8458a-39ef-48ae-8257-c495dbdb5060"/>
    <ds:schemaRef ds:uri="0f79ac94-e588-4a76-8f43-fa84dedf7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F528F6-6B5B-4C69-B6C2-5569144139F5}">
  <ds:schemaRefs>
    <ds:schemaRef ds:uri="http://schemas.microsoft.com/sharepoint/v3/contenttype/forms"/>
  </ds:schemaRefs>
</ds:datastoreItem>
</file>

<file path=customXml/itemProps3.xml><?xml version="1.0" encoding="utf-8"?>
<ds:datastoreItem xmlns:ds="http://schemas.openxmlformats.org/officeDocument/2006/customXml" ds:itemID="{F7B624CC-EC21-4ECE-9B2C-488EF5EECB77}">
  <ds:schemaRefs>
    <ds:schemaRef ds:uri="http://purl.org/dc/dcmitype/"/>
    <ds:schemaRef ds:uri="0f79ac94-e588-4a76-8f43-fa84dedf7eed"/>
    <ds:schemaRef ds:uri="http://www.w3.org/XML/1998/namespace"/>
    <ds:schemaRef ds:uri="http://purl.org/dc/terms/"/>
    <ds:schemaRef ds:uri="faa8458a-39ef-48ae-8257-c495dbdb5060"/>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Inputs</vt:lpstr>
      <vt:lpstr>Orbit</vt:lpstr>
      <vt:lpstr>Ground Station Hardware</vt:lpstr>
      <vt:lpstr>Transmitters</vt:lpstr>
      <vt:lpstr>Antennas</vt:lpstr>
      <vt:lpstr>Receivers</vt:lpstr>
      <vt:lpstr>Modulation</vt:lpstr>
      <vt:lpstr>Losses</vt:lpstr>
      <vt:lpstr>Uplink Budget</vt:lpstr>
      <vt:lpstr>Downlink Budget</vt:lpstr>
      <vt:lpstr>AX.25 Protocol Information</vt:lpstr>
      <vt:lpstr>Backend Data</vt:lpstr>
      <vt:lpstr>Downlink</vt:lpstr>
      <vt:lpstr>Uplink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Amyot</dc:creator>
  <cp:keywords/>
  <dc:description/>
  <cp:lastModifiedBy>Nicholas Mitchell</cp:lastModifiedBy>
  <cp:revision/>
  <dcterms:created xsi:type="dcterms:W3CDTF">2019-01-29T19:49:59Z</dcterms:created>
  <dcterms:modified xsi:type="dcterms:W3CDTF">2019-10-31T16:12:20Z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0x0101006D2A71BC4ECA304CBE7FF294F62403D9</vt:lpwstr>
  </property>
</Properties>
</file>