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ya\Desktop\CubeSat\"/>
    </mc:Choice>
  </mc:AlternateContent>
  <xr:revisionPtr revIDLastSave="0" documentId="13_ncr:1_{286DA677-B601-4ED2-9B58-A77E2AC6AFD8}" xr6:coauthVersionLast="36" xr6:coauthVersionMax="40" xr10:uidLastSave="{00000000-0000-0000-0000-000000000000}"/>
  <bookViews>
    <workbookView xWindow="0" yWindow="0" windowWidth="15000" windowHeight="11760" xr2:uid="{00000000-000D-0000-FFFF-FFFF00000000}"/>
  </bookViews>
  <sheets>
    <sheet name="Link" sheetId="1" r:id="rId1"/>
  </sheets>
  <definedNames>
    <definedName name="ColumnTitle1">Link!$B$3</definedName>
    <definedName name="_xlnm.Print_Titles" localSheetId="0">Link!$1:$3</definedName>
    <definedName name="valHighlight">IFERROR(IF(Link!$I$1="是", TRUE, FALSE),FALSE)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81" i="1" l="1"/>
  <c r="F54" i="1"/>
  <c r="F68" i="1"/>
  <c r="P63" i="1"/>
  <c r="P62" i="1"/>
  <c r="N60" i="1"/>
  <c r="N61" i="1" s="1"/>
  <c r="N59" i="1"/>
  <c r="N58" i="1"/>
  <c r="N57" i="1" s="1"/>
  <c r="P57" i="1" s="1"/>
  <c r="P56" i="1"/>
  <c r="P55" i="1"/>
  <c r="N64" i="1" l="1"/>
  <c r="F70" i="1" s="1"/>
  <c r="H70" i="1" s="1"/>
  <c r="P61" i="1"/>
  <c r="F65" i="1"/>
  <c r="F60" i="1"/>
  <c r="F75" i="1" s="1"/>
  <c r="H75" i="1" s="1"/>
  <c r="H82" i="1" s="1"/>
  <c r="F82" i="1" s="1"/>
  <c r="F63" i="1"/>
  <c r="F90" i="1"/>
  <c r="F89" i="1"/>
  <c r="H88" i="1"/>
  <c r="F86" i="1"/>
  <c r="F80" i="1"/>
  <c r="F77" i="1"/>
  <c r="H69" i="1"/>
  <c r="H68" i="1"/>
  <c r="H63" i="1"/>
  <c r="H56" i="1"/>
  <c r="F53" i="1"/>
  <c r="H53" i="1" s="1"/>
  <c r="F5" i="1"/>
  <c r="N19" i="1"/>
  <c r="M19" i="1" s="1"/>
  <c r="N18" i="1"/>
  <c r="M18" i="1" s="1"/>
  <c r="N17" i="1"/>
  <c r="M17" i="1" s="1"/>
  <c r="N16" i="1"/>
  <c r="M16" i="1" s="1"/>
  <c r="N15" i="1"/>
  <c r="M15" i="1" s="1"/>
  <c r="N14" i="1"/>
  <c r="M14" i="1" s="1"/>
  <c r="N13" i="1"/>
  <c r="M13" i="1" s="1"/>
  <c r="F6" i="1"/>
  <c r="N20" i="1"/>
  <c r="M20" i="1" s="1"/>
  <c r="N21" i="1"/>
  <c r="M21" i="1" s="1"/>
  <c r="F34" i="1"/>
  <c r="F33" i="1"/>
  <c r="F30" i="1"/>
  <c r="F43" i="1"/>
  <c r="P64" i="1" l="1"/>
  <c r="N65" i="1"/>
  <c r="P65" i="1"/>
  <c r="F72" i="1"/>
  <c r="F84" i="1"/>
  <c r="H84" i="1" s="1"/>
  <c r="H65" i="1"/>
  <c r="F91" i="1"/>
  <c r="H91" i="1" s="1"/>
  <c r="H54" i="1"/>
  <c r="F46" i="1"/>
  <c r="F42" i="1"/>
  <c r="F39" i="1"/>
  <c r="F21" i="1"/>
  <c r="F12" i="1"/>
  <c r="F28" i="1" s="1"/>
  <c r="F73" i="1" l="1"/>
  <c r="H73" i="1" s="1"/>
  <c r="H72" i="1"/>
  <c r="F44" i="1"/>
  <c r="F64" i="1" l="1"/>
  <c r="F66" i="1" s="1"/>
  <c r="H66" i="1" s="1"/>
  <c r="F48" i="1"/>
  <c r="H16" i="1"/>
  <c r="H64" i="1" l="1"/>
  <c r="F55" i="1"/>
  <c r="H55" i="1" s="1"/>
  <c r="Q21" i="1"/>
  <c r="F16" i="1" s="1"/>
  <c r="P49" i="1" l="1"/>
  <c r="P48" i="1"/>
  <c r="N46" i="1"/>
  <c r="N47" i="1" s="1"/>
  <c r="P47" i="1" s="1"/>
  <c r="N45" i="1"/>
  <c r="N44" i="1"/>
  <c r="N43" i="1" s="1"/>
  <c r="P43" i="1" s="1"/>
  <c r="P42" i="1"/>
  <c r="P41" i="1"/>
  <c r="N50" i="1" l="1"/>
  <c r="B8" i="1"/>
  <c r="H8" i="1"/>
  <c r="H41" i="1"/>
  <c r="H22" i="1"/>
  <c r="H21" i="1"/>
  <c r="Q14" i="1"/>
  <c r="Q15" i="1"/>
  <c r="Q16" i="1"/>
  <c r="Q17" i="1"/>
  <c r="Q18" i="1"/>
  <c r="Q19" i="1"/>
  <c r="Q20" i="1"/>
  <c r="Q13" i="1"/>
  <c r="B4" i="1"/>
  <c r="B5" i="1"/>
  <c r="B6" i="1"/>
  <c r="B9" i="1"/>
  <c r="B11" i="1"/>
  <c r="B12" i="1"/>
  <c r="B13" i="1"/>
  <c r="B15" i="1"/>
  <c r="B16" i="1"/>
  <c r="B17" i="1"/>
  <c r="B18" i="1"/>
  <c r="B20" i="1"/>
  <c r="B21" i="1"/>
  <c r="B22" i="1"/>
  <c r="B23" i="1"/>
  <c r="B24" i="1"/>
  <c r="B26" i="1"/>
  <c r="B27" i="1"/>
  <c r="B28" i="1"/>
  <c r="B30" i="1"/>
  <c r="B31" i="1"/>
  <c r="N51" i="1" l="1"/>
  <c r="F25" i="1" s="1"/>
  <c r="F23" i="1"/>
  <c r="P50" i="1"/>
  <c r="P51" i="1" l="1"/>
  <c r="H23" i="1"/>
  <c r="H25" i="1" l="1"/>
  <c r="H48" i="1" l="1"/>
  <c r="H44" i="1" l="1"/>
  <c r="H28" i="1"/>
  <c r="H35" i="1" s="1"/>
  <c r="F35" i="1" s="1"/>
  <c r="F37" i="1" s="1"/>
  <c r="H37" i="1" s="1"/>
  <c r="F26" i="1" l="1"/>
  <c r="F17" i="1" s="1"/>
  <c r="F7" i="1" s="1"/>
  <c r="H7" i="1" s="1"/>
  <c r="H26" i="1" l="1"/>
  <c r="H17" i="1"/>
  <c r="H5" i="1" s="1"/>
  <c r="L14" i="1"/>
  <c r="L17" i="1"/>
  <c r="H6" i="1"/>
  <c r="L13" i="1" l="1"/>
  <c r="F18" i="1"/>
  <c r="L18" i="1"/>
  <c r="L21" i="1"/>
  <c r="L20" i="1" l="1"/>
  <c r="L16" i="1"/>
  <c r="H18" i="1"/>
  <c r="F19" i="1"/>
  <c r="H19" i="1" s="1"/>
  <c r="L19" i="1"/>
  <c r="L15" i="1"/>
</calcChain>
</file>

<file path=xl/sharedStrings.xml><?xml version="1.0" encoding="utf-8"?>
<sst xmlns="http://schemas.openxmlformats.org/spreadsheetml/2006/main" count="1062" uniqueCount="269">
  <si>
    <t>已标记的待续订项目</t>
  </si>
  <si>
    <t xml:space="preserve">System Variable </t>
  </si>
  <si>
    <t>Variable Symbol</t>
  </si>
  <si>
    <t>Equation</t>
  </si>
  <si>
    <t>Value</t>
  </si>
  <si>
    <t>Unit</t>
  </si>
  <si>
    <t>Comment</t>
  </si>
  <si>
    <t>bits/sec</t>
  </si>
  <si>
    <t>N/A</t>
  </si>
  <si>
    <r>
      <t>R</t>
    </r>
    <r>
      <rPr>
        <vertAlign val="subscript"/>
        <sz val="12"/>
        <color theme="1"/>
        <rFont val="Microsoft YaHei UI"/>
        <family val="2"/>
        <charset val="134"/>
      </rPr>
      <t>designed</t>
    </r>
  </si>
  <si>
    <t>BER</t>
  </si>
  <si>
    <t>Pre-defined</t>
  </si>
  <si>
    <t>Digital Modulation Scheme</t>
  </si>
  <si>
    <t>Symbol Time (second)</t>
  </si>
  <si>
    <t>Bit Rate (bits/s)</t>
  </si>
  <si>
    <t>Bandwidth (Hz)</t>
  </si>
  <si>
    <t>BPSK</t>
  </si>
  <si>
    <t>QPSK</t>
  </si>
  <si>
    <t>4-QAM</t>
  </si>
  <si>
    <t>4-PAM</t>
  </si>
  <si>
    <t>16-QAM</t>
  </si>
  <si>
    <t>16-PSK</t>
  </si>
  <si>
    <t>32-PSK</t>
  </si>
  <si>
    <t>64-QAM</t>
  </si>
  <si>
    <t>T</t>
  </si>
  <si>
    <t>1/T</t>
  </si>
  <si>
    <t>C</t>
  </si>
  <si>
    <t>1/(C*T)</t>
  </si>
  <si>
    <t>From grath and table</t>
  </si>
  <si>
    <r>
      <t>E</t>
    </r>
    <r>
      <rPr>
        <vertAlign val="subscript"/>
        <sz val="11"/>
        <color theme="1"/>
        <rFont val="Microsoft YaHei UI"/>
        <family val="2"/>
        <charset val="134"/>
      </rPr>
      <t>b</t>
    </r>
    <r>
      <rPr>
        <sz val="11"/>
        <color theme="1"/>
        <rFont val="Microsoft YaHei UI"/>
        <family val="2"/>
        <charset val="134"/>
      </rPr>
      <t>/N</t>
    </r>
    <r>
      <rPr>
        <vertAlign val="subscript"/>
        <sz val="11"/>
        <color theme="1"/>
        <rFont val="Microsoft YaHei UI"/>
        <family val="2"/>
        <charset val="134"/>
      </rPr>
      <t xml:space="preserve">0 </t>
    </r>
    <r>
      <rPr>
        <sz val="11"/>
        <color theme="1"/>
        <rFont val="Microsoft YaHei UI"/>
        <family val="2"/>
        <charset val="134"/>
      </rPr>
      <t xml:space="preserve"> (dB)</t>
    </r>
    <r>
      <rPr>
        <vertAlign val="subscript"/>
        <sz val="11"/>
        <color theme="1"/>
        <rFont val="Microsoft YaHei UI"/>
        <family val="2"/>
        <charset val="134"/>
      </rPr>
      <t xml:space="preserve"> </t>
    </r>
    <r>
      <rPr>
        <sz val="11"/>
        <color theme="1"/>
        <rFont val="Microsoft YaHei UI"/>
        <family val="2"/>
        <charset val="134"/>
      </rPr>
      <t>(At BER = 10</t>
    </r>
    <r>
      <rPr>
        <vertAlign val="superscript"/>
        <sz val="11"/>
        <color theme="1"/>
        <rFont val="Microsoft YaHei UI"/>
        <family val="2"/>
        <charset val="134"/>
      </rPr>
      <t>-5</t>
    </r>
    <r>
      <rPr>
        <sz val="11"/>
        <color theme="1"/>
        <rFont val="Microsoft YaHei UI"/>
        <family val="2"/>
        <charset val="134"/>
      </rPr>
      <t>)</t>
    </r>
  </si>
  <si>
    <t>dB to magnitude</t>
  </si>
  <si>
    <t>Frequency</t>
  </si>
  <si>
    <t>f</t>
  </si>
  <si>
    <t>Hz</t>
  </si>
  <si>
    <t>Wavelength</t>
  </si>
  <si>
    <t>m</t>
  </si>
  <si>
    <t>Wavelength based on frequency</t>
  </si>
  <si>
    <t>Bandwidth</t>
  </si>
  <si>
    <t>B</t>
  </si>
  <si>
    <t>Modulation efficiency (bits/second/Hz)</t>
  </si>
  <si>
    <t>From modulation table</t>
  </si>
  <si>
    <t>Unit (dB)</t>
  </si>
  <si>
    <t>Calculated</t>
  </si>
  <si>
    <t>Yellow = Given value</t>
  </si>
  <si>
    <t>Name</t>
  </si>
  <si>
    <t>Speed of light (c)</t>
  </si>
  <si>
    <t>m/s</t>
  </si>
  <si>
    <t>Red = constant</t>
  </si>
  <si>
    <t>Antenna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</si>
  <si>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A</t>
    </r>
  </si>
  <si>
    <t>K</t>
  </si>
  <si>
    <t>From the graph below</t>
  </si>
  <si>
    <t>Main lobe &amp; side lobes 100% effiency</t>
  </si>
  <si>
    <t>SNR per bit</t>
  </si>
  <si>
    <r>
      <t>E</t>
    </r>
    <r>
      <rPr>
        <vertAlign val="subscript"/>
        <sz val="12"/>
        <color theme="1"/>
        <rFont val="Microsoft YaHei UI"/>
        <family val="2"/>
        <charset val="134"/>
      </rPr>
      <t>b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  <charset val="134"/>
      </rPr>
      <t>0</t>
    </r>
  </si>
  <si>
    <t>Antenna Physical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</si>
  <si>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A0</t>
    </r>
  </si>
  <si>
    <t>Ground Temperature</t>
  </si>
  <si>
    <t>Ground Station</t>
  </si>
  <si>
    <t>Effective Internal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</si>
  <si>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E</t>
    </r>
  </si>
  <si>
    <t>Assumption</t>
  </si>
  <si>
    <t>System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</si>
  <si>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sys</t>
    </r>
  </si>
  <si>
    <t>Antenna Radiative Effiency</t>
  </si>
  <si>
    <r>
      <t>T</t>
    </r>
    <r>
      <rPr>
        <vertAlign val="subscript"/>
        <sz val="12"/>
        <color theme="1"/>
        <rFont val="Microsoft YaHei UI"/>
        <family val="2"/>
        <charset val="134"/>
      </rPr>
      <t>sys</t>
    </r>
    <r>
      <rPr>
        <sz val="12"/>
        <color theme="1"/>
        <rFont val="Microsoft YaHei UI"/>
        <family val="2"/>
        <charset val="134"/>
      </rPr>
      <t xml:space="preserve"> = T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*ξr + (1-ξ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)*T</t>
    </r>
    <r>
      <rPr>
        <vertAlign val="subscript"/>
        <sz val="12"/>
        <color theme="1"/>
        <rFont val="Microsoft YaHei UI"/>
        <family val="2"/>
        <charset val="134"/>
      </rPr>
      <t>0</t>
    </r>
    <r>
      <rPr>
        <sz val="12"/>
        <color theme="1"/>
        <rFont val="Microsoft YaHei UI"/>
        <family val="2"/>
        <charset val="134"/>
      </rPr>
      <t xml:space="preserve"> + T</t>
    </r>
    <r>
      <rPr>
        <vertAlign val="subscript"/>
        <sz val="12"/>
        <color theme="1"/>
        <rFont val="Microsoft YaHei UI"/>
        <family val="2"/>
        <charset val="134"/>
      </rPr>
      <t>E</t>
    </r>
  </si>
  <si>
    <t>Toal  noise temperature</t>
  </si>
  <si>
    <t>Antenna Average Noise Power</t>
  </si>
  <si>
    <t>J/K</t>
  </si>
  <si>
    <t>Average Noise power</t>
  </si>
  <si>
    <t>W</t>
  </si>
  <si>
    <r>
      <t>N</t>
    </r>
    <r>
      <rPr>
        <vertAlign val="subscript"/>
        <sz val="14"/>
        <color theme="1"/>
        <rFont val="Microsoft YaHei UI"/>
        <family val="2"/>
        <charset val="134"/>
      </rPr>
      <t>sys</t>
    </r>
  </si>
  <si>
    <t>Antenna Received Power</t>
  </si>
  <si>
    <r>
      <t>P</t>
    </r>
    <r>
      <rPr>
        <vertAlign val="subscript"/>
        <sz val="14"/>
        <color theme="1"/>
        <rFont val="Microsoft YaHei UI"/>
        <family val="2"/>
        <charset val="134"/>
      </rPr>
      <t>re</t>
    </r>
  </si>
  <si>
    <r>
      <t>N</t>
    </r>
    <r>
      <rPr>
        <vertAlign val="subscript"/>
        <sz val="14"/>
        <color theme="1"/>
        <rFont val="Microsoft YaHei UI"/>
        <family val="2"/>
        <charset val="134"/>
      </rPr>
      <t>sys</t>
    </r>
    <r>
      <rPr>
        <sz val="14"/>
        <color theme="1"/>
        <rFont val="Microsoft YaHei UI"/>
        <family val="2"/>
        <charset val="134"/>
      </rPr>
      <t xml:space="preserve"> = K*T</t>
    </r>
    <r>
      <rPr>
        <vertAlign val="subscript"/>
        <sz val="14"/>
        <color theme="1"/>
        <rFont val="Microsoft YaHei UI"/>
        <family val="2"/>
        <charset val="134"/>
      </rPr>
      <t>sys</t>
    </r>
    <r>
      <rPr>
        <sz val="14"/>
        <color theme="1"/>
        <rFont val="Microsoft YaHei UI"/>
        <family val="2"/>
        <charset val="134"/>
      </rPr>
      <t>*B</t>
    </r>
  </si>
  <si>
    <t>Power received at antenna</t>
  </si>
  <si>
    <t>d</t>
  </si>
  <si>
    <t>Free Space Path Loss</t>
  </si>
  <si>
    <r>
      <t>L</t>
    </r>
    <r>
      <rPr>
        <vertAlign val="subscript"/>
        <sz val="14"/>
        <color theme="1"/>
        <rFont val="Microsoft YaHei UI"/>
        <family val="2"/>
        <charset val="134"/>
      </rPr>
      <t>f</t>
    </r>
  </si>
  <si>
    <t>λ = c/f</t>
  </si>
  <si>
    <t>Propagation Path Loss</t>
  </si>
  <si>
    <t>Aperture Effiency</t>
  </si>
  <si>
    <r>
      <t>e</t>
    </r>
    <r>
      <rPr>
        <vertAlign val="subscript"/>
        <sz val="14"/>
        <color theme="1"/>
        <rFont val="Microsoft YaHei UI"/>
        <family val="2"/>
        <charset val="134"/>
      </rPr>
      <t>a</t>
    </r>
  </si>
  <si>
    <r>
      <t>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 xml:space="preserve"> = Ae/Ap</t>
    </r>
  </si>
  <si>
    <t>For aperture ea =1</t>
  </si>
  <si>
    <t>Receiver Antenna Gain</t>
  </si>
  <si>
    <t>Given</t>
  </si>
  <si>
    <r>
      <t>G</t>
    </r>
    <r>
      <rPr>
        <vertAlign val="subscript"/>
        <sz val="12"/>
        <color theme="1"/>
        <rFont val="Microsoft YaHei UI"/>
        <family val="2"/>
        <charset val="134"/>
      </rPr>
      <t>re</t>
    </r>
  </si>
  <si>
    <r>
      <t>G</t>
    </r>
    <r>
      <rPr>
        <vertAlign val="subscript"/>
        <sz val="12"/>
        <color theme="1"/>
        <rFont val="Microsoft YaHei UI"/>
        <family val="2"/>
        <charset val="134"/>
      </rPr>
      <t>re</t>
    </r>
    <r>
      <rPr>
        <sz val="12"/>
        <color theme="1"/>
        <rFont val="Microsoft YaHei UI"/>
        <family val="2"/>
        <charset val="134"/>
      </rPr>
      <t xml:space="preserve"> =  ξ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*e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*(pi*D</t>
    </r>
    <r>
      <rPr>
        <vertAlign val="subscript"/>
        <sz val="12"/>
        <color theme="1"/>
        <rFont val="Microsoft YaHei UI"/>
        <family val="2"/>
        <charset val="134"/>
      </rPr>
      <t>re</t>
    </r>
    <r>
      <rPr>
        <sz val="12"/>
        <color theme="1"/>
        <rFont val="Microsoft YaHei UI"/>
        <family val="2"/>
        <charset val="134"/>
      </rPr>
      <t>/λ)^2</t>
    </r>
  </si>
  <si>
    <t>Antenna gain at receiver side</t>
  </si>
  <si>
    <t>Transmitted Power</t>
  </si>
  <si>
    <r>
      <t>P</t>
    </r>
    <r>
      <rPr>
        <vertAlign val="subscript"/>
        <sz val="12"/>
        <color theme="1"/>
        <rFont val="Microsoft YaHei UI"/>
        <family val="2"/>
        <charset val="134"/>
      </rPr>
      <t>t</t>
    </r>
  </si>
  <si>
    <t>Transmitter Antenna Gain</t>
  </si>
  <si>
    <r>
      <t>G</t>
    </r>
    <r>
      <rPr>
        <vertAlign val="subscript"/>
        <sz val="14"/>
        <color theme="1"/>
        <rFont val="Microsoft YaHei UI"/>
        <family val="2"/>
        <charset val="134"/>
      </rPr>
      <t>tr</t>
    </r>
  </si>
  <si>
    <t>Antenna gain at transmitter side</t>
  </si>
  <si>
    <t>EIRP of Transmitting Antenna</t>
  </si>
  <si>
    <r>
      <t>P</t>
    </r>
    <r>
      <rPr>
        <vertAlign val="subscript"/>
        <sz val="14"/>
        <color theme="1"/>
        <rFont val="Microsoft YaHei UI"/>
        <family val="2"/>
        <charset val="134"/>
      </rPr>
      <t>EIRP</t>
    </r>
  </si>
  <si>
    <t>EIRP of rover antenna</t>
  </si>
  <si>
    <t>Channel Capacity</t>
  </si>
  <si>
    <t>Shannon Channel Capacity</t>
  </si>
  <si>
    <t>Required Beamwidth</t>
  </si>
  <si>
    <t>Actual Beamwidth</t>
  </si>
  <si>
    <t>Radian</t>
  </si>
  <si>
    <r>
      <t>ß</t>
    </r>
    <r>
      <rPr>
        <vertAlign val="subscript"/>
        <sz val="16"/>
        <color theme="1"/>
        <rFont val="Calibri"/>
        <family val="2"/>
      </rPr>
      <t>required</t>
    </r>
  </si>
  <si>
    <r>
      <t>ß</t>
    </r>
    <r>
      <rPr>
        <vertAlign val="subscript"/>
        <sz val="14"/>
        <color theme="1"/>
        <rFont val="Microsoft YaHei UI"/>
        <family val="2"/>
        <charset val="134"/>
      </rPr>
      <t>actual</t>
    </r>
  </si>
  <si>
    <t>Earth Diameter</t>
  </si>
  <si>
    <r>
      <t>d</t>
    </r>
    <r>
      <rPr>
        <vertAlign val="subscript"/>
        <sz val="14"/>
        <color theme="1"/>
        <rFont val="Microsoft YaHei UI"/>
        <family val="2"/>
        <charset val="134"/>
      </rPr>
      <t>earth</t>
    </r>
  </si>
  <si>
    <t>Diameter of Earth</t>
  </si>
  <si>
    <r>
      <t>ß</t>
    </r>
    <r>
      <rPr>
        <vertAlign val="subscript"/>
        <sz val="14"/>
        <color theme="1"/>
        <rFont val="Microsoft YaHei UI"/>
        <family val="2"/>
        <charset val="134"/>
      </rPr>
      <t xml:space="preserve">actual = </t>
    </r>
    <r>
      <rPr>
        <sz val="14"/>
        <color theme="1"/>
        <rFont val="Microsoft YaHei UI"/>
        <family val="2"/>
        <charset val="134"/>
      </rPr>
      <t>0.88*λ/d</t>
    </r>
    <r>
      <rPr>
        <vertAlign val="subscript"/>
        <sz val="14"/>
        <color theme="1"/>
        <rFont val="Microsoft YaHei UI"/>
        <family val="2"/>
        <charset val="134"/>
      </rPr>
      <t>tr</t>
    </r>
  </si>
  <si>
    <t>Beamwidth required to cover the earth suface</t>
  </si>
  <si>
    <t>Transmitting Antenna Directivity</t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</si>
  <si>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</si>
  <si>
    <t>Directivity of Transmitting Antenna</t>
  </si>
  <si>
    <r>
      <t>Eb/N0  (mag) (At BER = 10</t>
    </r>
    <r>
      <rPr>
        <vertAlign val="superscript"/>
        <sz val="11"/>
        <color theme="1"/>
        <rFont val="Microsoft YaHei UI"/>
        <family val="2"/>
        <charset val="134"/>
      </rPr>
      <t>-5</t>
    </r>
    <r>
      <rPr>
        <sz val="11"/>
        <color theme="1"/>
        <rFont val="Microsoft YaHei UI"/>
        <family val="2"/>
        <charset val="134"/>
      </rPr>
      <t>)</t>
    </r>
    <phoneticPr fontId="6" type="noConversion"/>
  </si>
  <si>
    <t xml:space="preserve">Boltzmann's Constant </t>
    <phoneticPr fontId="6" type="noConversion"/>
  </si>
  <si>
    <r>
      <rPr>
        <sz val="18"/>
        <color theme="1"/>
        <rFont val="Calibri"/>
        <family val="2"/>
      </rPr>
      <t xml:space="preserve"> ξ</t>
    </r>
    <r>
      <rPr>
        <vertAlign val="subscript"/>
        <sz val="18"/>
        <color theme="1"/>
        <rFont val="Microsoft YaHei UI"/>
        <family val="2"/>
        <charset val="134"/>
      </rPr>
      <t>r</t>
    </r>
    <phoneticPr fontId="6" type="noConversion"/>
  </si>
  <si>
    <t>Assuem a LNA amplifier</t>
    <phoneticPr fontId="6" type="noConversion"/>
  </si>
  <si>
    <t>System Noise Temperature</t>
    <phoneticPr fontId="6" type="noConversion"/>
  </si>
  <si>
    <t>Noise Variable</t>
    <phoneticPr fontId="6" type="noConversion"/>
  </si>
  <si>
    <t>Symbol</t>
    <phoneticPr fontId="6" type="noConversion"/>
  </si>
  <si>
    <t>Value</t>
    <phoneticPr fontId="6" type="noConversion"/>
  </si>
  <si>
    <t>Value in db</t>
    <phoneticPr fontId="6" type="noConversion"/>
  </si>
  <si>
    <t>Comment</t>
    <phoneticPr fontId="6" type="noConversion"/>
  </si>
  <si>
    <t>Equation</t>
    <phoneticPr fontId="6" type="noConversion"/>
  </si>
  <si>
    <t>Antenna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</si>
  <si>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</t>
    </r>
    <phoneticPr fontId="6" type="noConversion"/>
  </si>
  <si>
    <t>Physical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</si>
  <si>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A0</t>
    </r>
    <phoneticPr fontId="6" type="noConversion"/>
  </si>
  <si>
    <t>N/A</t>
    <phoneticPr fontId="6" type="noConversion"/>
  </si>
  <si>
    <t>From graph above</t>
    <phoneticPr fontId="6" type="noConversion"/>
  </si>
  <si>
    <t>Ground Temperature</t>
    <phoneticPr fontId="6" type="noConversion"/>
  </si>
  <si>
    <t>Transmission Line Temperature</t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</si>
  <si>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 xml:space="preserve"> = 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-1)T</t>
    </r>
    <r>
      <rPr>
        <vertAlign val="subscript"/>
        <sz val="12"/>
        <color theme="1"/>
        <rFont val="Microsoft YaHei UI"/>
        <family val="2"/>
      </rPr>
      <t>0</t>
    </r>
    <phoneticPr fontId="6" type="noConversion"/>
  </si>
  <si>
    <t>Transmission Line Attenuation Factor</t>
    <phoneticPr fontId="6" type="noConversion"/>
  </si>
  <si>
    <t>Noise Temperature in Transmission Line</t>
    <phoneticPr fontId="6" type="noConversion"/>
  </si>
  <si>
    <t>Loss factor on transmission line</t>
    <phoneticPr fontId="6" type="noConversion"/>
  </si>
  <si>
    <t>Gain of RF Amplifier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</si>
  <si>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t</t>
    </r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</si>
  <si>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t</t>
    </r>
    <phoneticPr fontId="6" type="noConversion"/>
  </si>
  <si>
    <r>
      <t>G</t>
    </r>
    <r>
      <rPr>
        <vertAlign val="subscript"/>
        <sz val="14"/>
        <color theme="1"/>
        <rFont val="Microsoft YaHei UI"/>
        <family val="2"/>
      </rPr>
      <t>RF</t>
    </r>
    <phoneticPr fontId="6" type="noConversion"/>
  </si>
  <si>
    <t>RF amplifier gain</t>
    <phoneticPr fontId="6" type="noConversion"/>
  </si>
  <si>
    <t>Mixer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</si>
  <si>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M</t>
    </r>
    <phoneticPr fontId="6" type="noConversion"/>
  </si>
  <si>
    <t>Mixer Attenuation Factor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</si>
  <si>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M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</si>
  <si>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 xml:space="preserve">M </t>
    </r>
    <r>
      <rPr>
        <sz val="12"/>
        <color theme="1"/>
        <rFont val="Microsoft YaHei UI"/>
        <family val="2"/>
      </rPr>
      <t>= (L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>-1</t>
    </r>
    <r>
      <rPr>
        <vertAlign val="subscript"/>
        <sz val="12"/>
        <color theme="1"/>
        <rFont val="Microsoft YaHei UI"/>
        <family val="2"/>
      </rPr>
      <t>)</t>
    </r>
    <r>
      <rPr>
        <sz val="12"/>
        <color theme="1"/>
        <rFont val="Microsoft YaHei UI"/>
        <family val="2"/>
      </rPr>
      <t>*T</t>
    </r>
    <r>
      <rPr>
        <vertAlign val="subscript"/>
        <sz val="12"/>
        <color theme="1"/>
        <rFont val="Microsoft YaHei UI"/>
        <family val="2"/>
      </rPr>
      <t>0</t>
    </r>
    <phoneticPr fontId="6" type="noConversion"/>
  </si>
  <si>
    <t>Loss factor on mixer</t>
    <phoneticPr fontId="6" type="noConversion"/>
  </si>
  <si>
    <t>Noise Temperature in Mixer</t>
    <phoneticPr fontId="6" type="noConversion"/>
  </si>
  <si>
    <t xml:space="preserve">IF Amplifier Noise Temperature 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</si>
  <si>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IF</t>
    </r>
    <phoneticPr fontId="6" type="noConversion"/>
  </si>
  <si>
    <t>General IF amplifier temperature</t>
    <phoneticPr fontId="6" type="noConversion"/>
  </si>
  <si>
    <t>Effective Internal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</si>
  <si>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E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</si>
  <si>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E</t>
    </r>
    <r>
      <rPr>
        <sz val="12"/>
        <color theme="1"/>
        <rFont val="Microsoft YaHei UI"/>
        <family val="2"/>
      </rPr>
      <t>=T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+(L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)T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+(L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/G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)T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 xml:space="preserve"> + ((L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L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>)/G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)*T</t>
    </r>
    <r>
      <rPr>
        <vertAlign val="subscript"/>
        <sz val="12"/>
        <color theme="1"/>
        <rFont val="Microsoft YaHei UI"/>
        <family val="2"/>
      </rPr>
      <t>IF</t>
    </r>
    <phoneticPr fontId="6" type="noConversion"/>
  </si>
  <si>
    <t>Noise Temperature on RF Amplifier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</si>
  <si>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RF</t>
    </r>
    <phoneticPr fontId="6" type="noConversion"/>
  </si>
  <si>
    <t>General RF amplifier temperature</t>
    <phoneticPr fontId="6" type="noConversion"/>
  </si>
  <si>
    <t>Unit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</si>
  <si>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sys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</si>
  <si>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sys</t>
    </r>
    <r>
      <rPr>
        <sz val="12"/>
        <color theme="1"/>
        <rFont val="Microsoft YaHei UI"/>
        <family val="2"/>
      </rPr>
      <t xml:space="preserve"> = T</t>
    </r>
    <r>
      <rPr>
        <vertAlign val="subscript"/>
        <sz val="12"/>
        <color theme="1"/>
        <rFont val="Microsoft YaHei UI"/>
        <family val="2"/>
      </rPr>
      <t>A</t>
    </r>
    <r>
      <rPr>
        <sz val="12"/>
        <color theme="1"/>
        <rFont val="Microsoft YaHei UI"/>
        <family val="2"/>
      </rPr>
      <t>*ξr + T</t>
    </r>
    <r>
      <rPr>
        <vertAlign val="subscript"/>
        <sz val="12"/>
        <color theme="1"/>
        <rFont val="Microsoft YaHei UI"/>
        <family val="2"/>
      </rPr>
      <t>A0</t>
    </r>
    <r>
      <rPr>
        <sz val="12"/>
        <color theme="1"/>
        <rFont val="Microsoft YaHei UI"/>
        <family val="2"/>
      </rPr>
      <t>(1- ξr) + T</t>
    </r>
    <r>
      <rPr>
        <vertAlign val="subscript"/>
        <sz val="12"/>
        <color theme="1"/>
        <rFont val="Microsoft YaHei UI"/>
        <family val="2"/>
      </rPr>
      <t>E</t>
    </r>
    <phoneticPr fontId="6" type="noConversion"/>
  </si>
  <si>
    <t>K</t>
    <phoneticPr fontId="6" type="noConversion"/>
  </si>
  <si>
    <t>Total noise temperature</t>
    <phoneticPr fontId="6" type="noConversion"/>
  </si>
  <si>
    <t xml:space="preserve">Noise Temperature </t>
    <phoneticPr fontId="6" type="noConversion"/>
  </si>
  <si>
    <t>λ</t>
    <phoneticPr fontId="6" type="noConversion"/>
  </si>
  <si>
    <t>Assume 80% effiency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</si>
  <si>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  <charset val="134"/>
      </rPr>
      <t>f</t>
    </r>
    <r>
      <rPr>
        <sz val="14"/>
        <color theme="1"/>
        <rFont val="Microsoft YaHei UI"/>
        <family val="2"/>
        <charset val="134"/>
      </rPr>
      <t xml:space="preserve"> = (λ/(4*pi*d))^2</t>
    </r>
    <phoneticPr fontId="6" type="noConversion"/>
  </si>
  <si>
    <r>
      <t>G</t>
    </r>
    <r>
      <rPr>
        <vertAlign val="subscript"/>
        <sz val="12"/>
        <color theme="1"/>
        <rFont val="Microsoft YaHei UI"/>
        <family val="2"/>
        <charset val="134"/>
      </rPr>
      <t xml:space="preserve">tr </t>
    </r>
    <r>
      <rPr>
        <sz val="12"/>
        <color theme="1"/>
        <rFont val="Microsoft YaHei UI"/>
        <family val="2"/>
        <charset val="134"/>
      </rPr>
      <t>= Ptr/(P</t>
    </r>
    <r>
      <rPr>
        <vertAlign val="subscript"/>
        <sz val="12"/>
        <color theme="1"/>
        <rFont val="Microsoft YaHei UI"/>
        <family val="2"/>
        <charset val="134"/>
      </rPr>
      <t>t</t>
    </r>
    <r>
      <rPr>
        <sz val="12"/>
        <color theme="1"/>
        <rFont val="Microsoft YaHei UI"/>
        <family val="2"/>
        <charset val="134"/>
      </rPr>
      <t>*G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*L</t>
    </r>
    <r>
      <rPr>
        <vertAlign val="subscript"/>
        <sz val="12"/>
        <color theme="1"/>
        <rFont val="Microsoft YaHei UI"/>
        <family val="2"/>
        <charset val="134"/>
      </rPr>
      <t>f</t>
    </r>
    <r>
      <rPr>
        <sz val="12"/>
        <color theme="1"/>
        <rFont val="Microsoft YaHei UI"/>
        <family val="2"/>
        <charset val="134"/>
      </rPr>
      <t>)</t>
    </r>
    <phoneticPr fontId="6" type="noConversion"/>
  </si>
  <si>
    <r>
      <t>ß</t>
    </r>
    <r>
      <rPr>
        <vertAlign val="subscript"/>
        <sz val="14"/>
        <color theme="1"/>
        <rFont val="Microsoft YaHei UI"/>
        <family val="2"/>
        <charset val="134"/>
      </rPr>
      <t>required</t>
    </r>
    <r>
      <rPr>
        <sz val="14"/>
        <color theme="1"/>
        <rFont val="Microsoft YaHei UI"/>
        <family val="2"/>
        <charset val="134"/>
      </rPr>
      <t xml:space="preserve"> =2*sin</t>
    </r>
    <r>
      <rPr>
        <vertAlign val="superscript"/>
        <sz val="14"/>
        <color theme="1"/>
        <rFont val="Microsoft YaHei UI"/>
        <family val="2"/>
        <charset val="134"/>
      </rPr>
      <t>-1</t>
    </r>
    <r>
      <rPr>
        <sz val="14"/>
        <color theme="1"/>
        <rFont val="Microsoft YaHei UI"/>
        <family val="2"/>
        <charset val="134"/>
      </rPr>
      <t>(d</t>
    </r>
    <r>
      <rPr>
        <vertAlign val="subscript"/>
        <sz val="14"/>
        <color theme="1"/>
        <rFont val="Microsoft YaHei UI"/>
        <family val="2"/>
        <charset val="134"/>
      </rPr>
      <t>earth</t>
    </r>
    <r>
      <rPr>
        <sz val="14"/>
        <color theme="1"/>
        <rFont val="Microsoft YaHei UI"/>
        <family val="2"/>
        <charset val="134"/>
      </rPr>
      <t>/2/(d+d</t>
    </r>
    <r>
      <rPr>
        <vertAlign val="subscript"/>
        <sz val="14"/>
        <color theme="1"/>
        <rFont val="Microsoft YaHei UI"/>
        <family val="2"/>
      </rPr>
      <t>earth</t>
    </r>
    <r>
      <rPr>
        <sz val="14"/>
        <color theme="1"/>
        <rFont val="Microsoft YaHei UI"/>
        <family val="2"/>
        <charset val="134"/>
      </rPr>
      <t>/2)</t>
    </r>
    <phoneticPr fontId="6" type="noConversion"/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</si>
  <si>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 xml:space="preserve"> = G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>/ ξ</t>
    </r>
    <r>
      <rPr>
        <vertAlign val="subscript"/>
        <sz val="14"/>
        <color theme="1"/>
        <rFont val="Microsoft YaHei UI"/>
        <family val="2"/>
        <charset val="134"/>
      </rPr>
      <t>r</t>
    </r>
    <phoneticPr fontId="6" type="noConversion"/>
  </si>
  <si>
    <t>GMSK</t>
    <phoneticPr fontId="6" type="noConversion"/>
  </si>
  <si>
    <t>CubeSat Telemetry Link Design</t>
    <phoneticPr fontId="6" type="noConversion"/>
  </si>
  <si>
    <t>S-bnad</t>
    <phoneticPr fontId="6" type="noConversion"/>
  </si>
  <si>
    <t>Modulation Scheme GMSK</t>
    <phoneticPr fontId="6" type="noConversion"/>
  </si>
  <si>
    <t>Distane from CubSat to Earth</t>
    <phoneticPr fontId="6" type="noConversion"/>
  </si>
  <si>
    <t>Distance between Earth and CubSat</t>
    <phoneticPr fontId="6" type="noConversion"/>
  </si>
  <si>
    <t>N/A</t>
    <phoneticPr fontId="6" type="noConversion"/>
  </si>
  <si>
    <t>Transmitting Antenna Beamwidth &amp; Aperture</t>
    <phoneticPr fontId="6" type="noConversion"/>
  </si>
  <si>
    <r>
      <t>SNR = P</t>
    </r>
    <r>
      <rPr>
        <vertAlign val="subscript"/>
        <sz val="12"/>
        <color theme="1"/>
        <rFont val="Microsoft YaHei UI"/>
        <family val="2"/>
      </rPr>
      <t>re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</rPr>
      <t>sys</t>
    </r>
    <phoneticPr fontId="6" type="noConversion"/>
  </si>
  <si>
    <r>
      <t>B = R</t>
    </r>
    <r>
      <rPr>
        <vertAlign val="subscript"/>
        <sz val="12"/>
        <color theme="1"/>
        <rFont val="Microsoft YaHei UI"/>
        <family val="2"/>
      </rPr>
      <t>designed</t>
    </r>
    <r>
      <rPr>
        <sz val="12"/>
        <color theme="1"/>
        <rFont val="Microsoft YaHei UI"/>
        <family val="2"/>
        <charset val="134"/>
      </rPr>
      <t>/C</t>
    </r>
    <phoneticPr fontId="6" type="noConversion"/>
  </si>
  <si>
    <t>CST</t>
    <phoneticPr fontId="6" type="noConversion"/>
  </si>
  <si>
    <t>Constants Table</t>
    <phoneticPr fontId="6" type="noConversion"/>
  </si>
  <si>
    <t>Date Rate &amp; Propagation wave (Down-link)</t>
    <phoneticPr fontId="6" type="noConversion"/>
  </si>
  <si>
    <r>
      <t>C = B*log</t>
    </r>
    <r>
      <rPr>
        <vertAlign val="subscript"/>
        <sz val="12"/>
        <color theme="1"/>
        <rFont val="Microsoft YaHei UI"/>
        <family val="2"/>
      </rPr>
      <t>2</t>
    </r>
    <r>
      <rPr>
        <sz val="12"/>
        <color theme="1"/>
        <rFont val="Microsoft YaHei UI"/>
        <family val="2"/>
        <charset val="134"/>
      </rPr>
      <t>(1+SNR)</t>
    </r>
    <phoneticPr fontId="6" type="noConversion"/>
  </si>
  <si>
    <t>Bit Error Rate</t>
    <phoneticPr fontId="6" type="noConversion"/>
  </si>
  <si>
    <t>Calculated SNR</t>
    <phoneticPr fontId="6" type="noConversion"/>
  </si>
  <si>
    <r>
      <t>SNR</t>
    </r>
    <r>
      <rPr>
        <vertAlign val="subscript"/>
        <sz val="12"/>
        <color theme="1"/>
        <rFont val="Microsoft YaHei UI"/>
        <family val="2"/>
      </rPr>
      <t>sys</t>
    </r>
    <phoneticPr fontId="6" type="noConversion"/>
  </si>
  <si>
    <r>
      <t>SNR</t>
    </r>
    <r>
      <rPr>
        <vertAlign val="subscript"/>
        <sz val="12"/>
        <color theme="1"/>
        <rFont val="Microsoft YaHei UI"/>
        <family val="2"/>
      </rPr>
      <t>required</t>
    </r>
    <phoneticPr fontId="6" type="noConversion"/>
  </si>
  <si>
    <t>Required SNR</t>
    <phoneticPr fontId="6" type="noConversion"/>
  </si>
  <si>
    <t>SNR margin</t>
    <phoneticPr fontId="6" type="noConversion"/>
  </si>
  <si>
    <r>
      <t>Margin</t>
    </r>
    <r>
      <rPr>
        <vertAlign val="subscript"/>
        <sz val="12"/>
        <color theme="1"/>
        <rFont val="Microsoft YaHei UI"/>
        <family val="2"/>
      </rPr>
      <t>SNR</t>
    </r>
    <phoneticPr fontId="6" type="noConversion"/>
  </si>
  <si>
    <t>Good design, margin&gt;3</t>
    <phoneticPr fontId="6" type="noConversion"/>
  </si>
  <si>
    <r>
      <t>SNR</t>
    </r>
    <r>
      <rPr>
        <vertAlign val="subscript"/>
        <sz val="12"/>
        <color theme="1"/>
        <rFont val="Microsoft YaHei UI"/>
        <family val="2"/>
      </rPr>
      <t>sys</t>
    </r>
    <r>
      <rPr>
        <sz val="12"/>
        <color theme="1"/>
        <rFont val="Microsoft YaHei UI"/>
        <family val="2"/>
        <charset val="134"/>
      </rPr>
      <t xml:space="preserve"> / SNR</t>
    </r>
    <r>
      <rPr>
        <vertAlign val="subscript"/>
        <sz val="12"/>
        <color theme="1"/>
        <rFont val="Microsoft YaHei UI"/>
        <family val="2"/>
      </rPr>
      <t>required</t>
    </r>
    <phoneticPr fontId="6" type="noConversion"/>
  </si>
  <si>
    <t>Satellite altitude</t>
    <phoneticPr fontId="6" type="noConversion"/>
  </si>
  <si>
    <t>Worst case elevation angle</t>
    <phoneticPr fontId="6" type="noConversion"/>
  </si>
  <si>
    <t>α</t>
    <phoneticPr fontId="6" type="noConversion"/>
  </si>
  <si>
    <t>degree</t>
    <phoneticPr fontId="6" type="noConversion"/>
  </si>
  <si>
    <t>Used for Slant range</t>
    <phoneticPr fontId="6" type="noConversion"/>
  </si>
  <si>
    <t>Propagation losses</t>
    <phoneticPr fontId="6" type="noConversion"/>
  </si>
  <si>
    <t>Transmission line losses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</si>
  <si>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line</t>
    </r>
    <phoneticPr fontId="6" type="noConversion"/>
  </si>
  <si>
    <t>Transmitting CubSat Parameters (Satellite)</t>
    <phoneticPr fontId="6" type="noConversion"/>
  </si>
  <si>
    <t>Receiving  Ground Segment Parameters (Ground Station)</t>
    <phoneticPr fontId="6" type="noConversion"/>
  </si>
  <si>
    <r>
      <t>P</t>
    </r>
    <r>
      <rPr>
        <vertAlign val="subscript"/>
        <sz val="14"/>
        <color theme="1"/>
        <rFont val="Microsoft YaHei UI"/>
        <family val="2"/>
        <charset val="134"/>
      </rPr>
      <t>re</t>
    </r>
    <r>
      <rPr>
        <sz val="14"/>
        <color theme="1"/>
        <rFont val="Microsoft YaHei UI"/>
        <family val="2"/>
        <charset val="134"/>
      </rPr>
      <t xml:space="preserve"> = Pt*Gt*Gr/Lf</t>
    </r>
    <phoneticPr fontId="6" type="noConversion"/>
  </si>
  <si>
    <t>N/A</t>
    <phoneticPr fontId="6" type="noConversion"/>
  </si>
  <si>
    <t xml:space="preserve">Cable loss on transmitter </t>
    <phoneticPr fontId="6" type="noConversion"/>
  </si>
  <si>
    <t>W</t>
    <phoneticPr fontId="6" type="noConversion"/>
  </si>
  <si>
    <r>
      <t>P</t>
    </r>
    <r>
      <rPr>
        <vertAlign val="subscript"/>
        <sz val="12"/>
        <color theme="1"/>
        <rFont val="Microsoft YaHei UI"/>
        <family val="2"/>
        <charset val="134"/>
      </rPr>
      <t>EIRP</t>
    </r>
    <r>
      <rPr>
        <sz val="12"/>
        <color theme="1"/>
        <rFont val="Microsoft YaHei UI"/>
        <family val="2"/>
        <charset val="134"/>
      </rPr>
      <t xml:space="preserve"> = Pre*Gre*L</t>
    </r>
    <r>
      <rPr>
        <vertAlign val="subscript"/>
        <sz val="12"/>
        <color theme="1"/>
        <rFont val="Microsoft YaHei UI"/>
        <family val="2"/>
      </rPr>
      <t>line</t>
    </r>
    <phoneticPr fontId="6" type="noConversion"/>
  </si>
  <si>
    <t>Atm.gaz attenuation</t>
    <phoneticPr fontId="6" type="noConversion"/>
  </si>
  <si>
    <t>-</t>
    <phoneticPr fontId="6" type="noConversion"/>
  </si>
  <si>
    <t>no loss</t>
    <phoneticPr fontId="6" type="noConversion"/>
  </si>
  <si>
    <t>Rain and clouds attenuation</t>
    <phoneticPr fontId="6" type="noConversion"/>
  </si>
  <si>
    <t>Slant range</t>
    <phoneticPr fontId="6" type="noConversion"/>
  </si>
  <si>
    <t>S</t>
    <phoneticPr fontId="6" type="noConversion"/>
  </si>
  <si>
    <t>From equation</t>
    <phoneticPr fontId="6" type="noConversion"/>
  </si>
  <si>
    <t>m</t>
    <phoneticPr fontId="6" type="noConversion"/>
  </si>
  <si>
    <t>Worst case Slant range</t>
    <phoneticPr fontId="6" type="noConversion"/>
  </si>
  <si>
    <t>Polarizatioin loss</t>
    <phoneticPr fontId="6" type="noConversion"/>
  </si>
  <si>
    <t>Pointing loss</t>
    <phoneticPr fontId="6" type="noConversion"/>
  </si>
  <si>
    <r>
      <t>L</t>
    </r>
    <r>
      <rPr>
        <vertAlign val="subscript"/>
        <sz val="12"/>
        <color theme="1"/>
        <rFont val="Microsoft YaHei UI"/>
        <family val="2"/>
      </rPr>
      <t>p</t>
    </r>
    <phoneticPr fontId="6" type="noConversion"/>
  </si>
  <si>
    <r>
      <t>L</t>
    </r>
    <r>
      <rPr>
        <vertAlign val="subscript"/>
        <sz val="12"/>
        <color theme="1"/>
        <rFont val="Microsoft YaHei UI"/>
        <family val="2"/>
      </rPr>
      <t>a</t>
    </r>
    <phoneticPr fontId="6" type="noConversion"/>
  </si>
  <si>
    <t>Total loss</t>
    <phoneticPr fontId="6" type="noConversion"/>
  </si>
  <si>
    <r>
      <t>L</t>
    </r>
    <r>
      <rPr>
        <vertAlign val="subscript"/>
        <sz val="12"/>
        <color theme="1"/>
        <rFont val="Microsoft YaHei UI"/>
        <family val="2"/>
      </rPr>
      <t>total</t>
    </r>
    <phoneticPr fontId="6" type="noConversion"/>
  </si>
  <si>
    <t>sum of all losses</t>
    <phoneticPr fontId="6" type="noConversion"/>
  </si>
  <si>
    <r>
      <t>SNR = E</t>
    </r>
    <r>
      <rPr>
        <vertAlign val="subscript"/>
        <sz val="12"/>
        <color theme="1"/>
        <rFont val="Microsoft YaHei UI"/>
        <family val="2"/>
      </rPr>
      <t>b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</rPr>
      <t>o</t>
    </r>
    <r>
      <rPr>
        <sz val="12"/>
        <color theme="1"/>
        <rFont val="Microsoft YaHei UI"/>
        <family val="2"/>
        <charset val="134"/>
      </rPr>
      <t>*R/B</t>
    </r>
    <phoneticPr fontId="6" type="noConversion"/>
  </si>
  <si>
    <t>Total propagation losses</t>
    <phoneticPr fontId="6" type="noConversion"/>
  </si>
  <si>
    <t>Misalignment loss</t>
    <phoneticPr fontId="6" type="noConversion"/>
  </si>
  <si>
    <t>From table</t>
    <phoneticPr fontId="6" type="noConversion"/>
  </si>
  <si>
    <r>
      <t>R</t>
    </r>
    <r>
      <rPr>
        <vertAlign val="subscript"/>
        <sz val="12"/>
        <color theme="1"/>
        <rFont val="Microsoft YaHei UI"/>
        <family val="2"/>
        <charset val="134"/>
      </rPr>
      <t>design</t>
    </r>
    <phoneticPr fontId="6" type="noConversion"/>
  </si>
  <si>
    <t>Calculated Data Rate</t>
    <phoneticPr fontId="6" type="noConversion"/>
  </si>
  <si>
    <t>Transceiver Data Rate</t>
    <phoneticPr fontId="6" type="noConversion"/>
  </si>
  <si>
    <r>
      <t>R</t>
    </r>
    <r>
      <rPr>
        <vertAlign val="subscript"/>
        <sz val="14"/>
        <color theme="1"/>
        <rFont val="Cambria Math"/>
        <family val="1"/>
      </rPr>
      <t>maximum</t>
    </r>
    <phoneticPr fontId="6" type="noConversion"/>
  </si>
  <si>
    <r>
      <t>R</t>
    </r>
    <r>
      <rPr>
        <vertAlign val="subscript"/>
        <sz val="12"/>
        <color theme="1"/>
        <rFont val="Microsoft YaHei UI"/>
        <family val="2"/>
      </rPr>
      <t>design</t>
    </r>
    <phoneticPr fontId="6" type="noConversion"/>
  </si>
  <si>
    <t>Maximum data rate that transceiver supports</t>
    <phoneticPr fontId="6" type="noConversion"/>
  </si>
  <si>
    <t>Calculated data rate based on bandwidth</t>
    <phoneticPr fontId="6" type="noConversion"/>
  </si>
  <si>
    <t>From modulation table</t>
    <phoneticPr fontId="6" type="noConversion"/>
  </si>
  <si>
    <t>Modulation Scheme: GMSK</t>
    <phoneticPr fontId="6" type="noConversion"/>
  </si>
  <si>
    <t>Beamwidth of patch aperture antenna</t>
    <phoneticPr fontId="6" type="noConversion"/>
  </si>
  <si>
    <t>System Noise Temperature Calculation (Ground Station)</t>
    <phoneticPr fontId="6" type="noConversion"/>
  </si>
  <si>
    <t>System Noise Temperature Calculation (Satellite)</t>
    <phoneticPr fontId="6" type="noConversion"/>
  </si>
  <si>
    <t>Space Temperature</t>
    <phoneticPr fontId="6" type="noConversion"/>
  </si>
  <si>
    <t>Receiving  Ground Segment Parameters (Satellite)</t>
    <phoneticPr fontId="6" type="noConversion"/>
  </si>
  <si>
    <t>Transmitting CubSat Parameters (Ground Station)</t>
    <phoneticPr fontId="6" type="noConversion"/>
  </si>
  <si>
    <t>Sum of all losses</t>
    <phoneticPr fontId="6" type="noConversion"/>
  </si>
  <si>
    <t>20-30 dBm</t>
    <phoneticPr fontId="6" type="noConversion"/>
  </si>
  <si>
    <t>Polarization losses for different polarizations in antennas</t>
    <phoneticPr fontId="6" type="noConversion"/>
  </si>
  <si>
    <t>Transmit Antenna
Polarization</t>
    <phoneticPr fontId="6" type="noConversion"/>
  </si>
  <si>
    <t>Receive Antenna
Polarization</t>
    <phoneticPr fontId="6" type="noConversion"/>
  </si>
  <si>
    <t>Ratio of Power Received to Maximum
Power</t>
    <phoneticPr fontId="6" type="noConversion"/>
  </si>
  <si>
    <t>Theoretical</t>
    <phoneticPr fontId="6" type="noConversion"/>
  </si>
  <si>
    <t>Ratio in dB</t>
    <phoneticPr fontId="6" type="noConversion"/>
  </si>
  <si>
    <t>Practical Horn</t>
    <phoneticPr fontId="6" type="noConversion"/>
  </si>
  <si>
    <t>Practical Spiral</t>
    <phoneticPr fontId="6" type="noConversion"/>
  </si>
  <si>
    <t>Horizontal</t>
    <phoneticPr fontId="6" type="noConversion"/>
  </si>
  <si>
    <t>Circ (RHCP)</t>
    <phoneticPr fontId="6" type="noConversion"/>
  </si>
  <si>
    <t>Circ (RHCP/LHCP)</t>
    <phoneticPr fontId="6" type="noConversion"/>
  </si>
  <si>
    <t>Vertical</t>
    <phoneticPr fontId="6" type="noConversion"/>
  </si>
  <si>
    <t>Slant (45º or 135º)</t>
    <phoneticPr fontId="6" type="noConversion"/>
  </si>
  <si>
    <t>Horizontal</t>
    <phoneticPr fontId="6" type="noConversion"/>
  </si>
  <si>
    <t>Circ (RHCP/LHCP)</t>
    <phoneticPr fontId="6" type="noConversion"/>
  </si>
  <si>
    <t>Circ (RHCP)</t>
    <phoneticPr fontId="6" type="noConversion"/>
  </si>
  <si>
    <t>Circ (LHCP)</t>
    <phoneticPr fontId="6" type="noConversion"/>
  </si>
  <si>
    <t>(-)∞</t>
    <phoneticPr fontId="6" type="noConversion"/>
  </si>
  <si>
    <t>From transceiver datasheet</t>
    <phoneticPr fontId="6" type="noConversion"/>
  </si>
  <si>
    <t>BT</t>
    <phoneticPr fontId="6" type="noConversion"/>
  </si>
  <si>
    <t>GMSK BT product</t>
    <phoneticPr fontId="6" type="noConversion"/>
  </si>
  <si>
    <t>Hz/s</t>
    <phoneticPr fontId="6" type="noConversion"/>
  </si>
  <si>
    <t>Date Rate &amp; Propagation wave (Up-link)</t>
    <phoneticPr fontId="6" type="noConversion"/>
  </si>
  <si>
    <t>B = BT*R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</si>
  <si>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Ao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</si>
</sst>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&quot;¥&quot;#,##0.00_);\(&quot;¥&quot;#,##0.00\)"/>
    <numFmt numFmtId="177" formatCode="&quot;$&quot;#,##0.00_);\(&quot;$&quot;#,##0.00\)"/>
    <numFmt numFmtId="178" formatCode="&quot;续订&quot;;&quot;&quot;;&quot;&quot;"/>
    <numFmt numFmtId="179" formatCode="0.00_);[Red]\(0.00\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48"/>
      <color theme="1" tint="4.9989318521683403E-2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1"/>
      <color theme="6" tint="-0.499984740745262"/>
      <name val="Microsoft YaHei UI"/>
      <family val="2"/>
      <charset val="134"/>
    </font>
    <font>
      <sz val="10"/>
      <color theme="1" tint="4.9989318521683403E-2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22"/>
      <color theme="6" tint="-0.24994659260841701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4"/>
      <color theme="1"/>
      <name val="Cambria Math"/>
      <family val="1"/>
    </font>
    <font>
      <vertAlign val="subscript"/>
      <sz val="14"/>
      <color theme="1"/>
      <name val="Cambria Math"/>
      <family val="1"/>
    </font>
    <font>
      <vertAlign val="subscript"/>
      <sz val="12"/>
      <color theme="1"/>
      <name val="Microsoft YaHei UI"/>
      <family val="2"/>
      <charset val="134"/>
    </font>
    <font>
      <vertAlign val="subscript"/>
      <sz val="11"/>
      <color theme="1"/>
      <name val="Microsoft YaHei UI"/>
      <family val="2"/>
      <charset val="134"/>
    </font>
    <font>
      <vertAlign val="superscript"/>
      <sz val="11"/>
      <color theme="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vertAlign val="subscript"/>
      <sz val="14"/>
      <color theme="1"/>
      <name val="Microsoft YaHei UI"/>
      <family val="2"/>
      <charset val="134"/>
    </font>
    <font>
      <sz val="18"/>
      <color theme="1"/>
      <name val="Microsoft YaHei UI"/>
      <family val="2"/>
      <charset val="134"/>
    </font>
    <font>
      <sz val="18"/>
      <color theme="1"/>
      <name val="Calibri"/>
      <family val="2"/>
    </font>
    <font>
      <vertAlign val="subscript"/>
      <sz val="18"/>
      <color theme="1"/>
      <name val="Microsoft YaHei UI"/>
      <family val="2"/>
      <charset val="134"/>
    </font>
    <font>
      <sz val="11.9"/>
      <color theme="1"/>
      <name val="Microsoft YaHei UI"/>
      <family val="2"/>
      <charset val="134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vertAlign val="superscript"/>
      <sz val="14"/>
      <color theme="1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b/>
      <sz val="14"/>
      <name val="Microsoft YaHei UI"/>
      <family val="2"/>
      <charset val="134"/>
    </font>
    <font>
      <sz val="14"/>
      <color theme="1"/>
      <name val="Microsoft YaHei UI"/>
      <family val="2"/>
    </font>
    <font>
      <sz val="12"/>
      <color theme="1"/>
      <name val="Microsoft YaHei UI"/>
      <family val="2"/>
    </font>
    <font>
      <vertAlign val="subscript"/>
      <sz val="12"/>
      <color theme="1"/>
      <name val="Microsoft YaHei UI"/>
      <family val="2"/>
    </font>
    <font>
      <vertAlign val="subscript"/>
      <sz val="14"/>
      <color theme="1"/>
      <name val="Microsoft YaHei UI"/>
      <family val="2"/>
    </font>
    <font>
      <b/>
      <sz val="16"/>
      <color theme="1"/>
      <name val="Microsoft YaHei UI"/>
      <family val="2"/>
      <charset val="134"/>
    </font>
    <font>
      <b/>
      <sz val="14"/>
      <color theme="1"/>
      <name val="Microsoft YaHei U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6" tint="0.79961546678060247"/>
      </patternFill>
    </fill>
    <fill>
      <patternFill patternType="solid">
        <fgColor theme="9" tint="0.59999389629810485"/>
        <bgColor theme="6" tint="0.79961546678060247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5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6" tint="0.79961546678060247"/>
      </patternFill>
    </fill>
    <fill>
      <patternFill patternType="solid">
        <fgColor theme="4" tint="0.89999084444715716"/>
        <bgColor theme="6" tint="0.7996154667806024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theme="6" tint="0.7996154667806024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6" tint="0.79961546678060247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17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78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</cellStyleXfs>
  <cellXfs count="123">
    <xf numFmtId="0" fontId="0" fillId="0" borderId="0" xfId="0">
      <alignment vertical="center"/>
    </xf>
    <xf numFmtId="0" fontId="7" fillId="0" borderId="0" xfId="0" applyNumberFormat="1" applyFont="1">
      <alignment vertical="center"/>
    </xf>
    <xf numFmtId="0" fontId="8" fillId="0" borderId="0" xfId="0" applyFont="1" applyFill="1" applyAlignment="1">
      <alignment vertical="top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3" borderId="0" xfId="3" applyFont="1">
      <alignment horizontal="right" vertical="center"/>
    </xf>
    <xf numFmtId="178" fontId="12" fillId="2" borderId="0" xfId="8" applyNumberFormat="1" applyFont="1" applyFill="1" applyBorder="1" applyAlignment="1">
      <alignment horizontal="left" vertical="center" indent="1"/>
    </xf>
    <xf numFmtId="0" fontId="10" fillId="3" borderId="0" xfId="3" applyFont="1" applyAlignment="1">
      <alignment horizontal="center" vertical="center"/>
    </xf>
    <xf numFmtId="0" fontId="10" fillId="3" borderId="0" xfId="9" applyFont="1" applyAlignment="1">
      <alignment horizontal="right" vertical="center" indent="1"/>
    </xf>
    <xf numFmtId="0" fontId="16" fillId="5" borderId="4" xfId="7" applyNumberFormat="1" applyFont="1" applyFill="1" applyBorder="1" applyAlignment="1">
      <alignment horizontal="center" vertical="center" wrapText="1"/>
    </xf>
    <xf numFmtId="0" fontId="16" fillId="5" borderId="4" xfId="5" applyNumberFormat="1" applyFont="1" applyFill="1" applyBorder="1" applyAlignment="1">
      <alignment horizontal="center" vertical="center"/>
    </xf>
    <xf numFmtId="176" fontId="16" fillId="5" borderId="4" xfId="4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8" fontId="13" fillId="2" borderId="0" xfId="8" applyNumberFormat="1" applyFont="1" applyFill="1" applyBorder="1" applyAlignment="1">
      <alignment horizontal="left" vertical="center" indent="1"/>
    </xf>
    <xf numFmtId="178" fontId="12" fillId="2" borderId="2" xfId="8" applyNumberFormat="1" applyFont="1" applyFill="1" applyBorder="1" applyAlignment="1">
      <alignment horizontal="left" vertical="center" indent="1"/>
    </xf>
    <xf numFmtId="0" fontId="16" fillId="5" borderId="5" xfId="7" applyNumberFormat="1" applyFont="1" applyFill="1" applyBorder="1" applyAlignment="1">
      <alignment horizontal="center" vertical="center" wrapText="1"/>
    </xf>
    <xf numFmtId="0" fontId="16" fillId="5" borderId="5" xfId="4" applyNumberFormat="1" applyFont="1" applyFill="1" applyBorder="1" applyAlignment="1">
      <alignment horizontal="center" vertical="center"/>
    </xf>
    <xf numFmtId="0" fontId="16" fillId="5" borderId="5" xfId="5" applyNumberFormat="1" applyFont="1" applyFill="1" applyBorder="1" applyAlignment="1">
      <alignment horizontal="center" vertical="center"/>
    </xf>
    <xf numFmtId="0" fontId="7" fillId="5" borderId="5" xfId="7" applyNumberFormat="1" applyFont="1" applyFill="1" applyBorder="1" applyAlignment="1">
      <alignment horizontal="center" vertical="center" wrapText="1"/>
    </xf>
    <xf numFmtId="176" fontId="7" fillId="5" borderId="7" xfId="4" applyNumberFormat="1" applyFont="1" applyFill="1" applyBorder="1" applyAlignment="1">
      <alignment horizontal="center" vertical="center" wrapText="1"/>
    </xf>
    <xf numFmtId="11" fontId="16" fillId="5" borderId="5" xfId="4" applyNumberFormat="1" applyFont="1" applyFill="1" applyBorder="1" applyAlignment="1">
      <alignment horizontal="center" vertical="center"/>
    </xf>
    <xf numFmtId="176" fontId="16" fillId="5" borderId="7" xfId="4" applyNumberFormat="1" applyFont="1" applyFill="1" applyBorder="1" applyAlignment="1">
      <alignment horizontal="center" vertical="center" wrapText="1"/>
    </xf>
    <xf numFmtId="0" fontId="23" fillId="5" borderId="5" xfId="7" applyNumberFormat="1" applyFont="1" applyFill="1" applyBorder="1" applyAlignment="1">
      <alignment horizontal="center" vertical="center" wrapText="1"/>
    </xf>
    <xf numFmtId="178" fontId="12" fillId="2" borderId="1" xfId="8" applyNumberFormat="1" applyFont="1" applyFill="1" applyBorder="1" applyAlignment="1">
      <alignment horizontal="left" vertical="center" indent="1"/>
    </xf>
    <xf numFmtId="2" fontId="16" fillId="5" borderId="5" xfId="4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11" fontId="7" fillId="13" borderId="3" xfId="0" applyNumberFormat="1" applyFont="1" applyFill="1" applyBorder="1" applyAlignment="1">
      <alignment horizontal="center" vertical="center"/>
    </xf>
    <xf numFmtId="11" fontId="7" fillId="12" borderId="3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11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15" borderId="5" xfId="4" applyNumberFormat="1" applyFont="1" applyFill="1" applyBorder="1" applyAlignment="1">
      <alignment horizontal="center" vertical="center"/>
    </xf>
    <xf numFmtId="11" fontId="16" fillId="11" borderId="5" xfId="4" applyNumberFormat="1" applyFont="1" applyFill="1" applyBorder="1" applyAlignment="1">
      <alignment horizontal="center" vertical="center"/>
    </xf>
    <xf numFmtId="0" fontId="26" fillId="5" borderId="5" xfId="7" applyNumberFormat="1" applyFont="1" applyFill="1" applyBorder="1" applyAlignment="1">
      <alignment horizontal="center" vertical="center" wrapText="1"/>
    </xf>
    <xf numFmtId="0" fontId="29" fillId="5" borderId="5" xfId="7" applyNumberFormat="1" applyFont="1" applyFill="1" applyBorder="1" applyAlignment="1">
      <alignment horizontal="center" vertical="center" wrapText="1"/>
    </xf>
    <xf numFmtId="0" fontId="23" fillId="5" borderId="4" xfId="7" applyNumberFormat="1" applyFont="1" applyFill="1" applyBorder="1" applyAlignment="1">
      <alignment horizontal="center" vertical="center" wrapText="1"/>
    </xf>
    <xf numFmtId="11" fontId="16" fillId="5" borderId="4" xfId="4" applyNumberFormat="1" applyFont="1" applyFill="1" applyBorder="1" applyAlignment="1">
      <alignment horizontal="center" vertical="center"/>
    </xf>
    <xf numFmtId="0" fontId="16" fillId="11" borderId="4" xfId="4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6" fillId="15" borderId="4" xfId="4" applyNumberFormat="1" applyFont="1" applyFill="1" applyBorder="1" applyAlignment="1">
      <alignment horizontal="center" vertical="center"/>
    </xf>
    <xf numFmtId="0" fontId="7" fillId="13" borderId="3" xfId="0" applyNumberFormat="1" applyFont="1" applyFill="1" applyBorder="1" applyAlignment="1">
      <alignment horizontal="center" vertical="center"/>
    </xf>
    <xf numFmtId="0" fontId="16" fillId="5" borderId="17" xfId="7" applyNumberFormat="1" applyFont="1" applyFill="1" applyBorder="1" applyAlignment="1">
      <alignment horizontal="center" vertical="center" wrapText="1"/>
    </xf>
    <xf numFmtId="0" fontId="16" fillId="5" borderId="17" xfId="5" applyNumberFormat="1" applyFont="1" applyFill="1" applyBorder="1" applyAlignment="1">
      <alignment horizontal="center" vertical="center"/>
    </xf>
    <xf numFmtId="0" fontId="15" fillId="4" borderId="3" xfId="2" applyNumberFormat="1" applyFont="1" applyFill="1" applyBorder="1" applyAlignment="1">
      <alignment horizontal="center" vertical="center" wrapText="1"/>
    </xf>
    <xf numFmtId="0" fontId="30" fillId="5" borderId="4" xfId="7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1" fontId="7" fillId="12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1" fontId="7" fillId="13" borderId="3" xfId="0" applyNumberFormat="1" applyFont="1" applyFill="1" applyBorder="1" applyAlignment="1">
      <alignment horizontal="center" vertical="center" wrapText="1"/>
    </xf>
    <xf numFmtId="11" fontId="16" fillId="18" borderId="5" xfId="4" applyNumberFormat="1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11" fontId="16" fillId="16" borderId="5" xfId="4" applyNumberFormat="1" applyFont="1" applyFill="1" applyBorder="1" applyAlignment="1">
      <alignment horizontal="center" vertical="center"/>
    </xf>
    <xf numFmtId="11" fontId="16" fillId="11" borderId="4" xfId="4" applyNumberFormat="1" applyFont="1" applyFill="1" applyBorder="1" applyAlignment="1">
      <alignment horizontal="center" vertical="center"/>
    </xf>
    <xf numFmtId="0" fontId="16" fillId="11" borderId="4" xfId="5" applyNumberFormat="1" applyFont="1" applyFill="1" applyBorder="1" applyAlignment="1">
      <alignment horizontal="center" vertical="center"/>
    </xf>
    <xf numFmtId="0" fontId="7" fillId="7" borderId="20" xfId="7" applyNumberFormat="1" applyFont="1" applyFill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center" vertical="center"/>
    </xf>
    <xf numFmtId="0" fontId="16" fillId="5" borderId="21" xfId="7" applyNumberFormat="1" applyFont="1" applyFill="1" applyBorder="1" applyAlignment="1">
      <alignment horizontal="center" vertical="center" wrapText="1"/>
    </xf>
    <xf numFmtId="0" fontId="16" fillId="5" borderId="21" xfId="5" applyNumberFormat="1" applyFont="1" applyFill="1" applyBorder="1" applyAlignment="1">
      <alignment horizontal="center" vertical="center"/>
    </xf>
    <xf numFmtId="176" fontId="17" fillId="5" borderId="22" xfId="4" applyNumberFormat="1" applyFont="1" applyFill="1" applyBorder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/>
    </xf>
    <xf numFmtId="11" fontId="16" fillId="20" borderId="21" xfId="4" applyNumberFormat="1" applyFont="1" applyFill="1" applyBorder="1" applyAlignment="1">
      <alignment horizontal="center" vertical="center"/>
    </xf>
    <xf numFmtId="11" fontId="16" fillId="10" borderId="5" xfId="4" applyNumberFormat="1" applyFont="1" applyFill="1" applyBorder="1" applyAlignment="1">
      <alignment horizontal="center" vertical="center"/>
    </xf>
    <xf numFmtId="11" fontId="7" fillId="0" borderId="0" xfId="0" applyNumberFormat="1" applyFont="1">
      <alignment vertical="center"/>
    </xf>
    <xf numFmtId="0" fontId="23" fillId="5" borderId="17" xfId="7" applyNumberFormat="1" applyFont="1" applyFill="1" applyBorder="1" applyAlignment="1">
      <alignment horizontal="center" vertical="center" wrapText="1"/>
    </xf>
    <xf numFmtId="176" fontId="16" fillId="5" borderId="8" xfId="4" applyNumberFormat="1" applyFont="1" applyFill="1" applyBorder="1" applyAlignment="1">
      <alignment horizontal="center" vertical="center" wrapText="1"/>
    </xf>
    <xf numFmtId="0" fontId="16" fillId="18" borderId="5" xfId="4" applyNumberFormat="1" applyFont="1" applyFill="1" applyBorder="1" applyAlignment="1">
      <alignment horizontal="center" vertical="center"/>
    </xf>
    <xf numFmtId="0" fontId="16" fillId="16" borderId="17" xfId="5" applyNumberFormat="1" applyFont="1" applyFill="1" applyBorder="1" applyAlignment="1">
      <alignment horizontal="center" vertical="center"/>
    </xf>
    <xf numFmtId="0" fontId="16" fillId="16" borderId="17" xfId="4" applyNumberFormat="1" applyFont="1" applyFill="1" applyBorder="1" applyAlignment="1">
      <alignment horizontal="center" vertical="center"/>
    </xf>
    <xf numFmtId="0" fontId="40" fillId="19" borderId="4" xfId="0" applyFont="1" applyFill="1" applyBorder="1" applyAlignment="1">
      <alignment horizontal="center" vertical="center"/>
    </xf>
    <xf numFmtId="0" fontId="35" fillId="19" borderId="3" xfId="0" applyFont="1" applyFill="1" applyBorder="1" applyAlignment="1">
      <alignment horizontal="center" vertical="center" wrapText="1"/>
    </xf>
    <xf numFmtId="0" fontId="16" fillId="16" borderId="5" xfId="5" applyNumberFormat="1" applyFont="1" applyFill="1" applyBorder="1" applyAlignment="1">
      <alignment horizontal="center" vertical="center"/>
    </xf>
    <xf numFmtId="0" fontId="35" fillId="7" borderId="4" xfId="0" applyFont="1" applyFill="1" applyBorder="1" applyAlignment="1">
      <alignment horizontal="center" vertical="center"/>
    </xf>
    <xf numFmtId="0" fontId="35" fillId="21" borderId="4" xfId="0" applyFont="1" applyFill="1" applyBorder="1" applyAlignment="1">
      <alignment horizontal="center" vertical="center"/>
    </xf>
    <xf numFmtId="0" fontId="36" fillId="19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3" fillId="10" borderId="12" xfId="7" applyNumberFormat="1" applyFont="1" applyFill="1" applyBorder="1" applyAlignment="1">
      <alignment horizontal="center" vertical="center" wrapText="1"/>
    </xf>
    <xf numFmtId="0" fontId="33" fillId="10" borderId="13" xfId="7" applyNumberFormat="1" applyFont="1" applyFill="1" applyBorder="1" applyAlignment="1">
      <alignment horizontal="center" vertical="center" wrapText="1"/>
    </xf>
    <xf numFmtId="0" fontId="33" fillId="10" borderId="11" xfId="7" applyNumberFormat="1" applyFont="1" applyFill="1" applyBorder="1" applyAlignment="1">
      <alignment horizontal="center" vertical="center" wrapText="1"/>
    </xf>
    <xf numFmtId="0" fontId="34" fillId="10" borderId="12" xfId="7" applyNumberFormat="1" applyFont="1" applyFill="1" applyBorder="1" applyAlignment="1">
      <alignment horizontal="center" vertical="center" wrapText="1"/>
    </xf>
    <xf numFmtId="0" fontId="34" fillId="10" borderId="13" xfId="7" applyNumberFormat="1" applyFont="1" applyFill="1" applyBorder="1" applyAlignment="1">
      <alignment horizontal="center" vertical="center" wrapText="1"/>
    </xf>
    <xf numFmtId="0" fontId="34" fillId="10" borderId="11" xfId="7" applyNumberFormat="1" applyFont="1" applyFill="1" applyBorder="1" applyAlignment="1">
      <alignment horizontal="center" vertical="center" wrapText="1"/>
    </xf>
    <xf numFmtId="0" fontId="34" fillId="17" borderId="17" xfId="2" applyNumberFormat="1" applyFont="1" applyFill="1" applyBorder="1" applyAlignment="1">
      <alignment horizontal="center" vertical="center" wrapText="1"/>
    </xf>
    <xf numFmtId="0" fontId="34" fillId="17" borderId="0" xfId="2" applyNumberFormat="1" applyFont="1" applyFill="1" applyBorder="1" applyAlignment="1">
      <alignment horizontal="center" vertical="center" wrapText="1"/>
    </xf>
    <xf numFmtId="0" fontId="34" fillId="17" borderId="10" xfId="2" applyNumberFormat="1" applyFont="1" applyFill="1" applyBorder="1" applyAlignment="1">
      <alignment horizontal="center" vertical="center" wrapText="1"/>
    </xf>
    <xf numFmtId="0" fontId="33" fillId="10" borderId="20" xfId="7" applyNumberFormat="1" applyFont="1" applyFill="1" applyBorder="1" applyAlignment="1">
      <alignment horizontal="center" vertical="center" wrapText="1"/>
    </xf>
    <xf numFmtId="0" fontId="33" fillId="10" borderId="21" xfId="7" applyNumberFormat="1" applyFont="1" applyFill="1" applyBorder="1" applyAlignment="1">
      <alignment horizontal="center" vertical="center" wrapText="1"/>
    </xf>
    <xf numFmtId="0" fontId="33" fillId="10" borderId="22" xfId="7" applyNumberFormat="1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24" fillId="8" borderId="14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14" fillId="3" borderId="0" xfId="1" applyFont="1">
      <alignment horizontal="left" vertical="center" indent="1"/>
    </xf>
    <xf numFmtId="0" fontId="9" fillId="3" borderId="0" xfId="1" applyFont="1">
      <alignment horizontal="left" vertical="center" indent="1"/>
    </xf>
    <xf numFmtId="0" fontId="10" fillId="3" borderId="0" xfId="3" applyFont="1">
      <alignment horizontal="right" vertical="center"/>
    </xf>
    <xf numFmtId="0" fontId="16" fillId="6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40" fillId="19" borderId="4" xfId="0" applyFont="1" applyFill="1" applyBorder="1" applyAlignment="1">
      <alignment horizontal="center" vertical="center" wrapText="1"/>
    </xf>
    <xf numFmtId="0" fontId="40" fillId="19" borderId="12" xfId="0" applyFont="1" applyFill="1" applyBorder="1" applyAlignment="1">
      <alignment horizontal="center" vertical="center" wrapText="1"/>
    </xf>
    <xf numFmtId="0" fontId="40" fillId="19" borderId="13" xfId="0" applyFont="1" applyFill="1" applyBorder="1" applyAlignment="1">
      <alignment horizontal="center" vertical="center"/>
    </xf>
    <xf numFmtId="0" fontId="40" fillId="19" borderId="11" xfId="0" applyFont="1" applyFill="1" applyBorder="1" applyAlignment="1">
      <alignment horizontal="center" vertical="center"/>
    </xf>
    <xf numFmtId="0" fontId="39" fillId="19" borderId="4" xfId="0" applyFont="1" applyFill="1" applyBorder="1" applyAlignment="1">
      <alignment horizontal="center" vertical="center"/>
    </xf>
    <xf numFmtId="0" fontId="35" fillId="21" borderId="12" xfId="0" applyFont="1" applyFill="1" applyBorder="1" applyAlignment="1">
      <alignment horizontal="center" vertical="center"/>
    </xf>
    <xf numFmtId="0" fontId="35" fillId="21" borderId="11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center" vertical="center"/>
    </xf>
    <xf numFmtId="0" fontId="35" fillId="7" borderId="11" xfId="0" applyFont="1" applyFill="1" applyBorder="1" applyAlignment="1">
      <alignment horizontal="center" vertical="center"/>
    </xf>
    <xf numFmtId="179" fontId="16" fillId="15" borderId="5" xfId="4" applyNumberFormat="1" applyFont="1" applyFill="1" applyBorder="1" applyAlignment="1">
      <alignment horizontal="center" vertical="center"/>
    </xf>
    <xf numFmtId="2" fontId="16" fillId="5" borderId="21" xfId="5" applyNumberFormat="1" applyFont="1" applyFill="1" applyBorder="1" applyAlignment="1">
      <alignment horizontal="center" vertical="center"/>
    </xf>
    <xf numFmtId="2" fontId="16" fillId="5" borderId="5" xfId="5" applyNumberFormat="1" applyFont="1" applyFill="1" applyBorder="1" applyAlignment="1">
      <alignment horizontal="center" vertical="center"/>
    </xf>
    <xf numFmtId="2" fontId="16" fillId="5" borderId="17" xfId="5" applyNumberFormat="1" applyFont="1" applyFill="1" applyBorder="1" applyAlignment="1">
      <alignment horizontal="center" vertical="center"/>
    </xf>
    <xf numFmtId="2" fontId="16" fillId="5" borderId="4" xfId="5" applyNumberFormat="1" applyFont="1" applyFill="1" applyBorder="1" applyAlignment="1">
      <alignment horizontal="center" vertical="center"/>
    </xf>
    <xf numFmtId="179" fontId="16" fillId="5" borderId="5" xfId="4" applyNumberFormat="1" applyFont="1" applyFill="1" applyBorder="1" applyAlignment="1">
      <alignment horizontal="center" vertical="center"/>
    </xf>
  </cellXfs>
  <cellStyles count="10">
    <cellStyle name="标记列" xfId="8" xr:uid="{00000000-0005-0000-0000-000000000000}"/>
    <cellStyle name="标题" xfId="1" builtinId="15" customBuiltin="1"/>
    <cellStyle name="标题 1" xfId="2" builtinId="16" customBuiltin="1"/>
    <cellStyle name="标题 2" xfId="3" builtinId="17" customBuiltin="1"/>
    <cellStyle name="标题 3" xfId="9" builtinId="18" customBuiltin="1"/>
    <cellStyle name="表格所用货币单位" xfId="4" xr:uid="{00000000-0005-0000-0000-000005000000}"/>
    <cellStyle name="表格详细信息置于右侧" xfId="5" xr:uid="{00000000-0005-0000-0000-000006000000}"/>
    <cellStyle name="表格详细信息置于左侧" xfId="7" xr:uid="{00000000-0005-0000-0000-000007000000}"/>
    <cellStyle name="常规" xfId="0" builtinId="0" customBuiltin="1"/>
    <cellStyle name="已停产" xfId="6" xr:uid="{00000000-0005-0000-0000-000009000000}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 xr9:uid="{00000000-0011-0000-FFFF-FFFF00000000}">
      <tableStyleElement type="wholeTable" dxfId="139"/>
      <tableStyleElement type="headerRow" dxfId="138"/>
      <tableStyleElement type="firstColumn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179658</xdr:colOff>
      <xdr:row>1</xdr:row>
      <xdr:rowOff>1865</xdr:rowOff>
    </xdr:from>
    <xdr:to>
      <xdr:col>10</xdr:col>
      <xdr:colOff>0</xdr:colOff>
      <xdr:row>1</xdr:row>
      <xdr:rowOff>147203</xdr:rowOff>
    </xdr:to>
    <xdr:grpSp>
      <xdr:nvGrpSpPr>
        <xdr:cNvPr id="2" name="标题边框" descr="标题边框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0885" y="633980"/>
          <a:ext cx="12722388" cy="145338"/>
          <a:chOff x="313008" y="630515"/>
          <a:chExt cx="11155680" cy="93385"/>
        </a:xfrm>
      </xdr:grpSpPr>
      <xdr:sp macro="" textlink="">
        <xdr:nvSpPr>
          <xdr:cNvPr id="16" name="标题边框形状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标题边框形状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oneCellAnchor>
    <xdr:from>
      <xdr:col>8</xdr:col>
      <xdr:colOff>409575</xdr:colOff>
      <xdr:row>8</xdr:row>
      <xdr:rowOff>23812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BA8A19F4-B49B-461B-B1B6-736CCE53F2F2}"/>
            </a:ext>
          </a:extLst>
        </xdr:cNvPr>
        <xdr:cNvSpPr txBox="1"/>
      </xdr:nvSpPr>
      <xdr:spPr>
        <a:xfrm>
          <a:off x="8458200" y="315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30853</xdr:colOff>
      <xdr:row>21</xdr:row>
      <xdr:rowOff>3504</xdr:rowOff>
    </xdr:from>
    <xdr:to>
      <xdr:col>15</xdr:col>
      <xdr:colOff>285749</xdr:colOff>
      <xdr:row>30</xdr:row>
      <xdr:rowOff>487961</xdr:rowOff>
    </xdr:to>
    <xdr:pic>
      <xdr:nvPicPr>
        <xdr:cNvPr id="11" name="图片 10" descr="âantenna  noise temperatureâçå¾çæç´¢ç»æ">
          <a:extLst>
            <a:ext uri="{FF2B5EF4-FFF2-40B4-BE49-F238E27FC236}">
              <a16:creationId xmlns:a16="http://schemas.microsoft.com/office/drawing/2014/main" id="{8F76FDE0-542E-46FF-BA0C-2ED4EB7E9BCC}"/>
            </a:ext>
            <a:ext uri="{147F2762-F138-4A5C-976F-8EAC2B608ADB}">
              <a16:predDERef xmlns:a16="http://schemas.microsoft.com/office/drawing/2014/main" pred="{BA8A19F4-B49B-461B-B1B6-736CCE53F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2353" y="10810049"/>
          <a:ext cx="7866238" cy="5402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841973</xdr:colOff>
      <xdr:row>30</xdr:row>
      <xdr:rowOff>412072</xdr:rowOff>
    </xdr:from>
    <xdr:to>
      <xdr:col>14</xdr:col>
      <xdr:colOff>1472045</xdr:colOff>
      <xdr:row>37</xdr:row>
      <xdr:rowOff>654419</xdr:rowOff>
    </xdr:to>
    <xdr:pic>
      <xdr:nvPicPr>
        <xdr:cNvPr id="8" name="图片 7" descr="https://m.eet.com/media/1068073/image030.gif">
          <a:extLst>
            <a:ext uri="{FF2B5EF4-FFF2-40B4-BE49-F238E27FC236}">
              <a16:creationId xmlns:a16="http://schemas.microsoft.com/office/drawing/2014/main" id="{C4C3B412-4DB2-4A10-ABF5-86F806FA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3473" y="16136981"/>
          <a:ext cx="6648141" cy="4667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409575</xdr:colOff>
      <xdr:row>58</xdr:row>
      <xdr:rowOff>23812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173B022D-94CF-45CA-B205-051F5E8BBCAF}"/>
            </a:ext>
          </a:extLst>
        </xdr:cNvPr>
        <xdr:cNvSpPr txBox="1"/>
      </xdr:nvSpPr>
      <xdr:spPr>
        <a:xfrm>
          <a:off x="10445462" y="48902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15</xdr:col>
      <xdr:colOff>155864</xdr:colOff>
      <xdr:row>21</xdr:row>
      <xdr:rowOff>363681</xdr:rowOff>
    </xdr:from>
    <xdr:to>
      <xdr:col>23</xdr:col>
      <xdr:colOff>346363</xdr:colOff>
      <xdr:row>30</xdr:row>
      <xdr:rowOff>521254</xdr:rowOff>
    </xdr:to>
    <xdr:pic>
      <xdr:nvPicPr>
        <xdr:cNvPr id="10" name="图片 9" descr="âSNR per bit GMSKâçå¾çæç´¢ç»æ">
          <a:extLst>
            <a:ext uri="{FF2B5EF4-FFF2-40B4-BE49-F238E27FC236}">
              <a16:creationId xmlns:a16="http://schemas.microsoft.com/office/drawing/2014/main" id="{2231B50E-896F-4E7A-9E56-15F1A8F39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8706" y="11040341"/>
          <a:ext cx="8226135" cy="5075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409575</xdr:colOff>
      <xdr:row>12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126E3972-4627-4DEA-BBFB-8799D973B718}"/>
            </a:ext>
          </a:extLst>
        </xdr:cNvPr>
        <xdr:cNvSpPr txBox="1"/>
      </xdr:nvSpPr>
      <xdr:spPr>
        <a:xfrm>
          <a:off x="10445462" y="48902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28</xdr:row>
      <xdr:rowOff>23812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A68E758F-3ED4-423F-8B43-B2513A0B651F}"/>
            </a:ext>
          </a:extLst>
        </xdr:cNvPr>
        <xdr:cNvSpPr txBox="1"/>
      </xdr:nvSpPr>
      <xdr:spPr>
        <a:xfrm>
          <a:off x="10445462" y="70203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30</xdr:row>
      <xdr:rowOff>23812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AE7E9BDC-A96A-473D-81B5-3D38175A52A8}"/>
            </a:ext>
          </a:extLst>
        </xdr:cNvPr>
        <xdr:cNvSpPr txBox="1"/>
      </xdr:nvSpPr>
      <xdr:spPr>
        <a:xfrm>
          <a:off x="10445462" y="156101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31</xdr:row>
      <xdr:rowOff>23812</xdr:rowOff>
    </xdr:from>
    <xdr:ext cx="65" cy="172227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1F3F5125-DCAD-4FF6-A5A7-D65DA6E21B4A}"/>
            </a:ext>
          </a:extLst>
        </xdr:cNvPr>
        <xdr:cNvSpPr txBox="1"/>
      </xdr:nvSpPr>
      <xdr:spPr>
        <a:xfrm>
          <a:off x="10445462" y="163115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32</xdr:row>
      <xdr:rowOff>23812</xdr:rowOff>
    </xdr:from>
    <xdr:ext cx="65" cy="172227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BF030317-010F-45CB-92C6-C50A0129C3E9}"/>
            </a:ext>
          </a:extLst>
        </xdr:cNvPr>
        <xdr:cNvSpPr txBox="1"/>
      </xdr:nvSpPr>
      <xdr:spPr>
        <a:xfrm>
          <a:off x="10445462" y="175151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33</xdr:row>
      <xdr:rowOff>23812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EBDEA334-C164-4959-8F2B-6E2B1E53D157}"/>
            </a:ext>
          </a:extLst>
        </xdr:cNvPr>
        <xdr:cNvSpPr txBox="1"/>
      </xdr:nvSpPr>
      <xdr:spPr>
        <a:xfrm>
          <a:off x="10445462" y="175151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34</xdr:row>
      <xdr:rowOff>23812</xdr:rowOff>
    </xdr:from>
    <xdr:ext cx="65" cy="172227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D5E10B2F-04B5-45D3-AFE7-7ADDCD11B5DD}"/>
            </a:ext>
          </a:extLst>
        </xdr:cNvPr>
        <xdr:cNvSpPr txBox="1"/>
      </xdr:nvSpPr>
      <xdr:spPr>
        <a:xfrm>
          <a:off x="10445462" y="187880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56</xdr:row>
      <xdr:rowOff>23812</xdr:rowOff>
    </xdr:from>
    <xdr:ext cx="65" cy="172227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413F23BE-AFF2-40ED-B8BA-8A3D33C6CB16}"/>
            </a:ext>
          </a:extLst>
        </xdr:cNvPr>
        <xdr:cNvSpPr txBox="1"/>
      </xdr:nvSpPr>
      <xdr:spPr>
        <a:xfrm>
          <a:off x="10445462" y="41888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60</xdr:row>
      <xdr:rowOff>0</xdr:rowOff>
    </xdr:from>
    <xdr:ext cx="65" cy="172227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44BB9B-3938-4721-87EE-62DA6D686C3C}"/>
            </a:ext>
          </a:extLst>
        </xdr:cNvPr>
        <xdr:cNvSpPr txBox="1"/>
      </xdr:nvSpPr>
      <xdr:spPr>
        <a:xfrm>
          <a:off x="10445462" y="60613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75</xdr:row>
      <xdr:rowOff>23812</xdr:rowOff>
    </xdr:from>
    <xdr:ext cx="65" cy="172227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9AFFBC70-FF19-4392-9CDE-935463EF8AB7}"/>
            </a:ext>
          </a:extLst>
        </xdr:cNvPr>
        <xdr:cNvSpPr txBox="1"/>
      </xdr:nvSpPr>
      <xdr:spPr>
        <a:xfrm>
          <a:off x="10445462" y="14337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77</xdr:row>
      <xdr:rowOff>23812</xdr:rowOff>
    </xdr:from>
    <xdr:ext cx="65" cy="172227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1D19111-C883-443E-B484-38E9B9D5090C}"/>
            </a:ext>
          </a:extLst>
        </xdr:cNvPr>
        <xdr:cNvSpPr txBox="1"/>
      </xdr:nvSpPr>
      <xdr:spPr>
        <a:xfrm>
          <a:off x="10445462" y="1535040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78</xdr:row>
      <xdr:rowOff>23812</xdr:rowOff>
    </xdr:from>
    <xdr:ext cx="65" cy="172227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DD0C46F2-5C76-4D61-B6D6-A6E19A30BB29}"/>
            </a:ext>
          </a:extLst>
        </xdr:cNvPr>
        <xdr:cNvSpPr txBox="1"/>
      </xdr:nvSpPr>
      <xdr:spPr>
        <a:xfrm>
          <a:off x="10445462" y="157487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79</xdr:row>
      <xdr:rowOff>23812</xdr:rowOff>
    </xdr:from>
    <xdr:ext cx="65" cy="172227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67B852B8-B196-4268-A498-923DC9BBE6BB}"/>
            </a:ext>
          </a:extLst>
        </xdr:cNvPr>
        <xdr:cNvSpPr txBox="1"/>
      </xdr:nvSpPr>
      <xdr:spPr>
        <a:xfrm>
          <a:off x="10445462" y="163288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80</xdr:row>
      <xdr:rowOff>23812</xdr:rowOff>
    </xdr:from>
    <xdr:ext cx="65" cy="172227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11D4A4F-397F-47BC-BE70-2D0C7F7A2466}"/>
            </a:ext>
          </a:extLst>
        </xdr:cNvPr>
        <xdr:cNvSpPr txBox="1"/>
      </xdr:nvSpPr>
      <xdr:spPr>
        <a:xfrm>
          <a:off x="10445462" y="169523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409575</xdr:colOff>
      <xdr:row>81</xdr:row>
      <xdr:rowOff>23812</xdr:rowOff>
    </xdr:from>
    <xdr:ext cx="65" cy="172227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FAAB48AD-F24B-42D9-ABE6-F065E76F1CDB}"/>
            </a:ext>
          </a:extLst>
        </xdr:cNvPr>
        <xdr:cNvSpPr txBox="1"/>
      </xdr:nvSpPr>
      <xdr:spPr>
        <a:xfrm>
          <a:off x="10445462" y="176450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15</xdr:col>
      <xdr:colOff>744682</xdr:colOff>
      <xdr:row>31</xdr:row>
      <xdr:rowOff>0</xdr:rowOff>
    </xdr:from>
    <xdr:to>
      <xdr:col>18</xdr:col>
      <xdr:colOff>337705</xdr:colOff>
      <xdr:row>37</xdr:row>
      <xdr:rowOff>166596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8435B90-9CEF-446A-B772-915CEED87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7524" y="16305069"/>
          <a:ext cx="4381499" cy="401123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2C642-1332-43FF-B2E2-CE1797D73397}" name="表2" displayName="表2" ref="K11:Q21" totalsRowShown="0" headerRowDxfId="28" dataDxfId="26" headerRowBorderDxfId="27" tableBorderDxfId="25">
  <autoFilter ref="K11:Q21" xr:uid="{2E58A3A3-ED4B-41F5-AE46-94B164D7D373}"/>
  <tableColumns count="7">
    <tableColumn id="1" xr3:uid="{6002F6CA-1258-4E2D-A756-38F2AB677640}" name="Digital Modulation Scheme" dataDxfId="24"/>
    <tableColumn id="2" xr3:uid="{EC2131B1-1790-41C6-A2C7-7BBBEBB4D8DF}" name="Symbol Time (second)" dataDxfId="23"/>
    <tableColumn id="3" xr3:uid="{8B6F3C1A-0B05-436A-9879-B56E0B3C165F}" name="Bit Rate (bits/s)" dataDxfId="22"/>
    <tableColumn id="4" xr3:uid="{F82338E7-775B-4204-9E44-E88F64E9B63B}" name="Bandwidth (Hz)" dataDxfId="21"/>
    <tableColumn id="5" xr3:uid="{843E4739-0382-4C8B-931D-1895975A9245}" name="Modulation efficiency (bits/second/Hz)" dataDxfId="20"/>
    <tableColumn id="6" xr3:uid="{0880C4D3-9DBD-4FE8-B9D5-86739DE6AF63}" name="Eb/N0  (dB) (At BER = 10-5)" dataDxfId="19"/>
    <tableColumn id="8" xr3:uid="{E8D25DAF-CA93-4F6E-B4F3-03B9104F163E}" name="Eb/N0  (mag) (At BER = 10-5)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BBBA8-0072-4551-A6C9-2C4DF9BAF34E}" name="表1" displayName="表1" ref="K40:Q51" totalsRowShown="0" headerRowDxfId="17" dataDxfId="16">
  <autoFilter ref="K40:Q51" xr:uid="{0E243D9B-A210-4E58-BD94-7A146E6BE193}"/>
  <tableColumns count="7">
    <tableColumn id="1" xr3:uid="{5D091621-C229-4C32-A20A-63CCAB13D97E}" name="Noise Variable" dataDxfId="15"/>
    <tableColumn id="2" xr3:uid="{3EAA3C9B-59F6-4D37-9863-8A6A5014529D}" name="Symbol" dataDxfId="14"/>
    <tableColumn id="3" xr3:uid="{640A0F95-BF8C-4F78-A03C-2F69D2614365}" name="Equation" dataDxfId="13"/>
    <tableColumn id="4" xr3:uid="{010DCCDC-682D-45C3-B5DE-D9B35A29BB66}" name="Value" dataDxfId="12"/>
    <tableColumn id="7" xr3:uid="{4CE93052-B92E-41DE-BDD7-C84E82557022}" name="Unit" dataDxfId="11"/>
    <tableColumn id="5" xr3:uid="{4BFE0139-EDF3-4AF6-BCBA-D37445A8DC32}" name="Value in db" dataDxfId="10">
      <calculatedColumnFormula>10*LOG10(表1[[#This Row],[Value]])</calculatedColumnFormula>
    </tableColumn>
    <tableColumn id="6" xr3:uid="{876DC3E9-7E4F-4718-A79B-A8CE50B560B4}" name="Comment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2162C2-0F75-438D-A43E-551F17319724}" name="表1_4" displayName="表1_4" ref="K54:Q65" totalsRowShown="0" headerRowDxfId="8" dataDxfId="7">
  <autoFilter ref="K54:Q65" xr:uid="{88620A59-29E6-41F2-BE54-44EFFCCFB076}"/>
  <tableColumns count="7">
    <tableColumn id="1" xr3:uid="{EAFA8F21-6D54-4357-9648-58335B5F9EA8}" name="Noise Variable" dataDxfId="6"/>
    <tableColumn id="2" xr3:uid="{D0CF4B94-02D9-42FF-A2D1-424C77FEB9A6}" name="Symbol" dataDxfId="5"/>
    <tableColumn id="3" xr3:uid="{F2A40DEB-657F-4E22-A49E-A958B6DB33E7}" name="Equation" dataDxfId="4"/>
    <tableColumn id="4" xr3:uid="{FAC1AA3D-2534-4762-8281-86A6E4B7C10D}" name="Value" dataDxfId="3"/>
    <tableColumn id="7" xr3:uid="{972FA6F3-611B-4F63-BA59-100BBC883E6E}" name="Unit" dataDxfId="2"/>
    <tableColumn id="5" xr3:uid="{A57FF263-2D0D-4499-8536-D671DADDCF85}" name="Value in db" dataDxfId="1">
      <calculatedColumnFormula>10*LOG10(表1_4[[#This Row],[Value]])</calculatedColumnFormula>
    </tableColumn>
    <tableColumn id="6" xr3:uid="{0EF3801D-515C-4FB7-AD0F-CAD63022A490}" name="Commen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R91"/>
  <sheetViews>
    <sheetView showGridLines="0" tabSelected="1" zoomScale="55" zoomScaleNormal="55" workbookViewId="0">
      <selection activeCell="K5" sqref="K5"/>
    </sheetView>
  </sheetViews>
  <sheetFormatPr defaultColWidth="9.1328125" defaultRowHeight="30" customHeight="1" x14ac:dyDescent="0.5"/>
  <cols>
    <col min="1" max="1" width="1.73046875" style="3" customWidth="1"/>
    <col min="2" max="2" width="2.9296875" style="4" customWidth="1"/>
    <col min="3" max="3" width="22.33203125" style="3" customWidth="1"/>
    <col min="4" max="4" width="21.6640625" style="3" customWidth="1"/>
    <col min="5" max="5" width="35.3984375" style="5" customWidth="1"/>
    <col min="6" max="6" width="16.6640625" style="5" customWidth="1"/>
    <col min="7" max="8" width="19.9296875" style="5" customWidth="1"/>
    <col min="9" max="9" width="27.46484375" style="5" customWidth="1"/>
    <col min="10" max="10" width="14.33203125" style="5" customWidth="1"/>
    <col min="11" max="11" width="19.59765625" style="6" customWidth="1"/>
    <col min="12" max="12" width="16.265625" style="3" customWidth="1"/>
    <col min="13" max="13" width="19.796875" style="3" customWidth="1"/>
    <col min="14" max="14" width="14.265625" style="3" customWidth="1"/>
    <col min="15" max="15" width="22.33203125" style="3" customWidth="1"/>
    <col min="16" max="16" width="31.73046875" style="3" customWidth="1"/>
    <col min="17" max="17" width="26.19921875" style="3" customWidth="1"/>
    <col min="18" max="16384" width="9.1328125" style="3"/>
  </cols>
  <sheetData>
    <row r="1" spans="1:18" ht="49.5" customHeight="1" x14ac:dyDescent="0.45">
      <c r="A1" s="1"/>
      <c r="B1" s="2"/>
      <c r="C1" s="102" t="s">
        <v>170</v>
      </c>
      <c r="D1" s="103"/>
      <c r="E1" s="103"/>
      <c r="F1" s="104"/>
      <c r="G1" s="104"/>
      <c r="H1" s="7"/>
      <c r="I1" s="10"/>
      <c r="J1" s="9"/>
      <c r="K1" s="3"/>
    </row>
    <row r="2" spans="1:18" ht="12" customHeight="1" x14ac:dyDescent="0.5"/>
    <row r="3" spans="1:18" ht="42.75" customHeight="1" thickBot="1" x14ac:dyDescent="0.5">
      <c r="B3" s="18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0" t="s">
        <v>5</v>
      </c>
      <c r="H3" s="50" t="s">
        <v>41</v>
      </c>
      <c r="I3" s="50" t="s">
        <v>6</v>
      </c>
      <c r="J3" s="3"/>
      <c r="K3" s="3"/>
      <c r="L3" s="105" t="s">
        <v>43</v>
      </c>
      <c r="M3" s="105"/>
      <c r="O3" s="99" t="s">
        <v>180</v>
      </c>
      <c r="P3" s="100"/>
      <c r="Q3" s="101"/>
    </row>
    <row r="4" spans="1:18" ht="41.25" customHeight="1" thickTop="1" thickBot="1" x14ac:dyDescent="0.5">
      <c r="B4" s="19">
        <f>IFERROR((Link!$G5&lt;=#REF!)*(#REF!="")*valHighlight,0)</f>
        <v>0</v>
      </c>
      <c r="C4" s="92" t="s">
        <v>181</v>
      </c>
      <c r="D4" s="93"/>
      <c r="E4" s="93"/>
      <c r="F4" s="93"/>
      <c r="G4" s="93"/>
      <c r="H4" s="93"/>
      <c r="I4" s="94"/>
      <c r="J4" s="3"/>
      <c r="K4" s="3"/>
      <c r="L4" s="106" t="s">
        <v>47</v>
      </c>
      <c r="M4" s="106"/>
      <c r="O4" s="32" t="s">
        <v>44</v>
      </c>
      <c r="P4" s="32" t="s">
        <v>4</v>
      </c>
      <c r="Q4" s="32" t="s">
        <v>5</v>
      </c>
    </row>
    <row r="5" spans="1:18" ht="49.5" customHeight="1" thickBot="1" x14ac:dyDescent="0.5">
      <c r="B5" s="8">
        <f>IFERROR((Link!#REF!&lt;=#REF!)*(#REF!="")*valHighlight,0)</f>
        <v>0</v>
      </c>
      <c r="C5" s="65" t="s">
        <v>229</v>
      </c>
      <c r="D5" s="66" t="s">
        <v>230</v>
      </c>
      <c r="E5" s="67" t="s">
        <v>231</v>
      </c>
      <c r="F5" s="71">
        <f>512000</f>
        <v>512000</v>
      </c>
      <c r="G5" s="68" t="s">
        <v>7</v>
      </c>
      <c r="H5" s="118">
        <f>10*LOG10(F5)</f>
        <v>57.092699609758306</v>
      </c>
      <c r="I5" s="69" t="s">
        <v>232</v>
      </c>
      <c r="J5" s="3"/>
      <c r="K5" s="1"/>
      <c r="L5" s="107" t="s">
        <v>61</v>
      </c>
      <c r="M5" s="107"/>
      <c r="O5" s="30" t="s">
        <v>45</v>
      </c>
      <c r="P5" s="34">
        <v>300000000</v>
      </c>
      <c r="Q5" s="30" t="s">
        <v>46</v>
      </c>
    </row>
    <row r="6" spans="1:18" ht="43.5" customHeight="1" thickBot="1" x14ac:dyDescent="0.5">
      <c r="B6" s="8">
        <f>IFERROR((Link!$G6&lt;=#REF!)*(#REF!="")*valHighlight,0)</f>
        <v>0</v>
      </c>
      <c r="C6" s="23" t="s">
        <v>228</v>
      </c>
      <c r="D6" s="20" t="s">
        <v>9</v>
      </c>
      <c r="E6" s="20" t="s">
        <v>227</v>
      </c>
      <c r="F6" s="72">
        <f>F15*O21</f>
        <v>241920.00000000003</v>
      </c>
      <c r="G6" s="22" t="s">
        <v>7</v>
      </c>
      <c r="H6" s="119">
        <f t="shared" ref="H6:H8" si="0">10*LOG10(F6)</f>
        <v>53.836717738211128</v>
      </c>
      <c r="I6" s="24" t="s">
        <v>233</v>
      </c>
      <c r="J6" s="3"/>
      <c r="K6" s="3"/>
      <c r="O6" s="31" t="s">
        <v>114</v>
      </c>
      <c r="P6" s="33">
        <v>1.3800000000000001E-23</v>
      </c>
      <c r="Q6" s="31" t="s">
        <v>68</v>
      </c>
    </row>
    <row r="7" spans="1:18" ht="39" customHeight="1" thickBot="1" x14ac:dyDescent="0.5">
      <c r="B7" s="8"/>
      <c r="C7" s="23" t="s">
        <v>98</v>
      </c>
      <c r="D7" s="20" t="s">
        <v>26</v>
      </c>
      <c r="E7" s="20" t="s">
        <v>182</v>
      </c>
      <c r="F7" s="62">
        <f>F15*IMLOG2(1+F17)</f>
        <v>1591738.5002157812</v>
      </c>
      <c r="G7" s="22" t="s">
        <v>7</v>
      </c>
      <c r="H7" s="119">
        <f t="shared" si="0"/>
        <v>62.018717209132184</v>
      </c>
      <c r="I7" s="24" t="s">
        <v>99</v>
      </c>
      <c r="J7" s="3"/>
      <c r="K7" s="85" t="s">
        <v>179</v>
      </c>
      <c r="O7" s="31" t="s">
        <v>57</v>
      </c>
      <c r="P7" s="47">
        <v>290</v>
      </c>
      <c r="Q7" s="31" t="s">
        <v>50</v>
      </c>
    </row>
    <row r="8" spans="1:18" ht="49.15" customHeight="1" thickBot="1" x14ac:dyDescent="0.5">
      <c r="B8" s="8">
        <f>IFERROR((Link!$G8&lt;=#REF!)*(#REF!="")*valHighlight,0)</f>
        <v>0</v>
      </c>
      <c r="C8" s="20" t="s">
        <v>183</v>
      </c>
      <c r="D8" s="20" t="s">
        <v>10</v>
      </c>
      <c r="E8" s="20" t="s">
        <v>8</v>
      </c>
      <c r="F8" s="39">
        <v>1.0000000000000001E-5</v>
      </c>
      <c r="G8" s="22" t="s">
        <v>8</v>
      </c>
      <c r="H8" s="22">
        <f t="shared" si="0"/>
        <v>-50</v>
      </c>
      <c r="I8" s="26" t="s">
        <v>11</v>
      </c>
      <c r="J8" s="3"/>
      <c r="K8" s="70"/>
      <c r="N8" s="45"/>
      <c r="O8" s="52" t="s">
        <v>174</v>
      </c>
      <c r="P8" s="53">
        <v>408000</v>
      </c>
      <c r="Q8" s="52" t="s">
        <v>35</v>
      </c>
      <c r="R8" s="45"/>
    </row>
    <row r="9" spans="1:18" ht="33" customHeight="1" thickBot="1" x14ac:dyDescent="0.5">
      <c r="B9" s="8">
        <f>IFERROR((Link!$G9&lt;=#REF!)*(#REF!="")*valHighlight,0)</f>
        <v>0</v>
      </c>
      <c r="C9" s="20" t="s">
        <v>31</v>
      </c>
      <c r="D9" s="20" t="s">
        <v>32</v>
      </c>
      <c r="E9" s="20" t="s">
        <v>8</v>
      </c>
      <c r="F9" s="25">
        <v>2200000000</v>
      </c>
      <c r="G9" s="22" t="s">
        <v>33</v>
      </c>
      <c r="H9" s="22" t="s">
        <v>8</v>
      </c>
      <c r="I9" s="26" t="s">
        <v>171</v>
      </c>
      <c r="J9" s="3"/>
      <c r="K9" s="73"/>
      <c r="O9" s="54" t="s">
        <v>107</v>
      </c>
      <c r="P9" s="55">
        <v>12742000</v>
      </c>
      <c r="Q9" s="54" t="s">
        <v>35</v>
      </c>
    </row>
    <row r="10" spans="1:18" ht="33" customHeight="1" thickBot="1" x14ac:dyDescent="0.5">
      <c r="B10" s="8"/>
      <c r="C10" s="20" t="s">
        <v>192</v>
      </c>
      <c r="D10" s="20" t="s">
        <v>76</v>
      </c>
      <c r="E10" s="20" t="s">
        <v>8</v>
      </c>
      <c r="F10" s="56">
        <v>408000</v>
      </c>
      <c r="G10" s="22" t="s">
        <v>35</v>
      </c>
      <c r="H10" s="22" t="s">
        <v>8</v>
      </c>
      <c r="I10" s="26" t="s">
        <v>173</v>
      </c>
      <c r="J10" s="3"/>
      <c r="K10" s="3"/>
    </row>
    <row r="11" spans="1:18" ht="47.25" customHeight="1" thickBot="1" x14ac:dyDescent="0.5">
      <c r="B11" s="8">
        <f>IFERROR((Link!$G12&lt;=#REF!)*(#REF!="")*valHighlight,0)</f>
        <v>0</v>
      </c>
      <c r="C11" s="20" t="s">
        <v>105</v>
      </c>
      <c r="D11" s="27" t="s">
        <v>106</v>
      </c>
      <c r="E11" s="20" t="s">
        <v>8</v>
      </c>
      <c r="F11" s="56">
        <v>12742000</v>
      </c>
      <c r="G11" s="22" t="s">
        <v>35</v>
      </c>
      <c r="H11" s="22" t="s">
        <v>8</v>
      </c>
      <c r="I11" s="26" t="s">
        <v>107</v>
      </c>
      <c r="J11" s="3"/>
      <c r="K11" s="14" t="s">
        <v>12</v>
      </c>
      <c r="L11" s="14" t="s">
        <v>13</v>
      </c>
      <c r="M11" s="14" t="s">
        <v>14</v>
      </c>
      <c r="N11" s="14" t="s">
        <v>15</v>
      </c>
      <c r="O11" s="14" t="s">
        <v>39</v>
      </c>
      <c r="P11" s="14" t="s">
        <v>29</v>
      </c>
      <c r="Q11" s="14" t="s">
        <v>113</v>
      </c>
    </row>
    <row r="12" spans="1:18" ht="36.75" customHeight="1" thickBot="1" x14ac:dyDescent="0.5">
      <c r="B12" s="8">
        <f>IFERROR((Link!$G13&lt;=#REF!)*(#REF!="")*valHighlight,0)</f>
        <v>0</v>
      </c>
      <c r="C12" s="20" t="s">
        <v>34</v>
      </c>
      <c r="D12" s="41" t="s">
        <v>163</v>
      </c>
      <c r="E12" s="20" t="s">
        <v>79</v>
      </c>
      <c r="F12" s="56">
        <f>P5/F9</f>
        <v>0.13636363636363635</v>
      </c>
      <c r="G12" s="22" t="s">
        <v>35</v>
      </c>
      <c r="H12" s="22" t="s">
        <v>8</v>
      </c>
      <c r="I12" s="26" t="s">
        <v>36</v>
      </c>
      <c r="J12" s="3"/>
      <c r="K12" s="15"/>
      <c r="L12" s="15" t="s">
        <v>24</v>
      </c>
      <c r="M12" s="16" t="s">
        <v>27</v>
      </c>
      <c r="N12" s="16" t="s">
        <v>25</v>
      </c>
      <c r="O12" s="15" t="s">
        <v>26</v>
      </c>
      <c r="P12" s="17" t="s">
        <v>28</v>
      </c>
      <c r="Q12" s="15" t="s">
        <v>30</v>
      </c>
    </row>
    <row r="13" spans="1:18" ht="39" customHeight="1" thickBot="1" x14ac:dyDescent="0.5">
      <c r="B13" s="8">
        <f>IFERROR((Link!$G15&lt;=#REF!)*(#REF!="")*valHighlight,0)</f>
        <v>0</v>
      </c>
      <c r="C13" s="89" t="s">
        <v>172</v>
      </c>
      <c r="D13" s="90"/>
      <c r="E13" s="90"/>
      <c r="F13" s="90"/>
      <c r="G13" s="90"/>
      <c r="H13" s="90"/>
      <c r="I13" s="91"/>
      <c r="J13" s="3"/>
      <c r="K13" s="35" t="s">
        <v>16</v>
      </c>
      <c r="L13" s="36">
        <f>表2[[#This Row],[Modulation efficiency (bits/second/Hz)]]/表2[[#This Row],[Bit Rate (bits/s)]]</f>
        <v>5.5803571428571429E-6</v>
      </c>
      <c r="M13" s="36">
        <f>表2[[#This Row],[Bandwidth (Hz)]]*表2[[#This Row],[Modulation efficiency (bits/second/Hz)]]</f>
        <v>179200</v>
      </c>
      <c r="N13" s="36">
        <f>F15</f>
        <v>179200</v>
      </c>
      <c r="O13" s="35">
        <v>1</v>
      </c>
      <c r="P13" s="37">
        <v>9.5</v>
      </c>
      <c r="Q13" s="35">
        <f xml:space="preserve"> 10^(表2[[#This Row],[Eb/N0  (dB) (At BER = 10-5)]]/10)</f>
        <v>8.9125093813374576</v>
      </c>
    </row>
    <row r="14" spans="1:18" ht="34.9" customHeight="1" thickBot="1" x14ac:dyDescent="0.5">
      <c r="B14" s="8"/>
      <c r="C14" s="20" t="s">
        <v>264</v>
      </c>
      <c r="D14" s="20" t="s">
        <v>263</v>
      </c>
      <c r="E14" s="20" t="s">
        <v>128</v>
      </c>
      <c r="F14" s="21">
        <v>0.35</v>
      </c>
      <c r="G14" s="22" t="s">
        <v>265</v>
      </c>
      <c r="H14" s="22" t="s">
        <v>8</v>
      </c>
      <c r="I14" s="26" t="s">
        <v>262</v>
      </c>
      <c r="J14" s="3"/>
      <c r="K14" s="35" t="s">
        <v>17</v>
      </c>
      <c r="L14" s="36">
        <f>表2[[#This Row],[Modulation efficiency (bits/second/Hz)]]/表2[[#This Row],[Bit Rate (bits/s)]]</f>
        <v>5.5803571428571429E-6</v>
      </c>
      <c r="M14" s="36">
        <f>表2[[#This Row],[Bandwidth (Hz)]]*表2[[#This Row],[Modulation efficiency (bits/second/Hz)]]</f>
        <v>358400</v>
      </c>
      <c r="N14" s="36">
        <f>F15</f>
        <v>179200</v>
      </c>
      <c r="O14" s="35">
        <v>2</v>
      </c>
      <c r="P14" s="37">
        <v>9.8000000000000007</v>
      </c>
      <c r="Q14" s="35">
        <f xml:space="preserve"> 10^(表2[[#This Row],[Eb/N0  (dB) (At BER = 10-5)]]/10)</f>
        <v>9.5499258602143637</v>
      </c>
    </row>
    <row r="15" spans="1:18" ht="36" customHeight="1" thickBot="1" x14ac:dyDescent="0.5">
      <c r="B15" s="8">
        <f>IFERROR((Link!$G17&lt;=#REF!)*(#REF!="")*valHighlight,0)</f>
        <v>0</v>
      </c>
      <c r="C15" s="20" t="s">
        <v>37</v>
      </c>
      <c r="D15" s="20" t="s">
        <v>38</v>
      </c>
      <c r="E15" s="20" t="s">
        <v>267</v>
      </c>
      <c r="F15" s="25">
        <f>F14*F5</f>
        <v>179200</v>
      </c>
      <c r="G15" s="22" t="s">
        <v>33</v>
      </c>
      <c r="H15" s="22" t="s">
        <v>8</v>
      </c>
      <c r="I15" s="26" t="s">
        <v>40</v>
      </c>
      <c r="J15" s="3"/>
      <c r="K15" s="35" t="s">
        <v>18</v>
      </c>
      <c r="L15" s="36">
        <f>表2[[#This Row],[Modulation efficiency (bits/second/Hz)]]/表2[[#This Row],[Bit Rate (bits/s)]]</f>
        <v>5.5803571428571429E-6</v>
      </c>
      <c r="M15" s="36">
        <f>表2[[#This Row],[Bandwidth (Hz)]]*表2[[#This Row],[Modulation efficiency (bits/second/Hz)]]</f>
        <v>358400</v>
      </c>
      <c r="N15" s="36">
        <f>F15</f>
        <v>179200</v>
      </c>
      <c r="O15" s="35">
        <v>2</v>
      </c>
      <c r="P15" s="37">
        <v>9.8000000000000007</v>
      </c>
      <c r="Q15" s="35">
        <f xml:space="preserve"> 10^(表2[[#This Row],[Eb/N0  (dB) (At BER = 10-5)]]/10)</f>
        <v>9.5499258602143637</v>
      </c>
    </row>
    <row r="16" spans="1:18" ht="36.75" customHeight="1" thickBot="1" x14ac:dyDescent="0.5">
      <c r="B16" s="8">
        <f>IFERROR((Link!$G21&lt;=#REF!)*(#REF!="")*valHighlight,0)</f>
        <v>0</v>
      </c>
      <c r="C16" s="20" t="s">
        <v>53</v>
      </c>
      <c r="D16" s="20" t="s">
        <v>54</v>
      </c>
      <c r="E16" s="20" t="s">
        <v>8</v>
      </c>
      <c r="F16" s="21">
        <f>Q21</f>
        <v>10</v>
      </c>
      <c r="G16" s="22" t="s">
        <v>8</v>
      </c>
      <c r="H16" s="22">
        <f>P21</f>
        <v>10</v>
      </c>
      <c r="I16" s="26" t="s">
        <v>40</v>
      </c>
      <c r="J16" s="3"/>
      <c r="K16" s="35" t="s">
        <v>19</v>
      </c>
      <c r="L16" s="36">
        <f>表2[[#This Row],[Modulation efficiency (bits/second/Hz)]]/表2[[#This Row],[Bit Rate (bits/s)]]</f>
        <v>5.5803571428571429E-6</v>
      </c>
      <c r="M16" s="36">
        <f>表2[[#This Row],[Bandwidth (Hz)]]*表2[[#This Row],[Modulation efficiency (bits/second/Hz)]]</f>
        <v>358400</v>
      </c>
      <c r="N16" s="36">
        <f>F15</f>
        <v>179200</v>
      </c>
      <c r="O16" s="35">
        <v>2</v>
      </c>
      <c r="P16" s="37">
        <v>13.7</v>
      </c>
      <c r="Q16" s="35">
        <f xml:space="preserve"> 10^(表2[[#This Row],[Eb/N0  (dB) (At BER = 10-5)]]/10)</f>
        <v>23.442288153199225</v>
      </c>
    </row>
    <row r="17" spans="2:17" ht="39.75" customHeight="1" thickBot="1" x14ac:dyDescent="0.5">
      <c r="B17" s="8">
        <f>IFERROR((Link!$G22&lt;=#REF!)*(#REF!="")*valHighlight,0)</f>
        <v>0</v>
      </c>
      <c r="C17" s="20" t="s">
        <v>184</v>
      </c>
      <c r="D17" s="20" t="s">
        <v>185</v>
      </c>
      <c r="E17" s="20" t="s">
        <v>177</v>
      </c>
      <c r="F17" s="29">
        <f>F37/F26</f>
        <v>470.9431616539826</v>
      </c>
      <c r="G17" s="22" t="s">
        <v>8</v>
      </c>
      <c r="H17" s="119">
        <f>10*LOG10(F17)</f>
        <v>26.729684950915875</v>
      </c>
      <c r="I17" s="26" t="s">
        <v>42</v>
      </c>
      <c r="J17" s="3"/>
      <c r="K17" s="35" t="s">
        <v>20</v>
      </c>
      <c r="L17" s="36">
        <f>表2[[#This Row],[Modulation efficiency (bits/second/Hz)]]/表2[[#This Row],[Bit Rate (bits/s)]]</f>
        <v>5.5803571428571429E-6</v>
      </c>
      <c r="M17" s="36">
        <f>表2[[#This Row],[Bandwidth (Hz)]]*表2[[#This Row],[Modulation efficiency (bits/second/Hz)]]</f>
        <v>716800</v>
      </c>
      <c r="N17" s="36">
        <f>F15</f>
        <v>179200</v>
      </c>
      <c r="O17" s="35">
        <v>4</v>
      </c>
      <c r="P17" s="37">
        <v>14</v>
      </c>
      <c r="Q17" s="35">
        <f xml:space="preserve"> 10^(表2[[#This Row],[Eb/N0  (dB) (At BER = 10-5)]]/10)</f>
        <v>25.118864315095799</v>
      </c>
    </row>
    <row r="18" spans="2:17" ht="47.25" customHeight="1" thickBot="1" x14ac:dyDescent="0.5">
      <c r="B18" s="8">
        <f>IFERROR((Link!$G23&lt;=#REF!)*(#REF!="")*valHighlight,0)</f>
        <v>0</v>
      </c>
      <c r="C18" s="20" t="s">
        <v>187</v>
      </c>
      <c r="D18" s="20" t="s">
        <v>186</v>
      </c>
      <c r="E18" s="20" t="s">
        <v>223</v>
      </c>
      <c r="F18" s="29">
        <f>P21*F6/F15</f>
        <v>13.500000000000002</v>
      </c>
      <c r="G18" s="22" t="s">
        <v>8</v>
      </c>
      <c r="H18" s="119">
        <f>10*LOG10(F18)</f>
        <v>11.303337684950062</v>
      </c>
      <c r="I18" s="26" t="s">
        <v>187</v>
      </c>
      <c r="J18" s="3"/>
      <c r="K18" s="35" t="s">
        <v>21</v>
      </c>
      <c r="L18" s="36">
        <f>表2[[#This Row],[Modulation efficiency (bits/second/Hz)]]/表2[[#This Row],[Bit Rate (bits/s)]]</f>
        <v>5.5803571428571429E-6</v>
      </c>
      <c r="M18" s="36">
        <f>表2[[#This Row],[Bandwidth (Hz)]]*表2[[#This Row],[Modulation efficiency (bits/second/Hz)]]</f>
        <v>716800</v>
      </c>
      <c r="N18" s="36">
        <f>F15</f>
        <v>179200</v>
      </c>
      <c r="O18" s="35">
        <v>4</v>
      </c>
      <c r="P18" s="37">
        <v>18</v>
      </c>
      <c r="Q18" s="35">
        <f xml:space="preserve"> 10^(表2[[#This Row],[Eb/N0  (dB) (At BER = 10-5)]]/10)</f>
        <v>63.095734448019364</v>
      </c>
    </row>
    <row r="19" spans="2:17" ht="47.25" customHeight="1" thickBot="1" x14ac:dyDescent="0.5">
      <c r="B19" s="8"/>
      <c r="C19" s="20" t="s">
        <v>188</v>
      </c>
      <c r="D19" s="20" t="s">
        <v>189</v>
      </c>
      <c r="E19" s="20" t="s">
        <v>191</v>
      </c>
      <c r="F19" s="29">
        <f>F17/F18</f>
        <v>34.884678641035741</v>
      </c>
      <c r="G19" s="22" t="s">
        <v>8</v>
      </c>
      <c r="H19" s="119">
        <f>10*LOG10(F19)</f>
        <v>15.426347265965809</v>
      </c>
      <c r="I19" s="26" t="s">
        <v>190</v>
      </c>
      <c r="J19" s="3"/>
      <c r="K19" s="35" t="s">
        <v>22</v>
      </c>
      <c r="L19" s="36">
        <f>表2[[#This Row],[Modulation efficiency (bits/second/Hz)]]/表2[[#This Row],[Bit Rate (bits/s)]]</f>
        <v>5.5803571428571429E-6</v>
      </c>
      <c r="M19" s="36">
        <f>表2[[#This Row],[Bandwidth (Hz)]]*表2[[#This Row],[Modulation efficiency (bits/second/Hz)]]</f>
        <v>896000</v>
      </c>
      <c r="N19" s="36">
        <f>F15</f>
        <v>179200</v>
      </c>
      <c r="O19" s="35">
        <v>5</v>
      </c>
      <c r="P19" s="37">
        <v>23.1</v>
      </c>
      <c r="Q19" s="35">
        <f xml:space="preserve"> 10^(表2[[#This Row],[Eb/N0  (dB) (At BER = 10-5)]]/10)</f>
        <v>204.17379446695315</v>
      </c>
    </row>
    <row r="20" spans="2:17" ht="46.5" customHeight="1" thickBot="1" x14ac:dyDescent="0.5">
      <c r="B20" s="8">
        <f>IFERROR((Link!$G25&lt;=#REF!)*(#REF!="")*valHighlight,0)</f>
        <v>0</v>
      </c>
      <c r="C20" s="95" t="s">
        <v>162</v>
      </c>
      <c r="D20" s="96"/>
      <c r="E20" s="96"/>
      <c r="F20" s="96"/>
      <c r="G20" s="96"/>
      <c r="H20" s="96"/>
      <c r="I20" s="97"/>
      <c r="J20" s="3"/>
      <c r="K20" s="35" t="s">
        <v>23</v>
      </c>
      <c r="L20" s="36">
        <f>表2[[#This Row],[Modulation efficiency (bits/second/Hz)]]/表2[[#This Row],[Bit Rate (bits/s)]]</f>
        <v>5.5803571428571429E-6</v>
      </c>
      <c r="M20" s="36">
        <f>表2[[#This Row],[Bandwidth (Hz)]]*表2[[#This Row],[Modulation efficiency (bits/second/Hz)]]</f>
        <v>1075200</v>
      </c>
      <c r="N20" s="36">
        <f>F15</f>
        <v>179200</v>
      </c>
      <c r="O20" s="35">
        <v>6</v>
      </c>
      <c r="P20" s="37">
        <v>18.5</v>
      </c>
      <c r="Q20" s="35">
        <f xml:space="preserve"> 10^(表2[[#This Row],[Eb/N0  (dB) (At BER = 10-5)]]/10)</f>
        <v>70.794578438413865</v>
      </c>
    </row>
    <row r="21" spans="2:17" ht="47.25" customHeight="1" thickBot="1" x14ac:dyDescent="0.5">
      <c r="B21" s="8">
        <f>IFERROR((Link!$G26&lt;=#REF!)*(#REF!="")*valHighlight,0)</f>
        <v>0</v>
      </c>
      <c r="C21" s="48" t="s">
        <v>48</v>
      </c>
      <c r="D21" s="74" t="s">
        <v>49</v>
      </c>
      <c r="E21" s="48" t="s">
        <v>52</v>
      </c>
      <c r="F21" s="78">
        <f>N41</f>
        <v>103</v>
      </c>
      <c r="G21" s="77" t="s">
        <v>50</v>
      </c>
      <c r="H21" s="120">
        <f>10*LOG10(F21)</f>
        <v>20.128372247051722</v>
      </c>
      <c r="I21" s="75" t="s">
        <v>51</v>
      </c>
      <c r="J21" s="3"/>
      <c r="K21" s="35" t="s">
        <v>169</v>
      </c>
      <c r="L21" s="36">
        <f>表2[[#This Row],[Modulation efficiency (bits/second/Hz)]]/表2[[#This Row],[Bit Rate (bits/s)]]</f>
        <v>5.5803571428571429E-6</v>
      </c>
      <c r="M21" s="36">
        <f>表2[[#This Row],[Bandwidth (Hz)]]*表2[[#This Row],[Modulation efficiency (bits/second/Hz)]]</f>
        <v>241920.00000000003</v>
      </c>
      <c r="N21" s="36">
        <f>F15</f>
        <v>179200</v>
      </c>
      <c r="O21" s="35">
        <v>1.35</v>
      </c>
      <c r="P21" s="37">
        <v>10</v>
      </c>
      <c r="Q21" s="35">
        <f xml:space="preserve"> 10^(表2[[#This Row],[Eb/N0  (dB) (At BER = 10-5)]]/10)</f>
        <v>10</v>
      </c>
    </row>
    <row r="22" spans="2:17" ht="45" customHeight="1" thickBot="1" x14ac:dyDescent="0.5">
      <c r="B22" s="8">
        <f>IFERROR((Link!$G37&lt;=#REF!)*(#REF!="")*valHighlight,0)</f>
        <v>0</v>
      </c>
      <c r="C22" s="20" t="s">
        <v>55</v>
      </c>
      <c r="D22" s="27" t="s">
        <v>268</v>
      </c>
      <c r="E22" s="20" t="s">
        <v>57</v>
      </c>
      <c r="F22" s="76">
        <v>290</v>
      </c>
      <c r="G22" s="22" t="s">
        <v>50</v>
      </c>
      <c r="H22" s="119">
        <f>10*LOG10(F22)</f>
        <v>24.62397997898956</v>
      </c>
      <c r="I22" s="26" t="s">
        <v>58</v>
      </c>
      <c r="J22" s="3"/>
      <c r="K22" s="3"/>
    </row>
    <row r="23" spans="2:17" ht="44.25" customHeight="1" thickBot="1" x14ac:dyDescent="0.5">
      <c r="B23" s="8">
        <f>IFERROR((Link!#REF!&lt;=#REF!)*(#REF!="")*valHighlight,0)</f>
        <v>0</v>
      </c>
      <c r="C23" s="20" t="s">
        <v>59</v>
      </c>
      <c r="D23" s="27" t="s">
        <v>60</v>
      </c>
      <c r="E23" s="20" t="s">
        <v>116</v>
      </c>
      <c r="F23" s="117">
        <f>N50</f>
        <v>2064.919444765856</v>
      </c>
      <c r="G23" s="22" t="s">
        <v>50</v>
      </c>
      <c r="H23" s="119">
        <f>10*LOG10(F23)</f>
        <v>33.149031139216845</v>
      </c>
      <c r="I23" s="26" t="s">
        <v>61</v>
      </c>
      <c r="J23" s="3"/>
      <c r="K23" s="3"/>
    </row>
    <row r="24" spans="2:17" ht="43.5" customHeight="1" thickBot="1" x14ac:dyDescent="0.5">
      <c r="B24" s="8">
        <f>IFERROR((Link!$G38&lt;=#REF!)*(#REF!="")*valHighlight,0)</f>
        <v>0</v>
      </c>
      <c r="C24" s="20" t="s">
        <v>64</v>
      </c>
      <c r="D24" s="40" t="s">
        <v>115</v>
      </c>
      <c r="E24" s="20" t="s">
        <v>164</v>
      </c>
      <c r="F24" s="38">
        <v>0.8</v>
      </c>
      <c r="G24" s="22" t="s">
        <v>8</v>
      </c>
      <c r="H24" s="22" t="s">
        <v>8</v>
      </c>
      <c r="I24" s="26" t="s">
        <v>61</v>
      </c>
      <c r="J24" s="3"/>
      <c r="K24" s="3"/>
    </row>
    <row r="25" spans="2:17" ht="49.5" customHeight="1" thickBot="1" x14ac:dyDescent="0.5">
      <c r="B25" s="8"/>
      <c r="C25" s="20" t="s">
        <v>62</v>
      </c>
      <c r="D25" s="20" t="s">
        <v>63</v>
      </c>
      <c r="E25" s="20" t="s">
        <v>65</v>
      </c>
      <c r="F25" s="122">
        <f>N51</f>
        <v>2205.3194447658561</v>
      </c>
      <c r="G25" s="22" t="s">
        <v>50</v>
      </c>
      <c r="H25" s="119">
        <f>10*LOG10(F25)</f>
        <v>33.434715067520301</v>
      </c>
      <c r="I25" s="26" t="s">
        <v>66</v>
      </c>
      <c r="J25" s="3"/>
      <c r="K25" s="3"/>
    </row>
    <row r="26" spans="2:17" ht="53.25" customHeight="1" thickBot="1" x14ac:dyDescent="0.5">
      <c r="B26" s="8">
        <f>IFERROR((Link!$G39&lt;=#REF!)*(#REF!="")*valHighlight,0)</f>
        <v>0</v>
      </c>
      <c r="C26" s="20" t="s">
        <v>67</v>
      </c>
      <c r="D26" s="27" t="s">
        <v>71</v>
      </c>
      <c r="E26" s="27" t="s">
        <v>74</v>
      </c>
      <c r="F26" s="25">
        <f>P6*F25*F15</f>
        <v>5.4536667741281721E-15</v>
      </c>
      <c r="G26" s="22" t="s">
        <v>70</v>
      </c>
      <c r="H26" s="119">
        <f>10*LOG10(F26)</f>
        <v>-142.63311401520627</v>
      </c>
      <c r="I26" s="26" t="s">
        <v>69</v>
      </c>
      <c r="J26" s="3"/>
      <c r="K26" s="3"/>
    </row>
    <row r="27" spans="2:17" ht="40.5" customHeight="1" thickBot="1" x14ac:dyDescent="0.5">
      <c r="B27" s="8">
        <f>IFERROR((Link!$G41&lt;=#REF!)*(#REF!="")*valHighlight,0)</f>
        <v>0</v>
      </c>
      <c r="C27" s="86" t="s">
        <v>197</v>
      </c>
      <c r="D27" s="87"/>
      <c r="E27" s="87"/>
      <c r="F27" s="87"/>
      <c r="G27" s="87"/>
      <c r="H27" s="87"/>
      <c r="I27" s="88"/>
      <c r="J27" s="3"/>
      <c r="K27" s="3"/>
    </row>
    <row r="28" spans="2:17" ht="45" customHeight="1" thickBot="1" x14ac:dyDescent="0.5">
      <c r="B28" s="8">
        <f>IFERROR((Link!$G42&lt;=#REF!)*(#REF!="")*valHighlight,0)</f>
        <v>0</v>
      </c>
      <c r="C28" s="20" t="s">
        <v>77</v>
      </c>
      <c r="D28" s="27" t="s">
        <v>78</v>
      </c>
      <c r="E28" s="27" t="s">
        <v>165</v>
      </c>
      <c r="F28" s="25">
        <f>(F12/(4*PI()*F10))^2</f>
        <v>7.0738703137579322E-16</v>
      </c>
      <c r="G28" s="22" t="s">
        <v>70</v>
      </c>
      <c r="H28" s="119">
        <f>10*LOG10(F28)</f>
        <v>-151.5034290642904</v>
      </c>
      <c r="I28" s="26" t="s">
        <v>80</v>
      </c>
      <c r="J28" s="3"/>
      <c r="K28" s="3"/>
    </row>
    <row r="29" spans="2:17" ht="34.9" customHeight="1" thickBot="1" x14ac:dyDescent="0.5">
      <c r="B29" s="8"/>
      <c r="C29" s="20" t="s">
        <v>193</v>
      </c>
      <c r="D29" s="20" t="s">
        <v>194</v>
      </c>
      <c r="E29" s="20" t="s">
        <v>8</v>
      </c>
      <c r="F29" s="21">
        <v>5</v>
      </c>
      <c r="G29" s="22" t="s">
        <v>195</v>
      </c>
      <c r="H29" s="22" t="s">
        <v>8</v>
      </c>
      <c r="I29" s="26" t="s">
        <v>196</v>
      </c>
      <c r="J29" s="3"/>
      <c r="K29" s="3"/>
    </row>
    <row r="30" spans="2:17" ht="31.15" customHeight="1" thickBot="1" x14ac:dyDescent="0.5">
      <c r="B30" s="8">
        <f>IFERROR((Link!#REF!&lt;=#REF!)*(#REF!="")*valHighlight,0)</f>
        <v>0</v>
      </c>
      <c r="C30" s="20" t="s">
        <v>211</v>
      </c>
      <c r="D30" s="20" t="s">
        <v>212</v>
      </c>
      <c r="E30" s="20" t="s">
        <v>213</v>
      </c>
      <c r="F30" s="25">
        <f>0.5*F11*(SQRT((0.5*F11+F10)^2/(0.5*F11)^2 - (COS(F29))^2)-SIN(F29))</f>
        <v>12642975.245300783</v>
      </c>
      <c r="G30" s="22" t="s">
        <v>214</v>
      </c>
      <c r="H30" s="22" t="s">
        <v>203</v>
      </c>
      <c r="I30" s="26" t="s">
        <v>215</v>
      </c>
      <c r="J30" s="3"/>
      <c r="K30" s="3"/>
    </row>
    <row r="31" spans="2:17" ht="45.75" customHeight="1" thickBot="1" x14ac:dyDescent="0.55000000000000004">
      <c r="B31" s="28">
        <f>IFERROR((Link!#REF!&lt;=#REF!)*(#REF!="")*valHighlight,0)</f>
        <v>0</v>
      </c>
      <c r="C31" s="20" t="s">
        <v>207</v>
      </c>
      <c r="D31" s="20" t="s">
        <v>208</v>
      </c>
      <c r="E31" s="20" t="s">
        <v>8</v>
      </c>
      <c r="F31" s="21">
        <v>1</v>
      </c>
      <c r="G31" s="22" t="s">
        <v>205</v>
      </c>
      <c r="H31" s="22">
        <v>0</v>
      </c>
      <c r="I31" s="26" t="s">
        <v>209</v>
      </c>
      <c r="J31" s="3"/>
      <c r="Q31"/>
    </row>
    <row r="32" spans="2:17" ht="48.75" customHeight="1" thickBot="1" x14ac:dyDescent="0.55000000000000004">
      <c r="C32" s="20" t="s">
        <v>210</v>
      </c>
      <c r="D32" s="20" t="s">
        <v>208</v>
      </c>
      <c r="E32" s="20" t="s">
        <v>8</v>
      </c>
      <c r="F32" s="21">
        <v>1</v>
      </c>
      <c r="G32" s="22" t="s">
        <v>205</v>
      </c>
      <c r="H32" s="22">
        <v>0</v>
      </c>
      <c r="I32" s="26" t="s">
        <v>209</v>
      </c>
    </row>
    <row r="33" spans="3:17" ht="54.75" customHeight="1" thickBot="1" x14ac:dyDescent="0.55000000000000004">
      <c r="C33" s="20" t="s">
        <v>216</v>
      </c>
      <c r="D33" s="20" t="s">
        <v>218</v>
      </c>
      <c r="E33" s="20" t="s">
        <v>8</v>
      </c>
      <c r="F33" s="25">
        <f>10^(H33/10)</f>
        <v>0.50118723362727224</v>
      </c>
      <c r="G33" s="22" t="s">
        <v>205</v>
      </c>
      <c r="H33" s="22">
        <v>-3</v>
      </c>
      <c r="I33" s="26" t="s">
        <v>226</v>
      </c>
    </row>
    <row r="34" spans="3:17" ht="45.75" customHeight="1" thickBot="1" x14ac:dyDescent="0.55000000000000004">
      <c r="C34" s="20" t="s">
        <v>217</v>
      </c>
      <c r="D34" s="20" t="s">
        <v>219</v>
      </c>
      <c r="E34" s="20" t="s">
        <v>8</v>
      </c>
      <c r="F34" s="25">
        <f>10^(H34/10)</f>
        <v>0.89125093813374545</v>
      </c>
      <c r="G34" s="22" t="s">
        <v>205</v>
      </c>
      <c r="H34" s="22">
        <v>-0.5</v>
      </c>
      <c r="I34" s="26" t="s">
        <v>225</v>
      </c>
      <c r="M34"/>
    </row>
    <row r="35" spans="3:17" ht="50.25" customHeight="1" thickBot="1" x14ac:dyDescent="0.55000000000000004">
      <c r="C35" s="20" t="s">
        <v>220</v>
      </c>
      <c r="D35" s="20" t="s">
        <v>221</v>
      </c>
      <c r="E35" s="20" t="s">
        <v>222</v>
      </c>
      <c r="F35" s="25">
        <f>10^(H35/10)</f>
        <v>3.1597818021594524E-16</v>
      </c>
      <c r="G35" s="22" t="s">
        <v>205</v>
      </c>
      <c r="H35" s="119">
        <f>H28+H33+H34</f>
        <v>-155.0034290642904</v>
      </c>
      <c r="I35" s="26" t="s">
        <v>224</v>
      </c>
    </row>
    <row r="36" spans="3:17" ht="50.25" customHeight="1" thickBot="1" x14ac:dyDescent="0.55000000000000004">
      <c r="C36" s="86" t="s">
        <v>201</v>
      </c>
      <c r="D36" s="87"/>
      <c r="E36" s="87"/>
      <c r="F36" s="87"/>
      <c r="G36" s="87"/>
      <c r="H36" s="87"/>
      <c r="I36" s="88"/>
    </row>
    <row r="37" spans="3:17" ht="52.5" customHeight="1" thickBot="1" x14ac:dyDescent="0.55000000000000004">
      <c r="C37" s="20" t="s">
        <v>72</v>
      </c>
      <c r="D37" s="27" t="s">
        <v>73</v>
      </c>
      <c r="E37" s="27" t="s">
        <v>202</v>
      </c>
      <c r="F37" s="25">
        <f>F41*F42*F39*F35</f>
        <v>2.5683670732151977E-12</v>
      </c>
      <c r="G37" s="22" t="s">
        <v>70</v>
      </c>
      <c r="H37" s="119">
        <f>10*LOG10(F37)</f>
        <v>-115.90342906429041</v>
      </c>
      <c r="I37" s="26" t="s">
        <v>75</v>
      </c>
    </row>
    <row r="38" spans="3:17" ht="58.5" customHeight="1" thickBot="1" x14ac:dyDescent="0.55000000000000004">
      <c r="C38" s="11" t="s">
        <v>81</v>
      </c>
      <c r="D38" s="42" t="s">
        <v>82</v>
      </c>
      <c r="E38" s="11" t="s">
        <v>83</v>
      </c>
      <c r="F38" s="46">
        <v>0.8</v>
      </c>
      <c r="G38" s="12" t="s">
        <v>8</v>
      </c>
      <c r="H38" s="12" t="s">
        <v>8</v>
      </c>
      <c r="I38" s="13" t="s">
        <v>84</v>
      </c>
    </row>
    <row r="39" spans="3:17" ht="51" customHeight="1" thickBot="1" x14ac:dyDescent="0.55000000000000004">
      <c r="C39" s="11" t="s">
        <v>85</v>
      </c>
      <c r="D39" s="11" t="s">
        <v>87</v>
      </c>
      <c r="E39" s="11" t="s">
        <v>88</v>
      </c>
      <c r="F39" s="63">
        <f>10^(H39/10)</f>
        <v>1202.2644346174138</v>
      </c>
      <c r="G39" s="12" t="s">
        <v>8</v>
      </c>
      <c r="H39" s="64">
        <v>30.8</v>
      </c>
      <c r="I39" s="13" t="s">
        <v>89</v>
      </c>
      <c r="K39" s="98" t="s">
        <v>237</v>
      </c>
      <c r="L39" s="98"/>
      <c r="M39" s="98"/>
      <c r="N39" s="98"/>
      <c r="O39" s="98"/>
      <c r="P39" s="98"/>
      <c r="Q39" s="98"/>
    </row>
    <row r="40" spans="3:17" ht="57" customHeight="1" thickBot="1" x14ac:dyDescent="0.55000000000000004">
      <c r="C40" s="86" t="s">
        <v>200</v>
      </c>
      <c r="D40" s="87"/>
      <c r="E40" s="87"/>
      <c r="F40" s="87"/>
      <c r="G40" s="87"/>
      <c r="H40" s="87"/>
      <c r="I40" s="88"/>
      <c r="K40" s="57" t="s">
        <v>118</v>
      </c>
      <c r="L40" s="57" t="s">
        <v>119</v>
      </c>
      <c r="M40" s="57" t="s">
        <v>123</v>
      </c>
      <c r="N40" s="57" t="s">
        <v>120</v>
      </c>
      <c r="O40" s="57" t="s">
        <v>157</v>
      </c>
      <c r="P40" s="57" t="s">
        <v>121</v>
      </c>
      <c r="Q40" s="57" t="s">
        <v>122</v>
      </c>
    </row>
    <row r="41" spans="3:17" ht="48.75" customHeight="1" thickBot="1" x14ac:dyDescent="0.55000000000000004">
      <c r="C41" s="11" t="s">
        <v>90</v>
      </c>
      <c r="D41" s="11" t="s">
        <v>91</v>
      </c>
      <c r="E41" s="11" t="s">
        <v>86</v>
      </c>
      <c r="F41" s="44">
        <v>1</v>
      </c>
      <c r="G41" s="12" t="s">
        <v>70</v>
      </c>
      <c r="H41" s="12">
        <f>10*LOG10(F41)</f>
        <v>0</v>
      </c>
      <c r="I41" s="13" t="s">
        <v>243</v>
      </c>
      <c r="K41" s="58" t="s">
        <v>124</v>
      </c>
      <c r="L41" s="59" t="s">
        <v>125</v>
      </c>
      <c r="M41" s="58" t="s">
        <v>128</v>
      </c>
      <c r="N41" s="58">
        <v>103</v>
      </c>
      <c r="O41" s="58" t="s">
        <v>160</v>
      </c>
      <c r="P41" s="58">
        <f>10*LOG10(表1[[#This Row],[Value]])</f>
        <v>20.128372247051722</v>
      </c>
      <c r="Q41" s="58" t="s">
        <v>129</v>
      </c>
    </row>
    <row r="42" spans="3:17" ht="46.5" customHeight="1" thickBot="1" x14ac:dyDescent="0.55000000000000004">
      <c r="C42" s="11" t="s">
        <v>92</v>
      </c>
      <c r="D42" s="42" t="s">
        <v>93</v>
      </c>
      <c r="E42" s="11" t="s">
        <v>166</v>
      </c>
      <c r="F42" s="63">
        <f>10^(H42/10)</f>
        <v>6.7608297539198192</v>
      </c>
      <c r="G42" s="12" t="s">
        <v>70</v>
      </c>
      <c r="H42" s="64">
        <v>8.3000000000000007</v>
      </c>
      <c r="I42" s="13" t="s">
        <v>94</v>
      </c>
      <c r="K42" s="58" t="s">
        <v>126</v>
      </c>
      <c r="L42" s="59" t="s">
        <v>127</v>
      </c>
      <c r="M42" s="58" t="s">
        <v>128</v>
      </c>
      <c r="N42" s="58">
        <v>290</v>
      </c>
      <c r="O42" s="58" t="s">
        <v>160</v>
      </c>
      <c r="P42" s="58">
        <f>10*LOG10(表1[[#This Row],[Value]])</f>
        <v>24.62397997898956</v>
      </c>
      <c r="Q42" s="58" t="s">
        <v>130</v>
      </c>
    </row>
    <row r="43" spans="3:17" ht="51.75" customHeight="1" thickBot="1" x14ac:dyDescent="0.55000000000000004">
      <c r="C43" s="11" t="s">
        <v>198</v>
      </c>
      <c r="D43" s="42" t="s">
        <v>199</v>
      </c>
      <c r="E43" s="11" t="s">
        <v>203</v>
      </c>
      <c r="F43" s="63">
        <f>10^(H43/10)</f>
        <v>0.79432823472428149</v>
      </c>
      <c r="G43" s="12" t="s">
        <v>205</v>
      </c>
      <c r="H43" s="12">
        <v>-1</v>
      </c>
      <c r="I43" s="13" t="s">
        <v>204</v>
      </c>
      <c r="K43" s="58" t="s">
        <v>131</v>
      </c>
      <c r="L43" s="59" t="s">
        <v>137</v>
      </c>
      <c r="M43" s="58" t="s">
        <v>132</v>
      </c>
      <c r="N43" s="58">
        <f>(N44-1)*N42</f>
        <v>119.63588794059876</v>
      </c>
      <c r="O43" s="58" t="s">
        <v>160</v>
      </c>
      <c r="P43" s="58">
        <f>10*LOG10(表1[[#This Row],[Value]])</f>
        <v>20.778614772830693</v>
      </c>
      <c r="Q43" s="58" t="s">
        <v>134</v>
      </c>
    </row>
    <row r="44" spans="3:17" ht="70.900000000000006" customHeight="1" thickBot="1" x14ac:dyDescent="0.55000000000000004">
      <c r="C44" s="11" t="s">
        <v>95</v>
      </c>
      <c r="D44" s="42" t="s">
        <v>96</v>
      </c>
      <c r="E44" s="11" t="s">
        <v>206</v>
      </c>
      <c r="F44" s="43">
        <f>F41*F42*F43</f>
        <v>5.3703179637025285</v>
      </c>
      <c r="G44" s="12" t="s">
        <v>70</v>
      </c>
      <c r="H44" s="12">
        <f>10*LOG10(F44)</f>
        <v>7.3000000000000007</v>
      </c>
      <c r="I44" s="13" t="s">
        <v>97</v>
      </c>
      <c r="K44" s="58" t="s">
        <v>133</v>
      </c>
      <c r="L44" s="59" t="s">
        <v>138</v>
      </c>
      <c r="M44" s="58" t="s">
        <v>128</v>
      </c>
      <c r="N44" s="58">
        <f>10^(表1[[#This Row],[Value in db]]/10)</f>
        <v>1.4125375446227544</v>
      </c>
      <c r="O44" s="58" t="s">
        <v>128</v>
      </c>
      <c r="P44" s="58">
        <v>1.5</v>
      </c>
      <c r="Q44" s="58" t="s">
        <v>135</v>
      </c>
    </row>
    <row r="45" spans="3:17" ht="56.25" customHeight="1" thickBot="1" x14ac:dyDescent="0.55000000000000004">
      <c r="C45" s="86" t="s">
        <v>176</v>
      </c>
      <c r="D45" s="87"/>
      <c r="E45" s="87"/>
      <c r="F45" s="87"/>
      <c r="G45" s="87"/>
      <c r="H45" s="87"/>
      <c r="I45" s="88"/>
      <c r="K45" s="58" t="s">
        <v>136</v>
      </c>
      <c r="L45" s="59" t="s">
        <v>139</v>
      </c>
      <c r="M45" s="58" t="s">
        <v>128</v>
      </c>
      <c r="N45" s="58">
        <f>10^(表1[[#This Row],[Value in db]]/10)</f>
        <v>3.9810717055349727</v>
      </c>
      <c r="O45" s="58" t="s">
        <v>128</v>
      </c>
      <c r="P45" s="58">
        <v>6</v>
      </c>
      <c r="Q45" s="58" t="s">
        <v>140</v>
      </c>
    </row>
    <row r="46" spans="3:17" ht="52.25" customHeight="1" thickBot="1" x14ac:dyDescent="0.55000000000000004">
      <c r="C46" s="11" t="s">
        <v>100</v>
      </c>
      <c r="D46" s="51" t="s">
        <v>103</v>
      </c>
      <c r="E46" s="42" t="s">
        <v>167</v>
      </c>
      <c r="F46" s="43">
        <f>ASIN(0.5*F11/(F10+0.5*F11))*2*PI()/180</f>
        <v>4.2658846254205234E-2</v>
      </c>
      <c r="G46" s="12" t="s">
        <v>102</v>
      </c>
      <c r="H46" s="12" t="s">
        <v>8</v>
      </c>
      <c r="I46" s="13" t="s">
        <v>109</v>
      </c>
      <c r="K46" s="58" t="s">
        <v>143</v>
      </c>
      <c r="L46" s="59" t="s">
        <v>144</v>
      </c>
      <c r="M46" s="58" t="s">
        <v>128</v>
      </c>
      <c r="N46" s="58">
        <f>10^(表1[[#This Row],[Value in db]]/10)</f>
        <v>3.9810717055349727</v>
      </c>
      <c r="O46" s="58" t="s">
        <v>128</v>
      </c>
      <c r="P46" s="58">
        <v>6</v>
      </c>
      <c r="Q46" s="58" t="s">
        <v>146</v>
      </c>
    </row>
    <row r="47" spans="3:17" ht="45.4" customHeight="1" thickBot="1" x14ac:dyDescent="0.55000000000000004">
      <c r="C47" s="11" t="s">
        <v>101</v>
      </c>
      <c r="D47" s="42" t="s">
        <v>104</v>
      </c>
      <c r="E47" s="42" t="s">
        <v>108</v>
      </c>
      <c r="F47" s="43" t="s">
        <v>175</v>
      </c>
      <c r="G47" s="12" t="s">
        <v>102</v>
      </c>
      <c r="H47" s="12" t="s">
        <v>8</v>
      </c>
      <c r="I47" s="13" t="s">
        <v>236</v>
      </c>
      <c r="K47" s="58" t="s">
        <v>141</v>
      </c>
      <c r="L47" s="59" t="s">
        <v>142</v>
      </c>
      <c r="M47" s="58" t="s">
        <v>145</v>
      </c>
      <c r="N47" s="58">
        <f>(N46-1)*N42</f>
        <v>864.51079460514211</v>
      </c>
      <c r="O47" s="58" t="s">
        <v>160</v>
      </c>
      <c r="P47" s="58">
        <f>10*LOG10(表1[[#This Row],[Value]])</f>
        <v>29.367704204071412</v>
      </c>
      <c r="Q47" s="58" t="s">
        <v>147</v>
      </c>
    </row>
    <row r="48" spans="3:17" ht="58.5" customHeight="1" thickBot="1" x14ac:dyDescent="0.55000000000000004">
      <c r="C48" s="11" t="s">
        <v>110</v>
      </c>
      <c r="D48" s="42" t="s">
        <v>111</v>
      </c>
      <c r="E48" s="42" t="s">
        <v>168</v>
      </c>
      <c r="F48" s="43">
        <f>F44/F24</f>
        <v>6.7128974546281599</v>
      </c>
      <c r="G48" s="12" t="s">
        <v>8</v>
      </c>
      <c r="H48" s="121">
        <f>10*LOG10(F48)</f>
        <v>8.2691001300805649</v>
      </c>
      <c r="I48" s="13" t="s">
        <v>112</v>
      </c>
      <c r="K48" s="58" t="s">
        <v>148</v>
      </c>
      <c r="L48" s="59" t="s">
        <v>149</v>
      </c>
      <c r="M48" s="58" t="s">
        <v>128</v>
      </c>
      <c r="N48" s="58">
        <v>870</v>
      </c>
      <c r="O48" s="58" t="s">
        <v>160</v>
      </c>
      <c r="P48" s="58">
        <f>10*LOG10(表1[[#This Row],[Value]])</f>
        <v>29.395192526186186</v>
      </c>
      <c r="Q48" s="58" t="s">
        <v>150</v>
      </c>
    </row>
    <row r="49" spans="3:17" ht="64.5" customHeight="1" x14ac:dyDescent="0.5">
      <c r="K49" s="58" t="s">
        <v>154</v>
      </c>
      <c r="L49" s="59" t="s">
        <v>155</v>
      </c>
      <c r="M49" s="58" t="s">
        <v>128</v>
      </c>
      <c r="N49" s="58">
        <v>290</v>
      </c>
      <c r="O49" s="58" t="s">
        <v>160</v>
      </c>
      <c r="P49" s="58">
        <f>10*LOG10(表1[[#This Row],[Value]])</f>
        <v>24.62397997898956</v>
      </c>
      <c r="Q49" s="58" t="s">
        <v>156</v>
      </c>
    </row>
    <row r="50" spans="3:17" ht="64.900000000000006" customHeight="1" x14ac:dyDescent="0.5">
      <c r="K50" s="58" t="s">
        <v>151</v>
      </c>
      <c r="L50" s="59" t="s">
        <v>152</v>
      </c>
      <c r="M50" s="58" t="s">
        <v>153</v>
      </c>
      <c r="N50" s="58">
        <f>N43+N44/N45*N47+(N44*N46/N45)*N48+N44*N49</f>
        <v>2064.919444765856</v>
      </c>
      <c r="O50" s="58" t="s">
        <v>160</v>
      </c>
      <c r="P50" s="58">
        <f>10*LOG10(表1[[#This Row],[Value]])</f>
        <v>33.149031139216845</v>
      </c>
      <c r="Q50" s="58" t="s">
        <v>151</v>
      </c>
    </row>
    <row r="51" spans="3:17" ht="41.25" customHeight="1" x14ac:dyDescent="0.5">
      <c r="C51" s="50" t="s">
        <v>1</v>
      </c>
      <c r="D51" s="50" t="s">
        <v>2</v>
      </c>
      <c r="E51" s="50" t="s">
        <v>3</v>
      </c>
      <c r="F51" s="50" t="s">
        <v>4</v>
      </c>
      <c r="G51" s="50" t="s">
        <v>5</v>
      </c>
      <c r="H51" s="50" t="s">
        <v>41</v>
      </c>
      <c r="I51" s="50" t="s">
        <v>6</v>
      </c>
      <c r="K51" s="60" t="s">
        <v>117</v>
      </c>
      <c r="L51" s="59" t="s">
        <v>158</v>
      </c>
      <c r="M51" s="58" t="s">
        <v>159</v>
      </c>
      <c r="N51" s="58">
        <f>N41*F24+N42*(1-F24)+N50</f>
        <v>2205.3194447658561</v>
      </c>
      <c r="O51" s="58" t="s">
        <v>160</v>
      </c>
      <c r="P51" s="58">
        <f>10*LOG10(表1[[#This Row],[Value]])</f>
        <v>33.434715067520301</v>
      </c>
      <c r="Q51" s="61" t="s">
        <v>161</v>
      </c>
    </row>
    <row r="52" spans="3:17" ht="46.9" customHeight="1" thickBot="1" x14ac:dyDescent="0.55000000000000004">
      <c r="C52" s="92" t="s">
        <v>266</v>
      </c>
      <c r="D52" s="93"/>
      <c r="E52" s="93"/>
      <c r="F52" s="93"/>
      <c r="G52" s="93"/>
      <c r="H52" s="93"/>
      <c r="I52" s="94"/>
    </row>
    <row r="53" spans="3:17" ht="46.5" customHeight="1" thickBot="1" x14ac:dyDescent="0.55000000000000004">
      <c r="C53" s="65" t="s">
        <v>229</v>
      </c>
      <c r="D53" s="66" t="s">
        <v>230</v>
      </c>
      <c r="E53" s="67" t="s">
        <v>231</v>
      </c>
      <c r="F53" s="71">
        <f>512000</f>
        <v>512000</v>
      </c>
      <c r="G53" s="68" t="s">
        <v>7</v>
      </c>
      <c r="H53" s="118">
        <f>10*LOG10(F53)</f>
        <v>57.092699609758306</v>
      </c>
      <c r="I53" s="69" t="s">
        <v>232</v>
      </c>
      <c r="K53" s="98" t="s">
        <v>238</v>
      </c>
      <c r="L53" s="98"/>
      <c r="M53" s="98"/>
      <c r="N53" s="98"/>
      <c r="O53" s="98"/>
      <c r="P53" s="98"/>
      <c r="Q53" s="98"/>
    </row>
    <row r="54" spans="3:17" ht="48.4" customHeight="1" thickBot="1" x14ac:dyDescent="0.5">
      <c r="C54" s="23" t="s">
        <v>228</v>
      </c>
      <c r="D54" s="20" t="s">
        <v>9</v>
      </c>
      <c r="E54" s="20" t="s">
        <v>227</v>
      </c>
      <c r="F54" s="72">
        <f>F62*O21</f>
        <v>135000</v>
      </c>
      <c r="G54" s="22" t="s">
        <v>7</v>
      </c>
      <c r="H54" s="119">
        <f t="shared" ref="H54:H56" si="1">10*LOG10(F54)</f>
        <v>51.303337684950066</v>
      </c>
      <c r="I54" s="24" t="s">
        <v>233</v>
      </c>
      <c r="J54" s="3"/>
      <c r="K54" s="57" t="s">
        <v>118</v>
      </c>
      <c r="L54" s="57" t="s">
        <v>119</v>
      </c>
      <c r="M54" s="57" t="s">
        <v>123</v>
      </c>
      <c r="N54" s="57" t="s">
        <v>120</v>
      </c>
      <c r="O54" s="57" t="s">
        <v>157</v>
      </c>
      <c r="P54" s="57" t="s">
        <v>121</v>
      </c>
      <c r="Q54" s="57" t="s">
        <v>122</v>
      </c>
    </row>
    <row r="55" spans="3:17" ht="45" customHeight="1" thickBot="1" x14ac:dyDescent="0.5">
      <c r="C55" s="23" t="s">
        <v>98</v>
      </c>
      <c r="D55" s="20" t="s">
        <v>26</v>
      </c>
      <c r="E55" s="20" t="s">
        <v>182</v>
      </c>
      <c r="F55" s="62">
        <f>F62*IMLOG2(1+F64)</f>
        <v>689942.80371763802</v>
      </c>
      <c r="G55" s="22" t="s">
        <v>7</v>
      </c>
      <c r="H55" s="119">
        <f t="shared" si="1"/>
        <v>58.388130892018843</v>
      </c>
      <c r="I55" s="24" t="s">
        <v>99</v>
      </c>
      <c r="J55" s="3"/>
      <c r="K55" s="58" t="s">
        <v>124</v>
      </c>
      <c r="L55" s="59" t="s">
        <v>125</v>
      </c>
      <c r="M55" s="58" t="s">
        <v>128</v>
      </c>
      <c r="N55" s="58">
        <v>103</v>
      </c>
      <c r="O55" s="58" t="s">
        <v>160</v>
      </c>
      <c r="P55" s="58">
        <f>10*LOG10(表1_4[[#This Row],[Value]])</f>
        <v>20.128372247051722</v>
      </c>
      <c r="Q55" s="58" t="s">
        <v>129</v>
      </c>
    </row>
    <row r="56" spans="3:17" ht="55.9" customHeight="1" thickBot="1" x14ac:dyDescent="0.5">
      <c r="C56" s="20" t="s">
        <v>183</v>
      </c>
      <c r="D56" s="20" t="s">
        <v>10</v>
      </c>
      <c r="E56" s="20" t="s">
        <v>8</v>
      </c>
      <c r="F56" s="39">
        <v>1.0000000000000001E-5</v>
      </c>
      <c r="G56" s="22" t="s">
        <v>8</v>
      </c>
      <c r="H56" s="22">
        <f t="shared" si="1"/>
        <v>-50</v>
      </c>
      <c r="I56" s="26" t="s">
        <v>11</v>
      </c>
      <c r="J56" s="3"/>
      <c r="K56" s="58" t="s">
        <v>126</v>
      </c>
      <c r="L56" s="59" t="s">
        <v>127</v>
      </c>
      <c r="M56" s="58" t="s">
        <v>128</v>
      </c>
      <c r="N56" s="58">
        <v>2.7</v>
      </c>
      <c r="O56" s="58" t="s">
        <v>160</v>
      </c>
      <c r="P56" s="58">
        <f>10*LOG10(表1_4[[#This Row],[Value]])</f>
        <v>4.3136376415898736</v>
      </c>
      <c r="Q56" s="58" t="s">
        <v>239</v>
      </c>
    </row>
    <row r="57" spans="3:17" ht="49.15" customHeight="1" thickBot="1" x14ac:dyDescent="0.5">
      <c r="C57" s="20" t="s">
        <v>31</v>
      </c>
      <c r="D57" s="20" t="s">
        <v>32</v>
      </c>
      <c r="E57" s="20" t="s">
        <v>8</v>
      </c>
      <c r="F57" s="25">
        <v>2100000000</v>
      </c>
      <c r="G57" s="22" t="s">
        <v>33</v>
      </c>
      <c r="H57" s="22" t="s">
        <v>8</v>
      </c>
      <c r="I57" s="26" t="s">
        <v>171</v>
      </c>
      <c r="J57" s="3"/>
      <c r="K57" s="58" t="s">
        <v>131</v>
      </c>
      <c r="L57" s="59" t="s">
        <v>137</v>
      </c>
      <c r="M57" s="58" t="s">
        <v>132</v>
      </c>
      <c r="N57" s="58">
        <f>(N58-1)*N56</f>
        <v>1.113851370481437</v>
      </c>
      <c r="O57" s="58" t="s">
        <v>160</v>
      </c>
      <c r="P57" s="58">
        <f>10*LOG10(表1_4[[#This Row],[Value]])</f>
        <v>0.46827243543100705</v>
      </c>
      <c r="Q57" s="58" t="s">
        <v>134</v>
      </c>
    </row>
    <row r="58" spans="3:17" ht="66.75" customHeight="1" thickBot="1" x14ac:dyDescent="0.5">
      <c r="C58" s="20" t="s">
        <v>192</v>
      </c>
      <c r="D58" s="20" t="s">
        <v>76</v>
      </c>
      <c r="E58" s="20" t="s">
        <v>8</v>
      </c>
      <c r="F58" s="56">
        <v>408000</v>
      </c>
      <c r="G58" s="22" t="s">
        <v>35</v>
      </c>
      <c r="H58" s="22" t="s">
        <v>8</v>
      </c>
      <c r="I58" s="26" t="s">
        <v>173</v>
      </c>
      <c r="J58" s="3"/>
      <c r="K58" s="58" t="s">
        <v>133</v>
      </c>
      <c r="L58" s="59" t="s">
        <v>138</v>
      </c>
      <c r="M58" s="58" t="s">
        <v>128</v>
      </c>
      <c r="N58" s="58">
        <f>10^(表1_4[[#This Row],[Value in db]]/10)</f>
        <v>1.4125375446227544</v>
      </c>
      <c r="O58" s="58" t="s">
        <v>128</v>
      </c>
      <c r="P58" s="58">
        <v>1.5</v>
      </c>
      <c r="Q58" s="58" t="s">
        <v>135</v>
      </c>
    </row>
    <row r="59" spans="3:17" ht="50.65" customHeight="1" thickBot="1" x14ac:dyDescent="0.5">
      <c r="C59" s="20" t="s">
        <v>105</v>
      </c>
      <c r="D59" s="27" t="s">
        <v>106</v>
      </c>
      <c r="E59" s="20" t="s">
        <v>8</v>
      </c>
      <c r="F59" s="56">
        <v>12742000</v>
      </c>
      <c r="G59" s="22" t="s">
        <v>35</v>
      </c>
      <c r="H59" s="22" t="s">
        <v>8</v>
      </c>
      <c r="I59" s="26" t="s">
        <v>107</v>
      </c>
      <c r="J59" s="3"/>
      <c r="K59" s="58" t="s">
        <v>136</v>
      </c>
      <c r="L59" s="59" t="s">
        <v>139</v>
      </c>
      <c r="M59" s="58" t="s">
        <v>128</v>
      </c>
      <c r="N59" s="58">
        <f>10^(表1_4[[#This Row],[Value in db]]/10)</f>
        <v>3.9810717055349727</v>
      </c>
      <c r="O59" s="58" t="s">
        <v>128</v>
      </c>
      <c r="P59" s="58">
        <v>6</v>
      </c>
      <c r="Q59" s="58" t="s">
        <v>140</v>
      </c>
    </row>
    <row r="60" spans="3:17" ht="54" customHeight="1" thickBot="1" x14ac:dyDescent="0.5">
      <c r="C60" s="20" t="s">
        <v>34</v>
      </c>
      <c r="D60" s="41" t="s">
        <v>163</v>
      </c>
      <c r="E60" s="20" t="s">
        <v>79</v>
      </c>
      <c r="F60" s="56">
        <f>P5/F57</f>
        <v>0.14285714285714285</v>
      </c>
      <c r="G60" s="22" t="s">
        <v>35</v>
      </c>
      <c r="H60" s="22" t="s">
        <v>8</v>
      </c>
      <c r="I60" s="26" t="s">
        <v>36</v>
      </c>
      <c r="J60" s="3"/>
      <c r="K60" s="58" t="s">
        <v>143</v>
      </c>
      <c r="L60" s="59" t="s">
        <v>144</v>
      </c>
      <c r="M60" s="58" t="s">
        <v>128</v>
      </c>
      <c r="N60" s="58">
        <f>10^(表1_4[[#This Row],[Value in db]]/10)</f>
        <v>3.9810717055349727</v>
      </c>
      <c r="O60" s="58" t="s">
        <v>128</v>
      </c>
      <c r="P60" s="58">
        <v>6</v>
      </c>
      <c r="Q60" s="58" t="s">
        <v>146</v>
      </c>
    </row>
    <row r="61" spans="3:17" ht="51.75" customHeight="1" thickBot="1" x14ac:dyDescent="0.5">
      <c r="C61" s="89" t="s">
        <v>235</v>
      </c>
      <c r="D61" s="90"/>
      <c r="E61" s="90"/>
      <c r="F61" s="90"/>
      <c r="G61" s="90"/>
      <c r="H61" s="90"/>
      <c r="I61" s="91"/>
      <c r="J61" s="3"/>
      <c r="K61" s="58" t="s">
        <v>141</v>
      </c>
      <c r="L61" s="59" t="s">
        <v>142</v>
      </c>
      <c r="M61" s="58" t="s">
        <v>145</v>
      </c>
      <c r="N61" s="58">
        <f>(N60-1)*N56</f>
        <v>8.0488936049444266</v>
      </c>
      <c r="O61" s="58" t="s">
        <v>160</v>
      </c>
      <c r="P61" s="58">
        <f>10*LOG10(表1_4[[#This Row],[Value]])</f>
        <v>9.057361866671723</v>
      </c>
      <c r="Q61" s="58" t="s">
        <v>147</v>
      </c>
    </row>
    <row r="62" spans="3:17" ht="41.65" customHeight="1" thickBot="1" x14ac:dyDescent="0.5">
      <c r="C62" s="20" t="s">
        <v>37</v>
      </c>
      <c r="D62" s="20" t="s">
        <v>38</v>
      </c>
      <c r="E62" s="20" t="s">
        <v>178</v>
      </c>
      <c r="F62" s="25">
        <v>100000</v>
      </c>
      <c r="G62" s="22" t="s">
        <v>33</v>
      </c>
      <c r="H62" s="22" t="s">
        <v>8</v>
      </c>
      <c r="I62" s="26" t="s">
        <v>234</v>
      </c>
      <c r="J62" s="3"/>
      <c r="K62" s="58" t="s">
        <v>148</v>
      </c>
      <c r="L62" s="59" t="s">
        <v>149</v>
      </c>
      <c r="M62" s="58" t="s">
        <v>128</v>
      </c>
      <c r="N62" s="58">
        <v>870</v>
      </c>
      <c r="O62" s="58" t="s">
        <v>160</v>
      </c>
      <c r="P62" s="58">
        <f>10*LOG10(表1_4[[#This Row],[Value]])</f>
        <v>29.395192526186186</v>
      </c>
      <c r="Q62" s="58" t="s">
        <v>150</v>
      </c>
    </row>
    <row r="63" spans="3:17" ht="61.9" customHeight="1" thickBot="1" x14ac:dyDescent="0.5">
      <c r="C63" s="20" t="s">
        <v>53</v>
      </c>
      <c r="D63" s="20" t="s">
        <v>54</v>
      </c>
      <c r="E63" s="20" t="s">
        <v>8</v>
      </c>
      <c r="F63" s="21">
        <f>P21</f>
        <v>10</v>
      </c>
      <c r="G63" s="22" t="s">
        <v>8</v>
      </c>
      <c r="H63" s="22" t="str">
        <f>P71</f>
        <v>Practical Horn</v>
      </c>
      <c r="I63" s="26" t="s">
        <v>40</v>
      </c>
      <c r="J63" s="3"/>
      <c r="K63" s="58" t="s">
        <v>154</v>
      </c>
      <c r="L63" s="59" t="s">
        <v>155</v>
      </c>
      <c r="M63" s="58" t="s">
        <v>128</v>
      </c>
      <c r="N63" s="58">
        <v>290</v>
      </c>
      <c r="O63" s="58" t="s">
        <v>160</v>
      </c>
      <c r="P63" s="58">
        <f>10*LOG10(表1_4[[#This Row],[Value]])</f>
        <v>24.62397997898956</v>
      </c>
      <c r="Q63" s="58" t="s">
        <v>156</v>
      </c>
    </row>
    <row r="64" spans="3:17" ht="58.5" customHeight="1" thickBot="1" x14ac:dyDescent="0.5">
      <c r="C64" s="20" t="s">
        <v>184</v>
      </c>
      <c r="D64" s="20" t="s">
        <v>185</v>
      </c>
      <c r="E64" s="20" t="s">
        <v>177</v>
      </c>
      <c r="F64" s="29">
        <f>F84/F73</f>
        <v>118.38088445442476</v>
      </c>
      <c r="G64" s="22" t="s">
        <v>8</v>
      </c>
      <c r="H64" s="119">
        <f>10*LOG10(F64)</f>
        <v>20.732815803751595</v>
      </c>
      <c r="I64" s="26" t="s">
        <v>42</v>
      </c>
      <c r="J64" s="3"/>
      <c r="K64" s="58" t="s">
        <v>151</v>
      </c>
      <c r="L64" s="59" t="s">
        <v>152</v>
      </c>
      <c r="M64" s="58" t="s">
        <v>153</v>
      </c>
      <c r="N64" s="58">
        <f>N57+N58/N59*N61+(N58*N60/N59)*N62+N58*N63</f>
        <v>1642.5132583524273</v>
      </c>
      <c r="O64" s="58" t="s">
        <v>160</v>
      </c>
      <c r="P64" s="58">
        <f>10*LOG10(表1_4[[#This Row],[Value]])</f>
        <v>32.155088838671666</v>
      </c>
      <c r="Q64" s="58" t="s">
        <v>151</v>
      </c>
    </row>
    <row r="65" spans="3:17" ht="47.65" customHeight="1" thickBot="1" x14ac:dyDescent="0.5">
      <c r="C65" s="20" t="s">
        <v>187</v>
      </c>
      <c r="D65" s="20" t="s">
        <v>186</v>
      </c>
      <c r="E65" s="20" t="s">
        <v>223</v>
      </c>
      <c r="F65" s="29">
        <f>O21*P21</f>
        <v>13.5</v>
      </c>
      <c r="G65" s="22" t="s">
        <v>8</v>
      </c>
      <c r="H65" s="119">
        <f>10*LOG10(F65)</f>
        <v>11.303337684950062</v>
      </c>
      <c r="I65" s="26" t="s">
        <v>187</v>
      </c>
      <c r="J65" s="3"/>
      <c r="K65" s="84" t="s">
        <v>117</v>
      </c>
      <c r="L65" s="80" t="s">
        <v>158</v>
      </c>
      <c r="M65" s="58" t="s">
        <v>159</v>
      </c>
      <c r="N65" s="58">
        <f>N55*F38+N56*(1-F38)+N64</f>
        <v>1725.4532583524274</v>
      </c>
      <c r="O65" s="58" t="s">
        <v>160</v>
      </c>
      <c r="P65" s="58">
        <f>10*LOG10(表1_4[[#This Row],[Value]])</f>
        <v>32.369031989711353</v>
      </c>
      <c r="Q65" s="61" t="s">
        <v>161</v>
      </c>
    </row>
    <row r="66" spans="3:17" ht="30" customHeight="1" thickBot="1" x14ac:dyDescent="0.55000000000000004">
      <c r="C66" s="20" t="s">
        <v>188</v>
      </c>
      <c r="D66" s="20" t="s">
        <v>189</v>
      </c>
      <c r="E66" s="20" t="s">
        <v>191</v>
      </c>
      <c r="F66" s="29">
        <f>F64/F65</f>
        <v>8.7689544040314633</v>
      </c>
      <c r="G66" s="22" t="s">
        <v>8</v>
      </c>
      <c r="H66" s="119">
        <f>10*LOG10(F66)</f>
        <v>9.4294781188015335</v>
      </c>
      <c r="I66" s="26" t="s">
        <v>190</v>
      </c>
    </row>
    <row r="67" spans="3:17" ht="45" customHeight="1" thickBot="1" x14ac:dyDescent="0.55000000000000004">
      <c r="C67" s="95" t="s">
        <v>162</v>
      </c>
      <c r="D67" s="96"/>
      <c r="E67" s="96"/>
      <c r="F67" s="96"/>
      <c r="G67" s="96"/>
      <c r="H67" s="96"/>
      <c r="I67" s="97"/>
    </row>
    <row r="68" spans="3:17" ht="43.5" customHeight="1" thickBot="1" x14ac:dyDescent="0.55000000000000004">
      <c r="C68" s="48" t="s">
        <v>48</v>
      </c>
      <c r="D68" s="74" t="s">
        <v>49</v>
      </c>
      <c r="E68" s="48" t="s">
        <v>52</v>
      </c>
      <c r="F68" s="78">
        <f>N55</f>
        <v>103</v>
      </c>
      <c r="G68" s="49" t="s">
        <v>50</v>
      </c>
      <c r="H68" s="120">
        <f>10*LOG10(F68)</f>
        <v>20.128372247051722</v>
      </c>
      <c r="I68" s="75" t="s">
        <v>51</v>
      </c>
      <c r="K68" s="112" t="s">
        <v>244</v>
      </c>
      <c r="L68" s="112"/>
      <c r="M68" s="112"/>
      <c r="N68" s="112"/>
      <c r="O68" s="112"/>
      <c r="P68" s="112"/>
      <c r="Q68" s="112"/>
    </row>
    <row r="69" spans="3:17" ht="39.4" customHeight="1" thickBot="1" x14ac:dyDescent="0.55000000000000004">
      <c r="C69" s="20" t="s">
        <v>55</v>
      </c>
      <c r="D69" s="27" t="s">
        <v>56</v>
      </c>
      <c r="E69" s="20" t="s">
        <v>57</v>
      </c>
      <c r="F69" s="76">
        <v>2.7</v>
      </c>
      <c r="G69" s="22" t="s">
        <v>50</v>
      </c>
      <c r="H69" s="119">
        <f>10*LOG10(F69)</f>
        <v>4.3136376415898736</v>
      </c>
      <c r="I69" s="26" t="s">
        <v>58</v>
      </c>
      <c r="K69" s="112"/>
      <c r="L69" s="112"/>
      <c r="M69" s="112"/>
      <c r="N69" s="112"/>
      <c r="O69" s="112"/>
      <c r="P69" s="112"/>
      <c r="Q69" s="112"/>
    </row>
    <row r="70" spans="3:17" ht="48.4" customHeight="1" thickBot="1" x14ac:dyDescent="0.55000000000000004">
      <c r="C70" s="20" t="s">
        <v>59</v>
      </c>
      <c r="D70" s="27" t="s">
        <v>60</v>
      </c>
      <c r="E70" s="20" t="s">
        <v>116</v>
      </c>
      <c r="F70" s="117">
        <f>N64</f>
        <v>1642.5132583524273</v>
      </c>
      <c r="G70" s="81" t="s">
        <v>50</v>
      </c>
      <c r="H70" s="119">
        <f>10*LOG10(F70)</f>
        <v>32.155088838671666</v>
      </c>
      <c r="I70" s="26" t="s">
        <v>61</v>
      </c>
      <c r="K70" s="108" t="s">
        <v>245</v>
      </c>
      <c r="L70" s="108"/>
      <c r="M70" s="108" t="s">
        <v>246</v>
      </c>
      <c r="N70" s="108"/>
      <c r="O70" s="109" t="s">
        <v>247</v>
      </c>
      <c r="P70" s="110"/>
      <c r="Q70" s="111"/>
    </row>
    <row r="71" spans="3:17" ht="36.75" customHeight="1" thickBot="1" x14ac:dyDescent="0.55000000000000004">
      <c r="C71" s="20" t="s">
        <v>64</v>
      </c>
      <c r="D71" s="40" t="s">
        <v>115</v>
      </c>
      <c r="E71" s="20" t="s">
        <v>164</v>
      </c>
      <c r="F71" s="38">
        <v>0.8</v>
      </c>
      <c r="G71" s="22" t="s">
        <v>8</v>
      </c>
      <c r="H71" s="22" t="s">
        <v>8</v>
      </c>
      <c r="I71" s="26" t="s">
        <v>61</v>
      </c>
      <c r="K71" s="108"/>
      <c r="L71" s="108"/>
      <c r="M71" s="108"/>
      <c r="N71" s="108"/>
      <c r="O71" s="79" t="s">
        <v>248</v>
      </c>
      <c r="P71" s="79" t="s">
        <v>250</v>
      </c>
      <c r="Q71" s="79" t="s">
        <v>251</v>
      </c>
    </row>
    <row r="72" spans="3:17" ht="40.9" customHeight="1" thickBot="1" x14ac:dyDescent="0.55000000000000004">
      <c r="C72" s="20" t="s">
        <v>62</v>
      </c>
      <c r="D72" s="20" t="s">
        <v>63</v>
      </c>
      <c r="E72" s="20" t="s">
        <v>65</v>
      </c>
      <c r="F72" s="29">
        <f>N65</f>
        <v>1725.4532583524274</v>
      </c>
      <c r="G72" s="22" t="s">
        <v>50</v>
      </c>
      <c r="H72" s="119">
        <f>10*LOG10(F72)</f>
        <v>32.369031989711353</v>
      </c>
      <c r="I72" s="26" t="s">
        <v>66</v>
      </c>
      <c r="K72" s="108"/>
      <c r="L72" s="108"/>
      <c r="M72" s="108"/>
      <c r="N72" s="108"/>
      <c r="O72" s="79" t="s">
        <v>249</v>
      </c>
      <c r="P72" s="79" t="s">
        <v>249</v>
      </c>
      <c r="Q72" s="79" t="s">
        <v>249</v>
      </c>
    </row>
    <row r="73" spans="3:17" ht="44.25" customHeight="1" thickBot="1" x14ac:dyDescent="0.55000000000000004">
      <c r="C73" s="20" t="s">
        <v>67</v>
      </c>
      <c r="D73" s="27" t="s">
        <v>71</v>
      </c>
      <c r="E73" s="27" t="s">
        <v>74</v>
      </c>
      <c r="F73" s="25">
        <f>P6*F72*F62</f>
        <v>2.3811254965263501E-15</v>
      </c>
      <c r="G73" s="22" t="s">
        <v>70</v>
      </c>
      <c r="H73" s="119">
        <f>10*LOG10(F73)</f>
        <v>-146.23217714627629</v>
      </c>
      <c r="I73" s="26" t="s">
        <v>69</v>
      </c>
      <c r="K73" s="115" t="s">
        <v>255</v>
      </c>
      <c r="L73" s="116"/>
      <c r="M73" s="115" t="s">
        <v>255</v>
      </c>
      <c r="N73" s="116"/>
      <c r="O73" s="82">
        <v>0</v>
      </c>
      <c r="P73" s="82">
        <v>0</v>
      </c>
      <c r="Q73" s="82" t="s">
        <v>128</v>
      </c>
    </row>
    <row r="74" spans="3:17" ht="43.15" customHeight="1" thickBot="1" x14ac:dyDescent="0.55000000000000004">
      <c r="C74" s="86" t="s">
        <v>197</v>
      </c>
      <c r="D74" s="87"/>
      <c r="E74" s="87"/>
      <c r="F74" s="87"/>
      <c r="G74" s="87"/>
      <c r="H74" s="87"/>
      <c r="I74" s="88"/>
      <c r="K74" s="115" t="s">
        <v>255</v>
      </c>
      <c r="L74" s="116"/>
      <c r="M74" s="115" t="s">
        <v>256</v>
      </c>
      <c r="N74" s="116"/>
      <c r="O74" s="82">
        <v>-3</v>
      </c>
      <c r="P74" s="82">
        <v>-3</v>
      </c>
      <c r="Q74" s="82" t="s">
        <v>128</v>
      </c>
    </row>
    <row r="75" spans="3:17" ht="43.5" customHeight="1" thickBot="1" x14ac:dyDescent="0.55000000000000004">
      <c r="C75" s="20" t="s">
        <v>77</v>
      </c>
      <c r="D75" s="27" t="s">
        <v>78</v>
      </c>
      <c r="E75" s="27" t="s">
        <v>165</v>
      </c>
      <c r="F75" s="25">
        <f>(F60/(4*PI()*F58))^2</f>
        <v>7.7636127706549642E-16</v>
      </c>
      <c r="G75" s="22" t="s">
        <v>70</v>
      </c>
      <c r="H75" s="119">
        <f>10*LOG10(F75)</f>
        <v>-151.09936134252467</v>
      </c>
      <c r="I75" s="26" t="s">
        <v>80</v>
      </c>
      <c r="K75" s="115" t="s">
        <v>255</v>
      </c>
      <c r="L75" s="116"/>
      <c r="M75" s="115" t="s">
        <v>257</v>
      </c>
      <c r="N75" s="116"/>
      <c r="O75" s="82" t="s">
        <v>261</v>
      </c>
      <c r="P75" s="82">
        <v>-20</v>
      </c>
      <c r="Q75" s="82" t="s">
        <v>128</v>
      </c>
    </row>
    <row r="76" spans="3:17" ht="44.25" customHeight="1" thickBot="1" x14ac:dyDescent="0.55000000000000004">
      <c r="C76" s="20" t="s">
        <v>193</v>
      </c>
      <c r="D76" s="20" t="s">
        <v>194</v>
      </c>
      <c r="E76" s="20" t="s">
        <v>8</v>
      </c>
      <c r="F76" s="21">
        <v>5</v>
      </c>
      <c r="G76" s="22" t="s">
        <v>195</v>
      </c>
      <c r="H76" s="22" t="s">
        <v>8</v>
      </c>
      <c r="I76" s="26" t="s">
        <v>196</v>
      </c>
      <c r="K76" s="115" t="s">
        <v>255</v>
      </c>
      <c r="L76" s="116"/>
      <c r="M76" s="115" t="s">
        <v>258</v>
      </c>
      <c r="N76" s="116"/>
      <c r="O76" s="82">
        <v>-3</v>
      </c>
      <c r="P76" s="82">
        <v>-3</v>
      </c>
      <c r="Q76" s="82">
        <v>-3</v>
      </c>
    </row>
    <row r="77" spans="3:17" ht="38.25" customHeight="1" thickBot="1" x14ac:dyDescent="0.55000000000000004">
      <c r="C77" s="20" t="s">
        <v>211</v>
      </c>
      <c r="D77" s="20" t="s">
        <v>212</v>
      </c>
      <c r="E77" s="20" t="s">
        <v>213</v>
      </c>
      <c r="F77" s="25">
        <f>0.5*F59*(SQRT((0.5*F59+F58)^2/(0.5*F59)^2 - (COS(F76))^2)-SIN(F76))</f>
        <v>12642975.245300783</v>
      </c>
      <c r="G77" s="22" t="s">
        <v>214</v>
      </c>
      <c r="H77" s="22" t="s">
        <v>203</v>
      </c>
      <c r="I77" s="26" t="s">
        <v>215</v>
      </c>
      <c r="K77" s="113" t="s">
        <v>252</v>
      </c>
      <c r="L77" s="114"/>
      <c r="M77" s="113" t="s">
        <v>257</v>
      </c>
      <c r="N77" s="114"/>
      <c r="O77" s="83">
        <v>0</v>
      </c>
      <c r="P77" s="83">
        <v>0</v>
      </c>
      <c r="Q77" s="83" t="s">
        <v>128</v>
      </c>
    </row>
    <row r="78" spans="3:17" ht="38.25" customHeight="1" thickBot="1" x14ac:dyDescent="0.55000000000000004">
      <c r="C78" s="20" t="s">
        <v>207</v>
      </c>
      <c r="D78" s="20" t="s">
        <v>208</v>
      </c>
      <c r="E78" s="20" t="s">
        <v>8</v>
      </c>
      <c r="F78" s="21">
        <v>1</v>
      </c>
      <c r="G78" s="22" t="s">
        <v>205</v>
      </c>
      <c r="H78" s="22">
        <v>0</v>
      </c>
      <c r="I78" s="26" t="s">
        <v>209</v>
      </c>
      <c r="K78" s="113" t="s">
        <v>252</v>
      </c>
      <c r="L78" s="114"/>
      <c r="M78" s="113" t="s">
        <v>256</v>
      </c>
      <c r="N78" s="114"/>
      <c r="O78" s="83">
        <v>-3</v>
      </c>
      <c r="P78" s="83">
        <v>-3</v>
      </c>
      <c r="Q78" s="83" t="s">
        <v>128</v>
      </c>
    </row>
    <row r="79" spans="3:17" ht="43.15" customHeight="1" thickBot="1" x14ac:dyDescent="0.55000000000000004">
      <c r="C79" s="20" t="s">
        <v>210</v>
      </c>
      <c r="D79" s="20" t="s">
        <v>208</v>
      </c>
      <c r="E79" s="20" t="s">
        <v>8</v>
      </c>
      <c r="F79" s="21">
        <v>1</v>
      </c>
      <c r="G79" s="22" t="s">
        <v>205</v>
      </c>
      <c r="H79" s="22">
        <v>0</v>
      </c>
      <c r="I79" s="26" t="s">
        <v>209</v>
      </c>
      <c r="K79" s="113" t="s">
        <v>252</v>
      </c>
      <c r="L79" s="114"/>
      <c r="M79" s="113" t="s">
        <v>258</v>
      </c>
      <c r="N79" s="114"/>
      <c r="O79" s="83">
        <v>-3</v>
      </c>
      <c r="P79" s="83">
        <v>-3</v>
      </c>
      <c r="Q79" s="83">
        <v>-3</v>
      </c>
    </row>
    <row r="80" spans="3:17" ht="30" customHeight="1" thickBot="1" x14ac:dyDescent="0.55000000000000004">
      <c r="C80" s="20" t="s">
        <v>216</v>
      </c>
      <c r="D80" s="20" t="s">
        <v>218</v>
      </c>
      <c r="E80" s="20" t="s">
        <v>8</v>
      </c>
      <c r="F80" s="25">
        <f>10^(H80/10)</f>
        <v>0.50118723362727224</v>
      </c>
      <c r="G80" s="22" t="s">
        <v>205</v>
      </c>
      <c r="H80" s="22">
        <v>-3</v>
      </c>
      <c r="I80" s="26" t="s">
        <v>226</v>
      </c>
      <c r="K80" s="115" t="s">
        <v>253</v>
      </c>
      <c r="L80" s="116"/>
      <c r="M80" s="115" t="s">
        <v>259</v>
      </c>
      <c r="N80" s="116"/>
      <c r="O80" s="82">
        <v>0</v>
      </c>
      <c r="P80" s="82">
        <v>0</v>
      </c>
      <c r="Q80" s="82">
        <v>0</v>
      </c>
    </row>
    <row r="81" spans="3:17" ht="30" customHeight="1" thickBot="1" x14ac:dyDescent="0.55000000000000004">
      <c r="C81" s="20" t="s">
        <v>217</v>
      </c>
      <c r="D81" s="20" t="s">
        <v>219</v>
      </c>
      <c r="E81" s="20" t="s">
        <v>8</v>
      </c>
      <c r="F81" s="25">
        <f>10^(H81/10)</f>
        <v>0.89125093813374545</v>
      </c>
      <c r="G81" s="22" t="s">
        <v>205</v>
      </c>
      <c r="H81" s="22">
        <v>-0.5</v>
      </c>
      <c r="I81" s="26" t="s">
        <v>225</v>
      </c>
      <c r="K81" s="115" t="s">
        <v>253</v>
      </c>
      <c r="L81" s="116"/>
      <c r="M81" s="115" t="s">
        <v>260</v>
      </c>
      <c r="N81" s="116"/>
      <c r="O81" s="82" t="s">
        <v>261</v>
      </c>
      <c r="P81" s="82">
        <v>-20</v>
      </c>
      <c r="Q81" s="82">
        <v>-10</v>
      </c>
    </row>
    <row r="82" spans="3:17" ht="44.25" customHeight="1" thickBot="1" x14ac:dyDescent="0.55000000000000004">
      <c r="C82" s="20" t="s">
        <v>220</v>
      </c>
      <c r="D82" s="20" t="s">
        <v>221</v>
      </c>
      <c r="E82" s="20" t="s">
        <v>242</v>
      </c>
      <c r="F82" s="25">
        <f>10^(H82/10)</f>
        <v>3.4678784404652291E-16</v>
      </c>
      <c r="G82" s="22" t="s">
        <v>205</v>
      </c>
      <c r="H82" s="119">
        <f>H75+H80+H81</f>
        <v>-154.59936134252467</v>
      </c>
      <c r="I82" s="26" t="s">
        <v>224</v>
      </c>
      <c r="K82" s="115" t="s">
        <v>254</v>
      </c>
      <c r="L82" s="116"/>
      <c r="M82" s="115" t="s">
        <v>256</v>
      </c>
      <c r="N82" s="116"/>
      <c r="O82" s="82">
        <v>-3</v>
      </c>
      <c r="P82" s="82">
        <v>-3</v>
      </c>
      <c r="Q82" s="82">
        <v>-3</v>
      </c>
    </row>
    <row r="83" spans="3:17" ht="45" customHeight="1" thickBot="1" x14ac:dyDescent="0.55000000000000004">
      <c r="C83" s="86" t="s">
        <v>240</v>
      </c>
      <c r="D83" s="87"/>
      <c r="E83" s="87"/>
      <c r="F83" s="87"/>
      <c r="G83" s="87"/>
      <c r="H83" s="87"/>
      <c r="I83" s="88"/>
    </row>
    <row r="84" spans="3:17" ht="30" customHeight="1" thickBot="1" x14ac:dyDescent="0.55000000000000004">
      <c r="C84" s="20" t="s">
        <v>72</v>
      </c>
      <c r="D84" s="27" t="s">
        <v>73</v>
      </c>
      <c r="E84" s="27" t="s">
        <v>202</v>
      </c>
      <c r="F84" s="25">
        <f>F88*F89*F86*F82</f>
        <v>2.8187974227577064E-13</v>
      </c>
      <c r="G84" s="22" t="s">
        <v>70</v>
      </c>
      <c r="H84" s="119">
        <f>10*LOG10(F84)</f>
        <v>-125.49936134252469</v>
      </c>
      <c r="I84" s="26" t="s">
        <v>75</v>
      </c>
    </row>
    <row r="85" spans="3:17" ht="38.25" customHeight="1" thickBot="1" x14ac:dyDescent="0.55000000000000004">
      <c r="C85" s="11" t="s">
        <v>81</v>
      </c>
      <c r="D85" s="42" t="s">
        <v>82</v>
      </c>
      <c r="E85" s="11" t="s">
        <v>83</v>
      </c>
      <c r="F85" s="46">
        <v>0.8</v>
      </c>
      <c r="G85" s="12" t="s">
        <v>8</v>
      </c>
      <c r="H85" s="12" t="s">
        <v>8</v>
      </c>
      <c r="I85" s="13" t="s">
        <v>84</v>
      </c>
    </row>
    <row r="86" spans="3:17" ht="43.5" customHeight="1" thickBot="1" x14ac:dyDescent="0.55000000000000004">
      <c r="C86" s="11" t="s">
        <v>85</v>
      </c>
      <c r="D86" s="11" t="s">
        <v>87</v>
      </c>
      <c r="E86" s="11" t="s">
        <v>88</v>
      </c>
      <c r="F86" s="63">
        <f>10^(H86/10)</f>
        <v>6.7608297539198192</v>
      </c>
      <c r="G86" s="12" t="s">
        <v>8</v>
      </c>
      <c r="H86" s="64">
        <v>8.3000000000000007</v>
      </c>
      <c r="I86" s="13" t="s">
        <v>89</v>
      </c>
    </row>
    <row r="87" spans="3:17" ht="36" customHeight="1" thickBot="1" x14ac:dyDescent="0.55000000000000004">
      <c r="C87" s="86" t="s">
        <v>241</v>
      </c>
      <c r="D87" s="87"/>
      <c r="E87" s="87"/>
      <c r="F87" s="87"/>
      <c r="G87" s="87"/>
      <c r="H87" s="87"/>
      <c r="I87" s="88"/>
    </row>
    <row r="88" spans="3:17" ht="42.4" customHeight="1" thickBot="1" x14ac:dyDescent="0.55000000000000004">
      <c r="C88" s="11" t="s">
        <v>90</v>
      </c>
      <c r="D88" s="11" t="s">
        <v>91</v>
      </c>
      <c r="E88" s="11" t="s">
        <v>86</v>
      </c>
      <c r="F88" s="44">
        <v>0.1</v>
      </c>
      <c r="G88" s="12" t="s">
        <v>70</v>
      </c>
      <c r="H88" s="12">
        <f>10*LOG10(F88)</f>
        <v>-10</v>
      </c>
      <c r="I88" s="13" t="s">
        <v>243</v>
      </c>
    </row>
    <row r="89" spans="3:17" ht="42.75" customHeight="1" thickBot="1" x14ac:dyDescent="0.55000000000000004">
      <c r="C89" s="11" t="s">
        <v>92</v>
      </c>
      <c r="D89" s="42" t="s">
        <v>93</v>
      </c>
      <c r="E89" s="11" t="s">
        <v>166</v>
      </c>
      <c r="F89" s="63">
        <f>10^(H89/10)</f>
        <v>1202.2644346174138</v>
      </c>
      <c r="G89" s="12" t="s">
        <v>70</v>
      </c>
      <c r="H89" s="64">
        <v>30.8</v>
      </c>
      <c r="I89" s="13" t="s">
        <v>94</v>
      </c>
    </row>
    <row r="90" spans="3:17" ht="40.15" customHeight="1" thickBot="1" x14ac:dyDescent="0.55000000000000004">
      <c r="C90" s="11" t="s">
        <v>198</v>
      </c>
      <c r="D90" s="42" t="s">
        <v>199</v>
      </c>
      <c r="E90" s="11" t="s">
        <v>203</v>
      </c>
      <c r="F90" s="63">
        <f>10^(H90/10)</f>
        <v>0.79432823472428149</v>
      </c>
      <c r="G90" s="12" t="s">
        <v>205</v>
      </c>
      <c r="H90" s="12">
        <v>-1</v>
      </c>
      <c r="I90" s="13" t="s">
        <v>204</v>
      </c>
    </row>
    <row r="91" spans="3:17" ht="30" customHeight="1" thickBot="1" x14ac:dyDescent="0.55000000000000004">
      <c r="C91" s="11" t="s">
        <v>95</v>
      </c>
      <c r="D91" s="42" t="s">
        <v>96</v>
      </c>
      <c r="E91" s="11" t="s">
        <v>206</v>
      </c>
      <c r="F91" s="43">
        <f>F88*F89*F90</f>
        <v>95.499258602143669</v>
      </c>
      <c r="G91" s="12" t="s">
        <v>70</v>
      </c>
      <c r="H91" s="12">
        <f>10*LOG10(F91)</f>
        <v>19.800000000000004</v>
      </c>
      <c r="I91" s="13" t="s">
        <v>97</v>
      </c>
    </row>
  </sheetData>
  <mergeCells count="45">
    <mergeCell ref="M79:N79"/>
    <mergeCell ref="M80:N80"/>
    <mergeCell ref="M81:N81"/>
    <mergeCell ref="M82:N82"/>
    <mergeCell ref="M73:N73"/>
    <mergeCell ref="M74:N74"/>
    <mergeCell ref="M75:N75"/>
    <mergeCell ref="M77:N77"/>
    <mergeCell ref="M78:N78"/>
    <mergeCell ref="M76:N76"/>
    <mergeCell ref="K79:L79"/>
    <mergeCell ref="K80:L80"/>
    <mergeCell ref="K81:L81"/>
    <mergeCell ref="K82:L82"/>
    <mergeCell ref="K73:L73"/>
    <mergeCell ref="K74:L74"/>
    <mergeCell ref="K75:L75"/>
    <mergeCell ref="K77:L77"/>
    <mergeCell ref="K78:L78"/>
    <mergeCell ref="K76:L76"/>
    <mergeCell ref="K53:Q53"/>
    <mergeCell ref="K70:L72"/>
    <mergeCell ref="M70:N72"/>
    <mergeCell ref="O70:Q70"/>
    <mergeCell ref="K68:Q69"/>
    <mergeCell ref="O3:Q3"/>
    <mergeCell ref="C1:E1"/>
    <mergeCell ref="F1:G1"/>
    <mergeCell ref="C13:I13"/>
    <mergeCell ref="L3:M3"/>
    <mergeCell ref="L4:M4"/>
    <mergeCell ref="L5:M5"/>
    <mergeCell ref="K39:Q39"/>
    <mergeCell ref="C20:I20"/>
    <mergeCell ref="C36:I36"/>
    <mergeCell ref="C40:I40"/>
    <mergeCell ref="C4:I4"/>
    <mergeCell ref="C74:I74"/>
    <mergeCell ref="C27:I27"/>
    <mergeCell ref="C61:I61"/>
    <mergeCell ref="C83:I83"/>
    <mergeCell ref="C87:I87"/>
    <mergeCell ref="C52:I52"/>
    <mergeCell ref="C67:I67"/>
    <mergeCell ref="C45:I45"/>
  </mergeCells>
  <phoneticPr fontId="6" type="noConversion"/>
  <conditionalFormatting sqref="C5 E5:I5">
    <cfRule type="expression" dxfId="136" priority="180">
      <formula>$B4=1</formula>
    </cfRule>
    <cfRule type="expression" dxfId="135" priority="181">
      <formula>#REF!="是"</formula>
    </cfRule>
  </conditionalFormatting>
  <conditionalFormatting sqref="C17:E17 C21:E22 G21:G22 C25:I26 C68:E69 G68:G69 C72:I73">
    <cfRule type="expression" dxfId="134" priority="184">
      <formula>$B12=1</formula>
    </cfRule>
    <cfRule type="expression" dxfId="133" priority="185">
      <formula>#REF!="是"</formula>
    </cfRule>
  </conditionalFormatting>
  <conditionalFormatting sqref="F15:I16">
    <cfRule type="expression" dxfId="132" priority="186">
      <formula>$B12=1</formula>
    </cfRule>
    <cfRule type="expression" dxfId="131" priority="187">
      <formula>#REF!="是"</formula>
    </cfRule>
  </conditionalFormatting>
  <conditionalFormatting sqref="F17:I17">
    <cfRule type="expression" dxfId="130" priority="190">
      <formula>$B13=1</formula>
    </cfRule>
    <cfRule type="expression" dxfId="129" priority="191">
      <formula>#REF!="是"</formula>
    </cfRule>
  </conditionalFormatting>
  <conditionalFormatting sqref="C23:G24">
    <cfRule type="expression" dxfId="128" priority="199">
      <formula>$B18=1</formula>
    </cfRule>
    <cfRule type="expression" dxfId="127" priority="200">
      <formula>#REF!="是"</formula>
    </cfRule>
  </conditionalFormatting>
  <conditionalFormatting sqref="I21:I24">
    <cfRule type="expression" dxfId="126" priority="201">
      <formula>$B16=1</formula>
    </cfRule>
    <cfRule type="expression" dxfId="125" priority="202">
      <formula>#REF!="是"</formula>
    </cfRule>
  </conditionalFormatting>
  <conditionalFormatting sqref="H21:H24">
    <cfRule type="expression" dxfId="124" priority="209">
      <formula>$B15=1</formula>
    </cfRule>
    <cfRule type="expression" dxfId="123" priority="210">
      <formula>#REF!="是"</formula>
    </cfRule>
  </conditionalFormatting>
  <conditionalFormatting sqref="C36 C46:I46 C45 C41:I43 C88:I90">
    <cfRule type="expression" dxfId="122" priority="213">
      <formula>$B22=1</formula>
    </cfRule>
    <cfRule type="expression" dxfId="121" priority="214">
      <formula>#REF!="是"</formula>
    </cfRule>
  </conditionalFormatting>
  <conditionalFormatting sqref="C37:I37 C44:I44 C91:I91">
    <cfRule type="expression" dxfId="120" priority="217">
      <formula>$B22=1</formula>
    </cfRule>
    <cfRule type="expression" dxfId="119" priority="218">
      <formula>#REF!="是"</formula>
    </cfRule>
  </conditionalFormatting>
  <conditionalFormatting sqref="C12:E12 G12:I12">
    <cfRule type="expression" dxfId="118" priority="221">
      <formula>$B11=1</formula>
    </cfRule>
    <cfRule type="expression" dxfId="117" priority="222">
      <formula>#REF!="是"</formula>
    </cfRule>
  </conditionalFormatting>
  <conditionalFormatting sqref="C48:I48">
    <cfRule type="expression" dxfId="116" priority="237">
      <formula>$B34=1</formula>
    </cfRule>
    <cfRule type="expression" dxfId="115" priority="238">
      <formula>#REF!="是"</formula>
    </cfRule>
  </conditionalFormatting>
  <conditionalFormatting sqref="C9:E11 G9:I11 C6:I8 F9:F10">
    <cfRule type="expression" dxfId="114" priority="123">
      <formula>$B6=1</formula>
    </cfRule>
    <cfRule type="expression" dxfId="113" priority="124">
      <formula>#REF!="是"</formula>
    </cfRule>
  </conditionalFormatting>
  <conditionalFormatting sqref="F11">
    <cfRule type="expression" dxfId="112" priority="121">
      <formula>$B11=1</formula>
    </cfRule>
    <cfRule type="expression" dxfId="111" priority="122">
      <formula>#REF!="是"</formula>
    </cfRule>
  </conditionalFormatting>
  <conditionalFormatting sqref="F12">
    <cfRule type="expression" dxfId="110" priority="119">
      <formula>$B12=1</formula>
    </cfRule>
    <cfRule type="expression" dxfId="109" priority="120">
      <formula>#REF!="是"</formula>
    </cfRule>
  </conditionalFormatting>
  <conditionalFormatting sqref="F21">
    <cfRule type="expression" dxfId="108" priority="117">
      <formula>$B16=1</formula>
    </cfRule>
    <cfRule type="expression" dxfId="107" priority="118">
      <formula>#REF!="是"</formula>
    </cfRule>
  </conditionalFormatting>
  <conditionalFormatting sqref="F22">
    <cfRule type="expression" dxfId="106" priority="115">
      <formula>$B17=1</formula>
    </cfRule>
    <cfRule type="expression" dxfId="105" priority="116">
      <formula>#REF!="是"</formula>
    </cfRule>
  </conditionalFormatting>
  <conditionalFormatting sqref="C20">
    <cfRule type="expression" dxfId="104" priority="93">
      <formula>$B13=1</formula>
    </cfRule>
    <cfRule type="expression" dxfId="103" priority="94">
      <formula>#REF!="是"</formula>
    </cfRule>
  </conditionalFormatting>
  <conditionalFormatting sqref="C48:I48">
    <cfRule type="expression" dxfId="102" priority="95">
      <formula>$B33=1</formula>
    </cfRule>
    <cfRule type="expression" dxfId="101" priority="96">
      <formula>#REF!="是"</formula>
    </cfRule>
  </conditionalFormatting>
  <conditionalFormatting sqref="C18:E18">
    <cfRule type="expression" dxfId="100" priority="73">
      <formula>$B13=1</formula>
    </cfRule>
    <cfRule type="expression" dxfId="99" priority="74">
      <formula>#REF!="是"</formula>
    </cfRule>
  </conditionalFormatting>
  <conditionalFormatting sqref="F18:I18">
    <cfRule type="expression" dxfId="98" priority="75">
      <formula>$B14=1</formula>
    </cfRule>
    <cfRule type="expression" dxfId="97" priority="76">
      <formula>#REF!="是"</formula>
    </cfRule>
  </conditionalFormatting>
  <conditionalFormatting sqref="C19:E19">
    <cfRule type="expression" dxfId="96" priority="69">
      <formula>$B14=1</formula>
    </cfRule>
    <cfRule type="expression" dxfId="95" priority="70">
      <formula>#REF!="是"</formula>
    </cfRule>
  </conditionalFormatting>
  <conditionalFormatting sqref="F19:I19">
    <cfRule type="expression" dxfId="94" priority="71">
      <formula>$B15=1</formula>
    </cfRule>
    <cfRule type="expression" dxfId="93" priority="72">
      <formula>#REF!="是"</formula>
    </cfRule>
  </conditionalFormatting>
  <conditionalFormatting sqref="C28:I28">
    <cfRule type="expression" dxfId="92" priority="63">
      <formula>$B20=1</formula>
    </cfRule>
    <cfRule type="expression" dxfId="91" priority="64">
      <formula>#REF!="是"</formula>
    </cfRule>
  </conditionalFormatting>
  <conditionalFormatting sqref="C27">
    <cfRule type="expression" dxfId="90" priority="61">
      <formula>$B20=1</formula>
    </cfRule>
    <cfRule type="expression" dxfId="89" priority="62">
      <formula>#REF!="是"</formula>
    </cfRule>
  </conditionalFormatting>
  <conditionalFormatting sqref="C39:I39 C40 C87">
    <cfRule type="expression" dxfId="88" priority="269">
      <formula>$B26=1</formula>
    </cfRule>
    <cfRule type="expression" dxfId="87" priority="270">
      <formula>#REF!="是"</formula>
    </cfRule>
  </conditionalFormatting>
  <conditionalFormatting sqref="C47:I47">
    <cfRule type="expression" dxfId="86" priority="277">
      <formula>#REF!=1</formula>
    </cfRule>
    <cfRule type="expression" dxfId="85" priority="278">
      <formula>#REF!="是"</formula>
    </cfRule>
  </conditionalFormatting>
  <conditionalFormatting sqref="C38:I38">
    <cfRule type="expression" dxfId="84" priority="285">
      <formula>$B24=1</formula>
    </cfRule>
    <cfRule type="expression" dxfId="83" priority="286">
      <formula>#REF!="是"</formula>
    </cfRule>
  </conditionalFormatting>
  <conditionalFormatting sqref="C29:I30">
    <cfRule type="expression" dxfId="82" priority="59">
      <formula>$B29=1</formula>
    </cfRule>
    <cfRule type="expression" dxfId="81" priority="60">
      <formula>#REF!="是"</formula>
    </cfRule>
  </conditionalFormatting>
  <conditionalFormatting sqref="C53 E53:I53 G60:I60">
    <cfRule type="expression" dxfId="80" priority="31">
      <formula>$B51=1</formula>
    </cfRule>
    <cfRule type="expression" dxfId="79" priority="32">
      <formula>#REF!="是"</formula>
    </cfRule>
  </conditionalFormatting>
  <conditionalFormatting sqref="C64:E64">
    <cfRule type="expression" dxfId="78" priority="33">
      <formula>$B59=1</formula>
    </cfRule>
    <cfRule type="expression" dxfId="77" priority="34">
      <formula>#REF!="是"</formula>
    </cfRule>
  </conditionalFormatting>
  <conditionalFormatting sqref="F62:I63">
    <cfRule type="expression" dxfId="76" priority="35">
      <formula>$B59=1</formula>
    </cfRule>
    <cfRule type="expression" dxfId="75" priority="36">
      <formula>#REF!="是"</formula>
    </cfRule>
  </conditionalFormatting>
  <conditionalFormatting sqref="F64:I64">
    <cfRule type="expression" dxfId="74" priority="37">
      <formula>$B60=1</formula>
    </cfRule>
    <cfRule type="expression" dxfId="73" priority="38">
      <formula>#REF!="是"</formula>
    </cfRule>
  </conditionalFormatting>
  <conditionalFormatting sqref="C70:G71">
    <cfRule type="expression" dxfId="72" priority="39">
      <formula>$B65=1</formula>
    </cfRule>
    <cfRule type="expression" dxfId="71" priority="40">
      <formula>#REF!="是"</formula>
    </cfRule>
  </conditionalFormatting>
  <conditionalFormatting sqref="I68:I71">
    <cfRule type="expression" dxfId="70" priority="41">
      <formula>$B63=1</formula>
    </cfRule>
    <cfRule type="expression" dxfId="69" priority="42">
      <formula>#REF!="是"</formula>
    </cfRule>
  </conditionalFormatting>
  <conditionalFormatting sqref="H68:H71">
    <cfRule type="expression" dxfId="68" priority="43">
      <formula>$B62=1</formula>
    </cfRule>
    <cfRule type="expression" dxfId="67" priority="44">
      <formula>#REF!="是"</formula>
    </cfRule>
  </conditionalFormatting>
  <conditionalFormatting sqref="C83">
    <cfRule type="expression" dxfId="66" priority="45">
      <formula>$B69=1</formula>
    </cfRule>
    <cfRule type="expression" dxfId="65" priority="46">
      <formula>#REF!="是"</formula>
    </cfRule>
  </conditionalFormatting>
  <conditionalFormatting sqref="C84:I84">
    <cfRule type="expression" dxfId="64" priority="47">
      <formula>$B69=1</formula>
    </cfRule>
    <cfRule type="expression" dxfId="63" priority="48">
      <formula>#REF!="是"</formula>
    </cfRule>
  </conditionalFormatting>
  <conditionalFormatting sqref="C60:E60">
    <cfRule type="expression" dxfId="62" priority="49">
      <formula>$B58=1</formula>
    </cfRule>
    <cfRule type="expression" dxfId="61" priority="50">
      <formula>#REF!="是"</formula>
    </cfRule>
  </conditionalFormatting>
  <conditionalFormatting sqref="C57:E59 C31:I35 G57:I59 C54:I56 C78:I82 F57:F58">
    <cfRule type="expression" dxfId="60" priority="29">
      <formula>$B30=1</formula>
    </cfRule>
    <cfRule type="expression" dxfId="59" priority="30">
      <formula>#REF!="是"</formula>
    </cfRule>
  </conditionalFormatting>
  <conditionalFormatting sqref="F59">
    <cfRule type="expression" dxfId="58" priority="27">
      <formula>$B58=1</formula>
    </cfRule>
    <cfRule type="expression" dxfId="57" priority="28">
      <formula>#REF!="是"</formula>
    </cfRule>
  </conditionalFormatting>
  <conditionalFormatting sqref="F60">
    <cfRule type="expression" dxfId="56" priority="25">
      <formula>$B59=1</formula>
    </cfRule>
    <cfRule type="expression" dxfId="55" priority="26">
      <formula>#REF!="是"</formula>
    </cfRule>
  </conditionalFormatting>
  <conditionalFormatting sqref="F68">
    <cfRule type="expression" dxfId="54" priority="23">
      <formula>$B63=1</formula>
    </cfRule>
    <cfRule type="expression" dxfId="53" priority="24">
      <formula>#REF!="是"</formula>
    </cfRule>
  </conditionalFormatting>
  <conditionalFormatting sqref="F69">
    <cfRule type="expression" dxfId="52" priority="21">
      <formula>$B64=1</formula>
    </cfRule>
    <cfRule type="expression" dxfId="51" priority="22">
      <formula>#REF!="是"</formula>
    </cfRule>
  </conditionalFormatting>
  <conditionalFormatting sqref="C67">
    <cfRule type="expression" dxfId="50" priority="17">
      <formula>$B60=1</formula>
    </cfRule>
    <cfRule type="expression" dxfId="49" priority="18">
      <formula>#REF!="是"</formula>
    </cfRule>
  </conditionalFormatting>
  <conditionalFormatting sqref="C65:E65">
    <cfRule type="expression" dxfId="48" priority="13">
      <formula>$B60=1</formula>
    </cfRule>
    <cfRule type="expression" dxfId="47" priority="14">
      <formula>#REF!="是"</formula>
    </cfRule>
  </conditionalFormatting>
  <conditionalFormatting sqref="F65:I65">
    <cfRule type="expression" dxfId="46" priority="15">
      <formula>$B61=1</formula>
    </cfRule>
    <cfRule type="expression" dxfId="45" priority="16">
      <formula>#REF!="是"</formula>
    </cfRule>
  </conditionalFormatting>
  <conditionalFormatting sqref="C66:E66">
    <cfRule type="expression" dxfId="44" priority="9">
      <formula>$B61=1</formula>
    </cfRule>
    <cfRule type="expression" dxfId="43" priority="10">
      <formula>#REF!="是"</formula>
    </cfRule>
  </conditionalFormatting>
  <conditionalFormatting sqref="F66:I66">
    <cfRule type="expression" dxfId="42" priority="11">
      <formula>$B62=1</formula>
    </cfRule>
    <cfRule type="expression" dxfId="41" priority="12">
      <formula>#REF!="是"</formula>
    </cfRule>
  </conditionalFormatting>
  <conditionalFormatting sqref="C75:I75">
    <cfRule type="expression" dxfId="40" priority="7">
      <formula>$B67=1</formula>
    </cfRule>
    <cfRule type="expression" dxfId="39" priority="8">
      <formula>#REF!="是"</formula>
    </cfRule>
  </conditionalFormatting>
  <conditionalFormatting sqref="C74">
    <cfRule type="expression" dxfId="38" priority="5">
      <formula>$B67=1</formula>
    </cfRule>
    <cfRule type="expression" dxfId="37" priority="6">
      <formula>#REF!="是"</formula>
    </cfRule>
  </conditionalFormatting>
  <conditionalFormatting sqref="C86:I86">
    <cfRule type="expression" dxfId="36" priority="53">
      <formula>$B73=1</formula>
    </cfRule>
    <cfRule type="expression" dxfId="35" priority="54">
      <formula>#REF!="是"</formula>
    </cfRule>
  </conditionalFormatting>
  <conditionalFormatting sqref="C85:I85">
    <cfRule type="expression" dxfId="34" priority="57">
      <formula>$B71=1</formula>
    </cfRule>
    <cfRule type="expression" dxfId="33" priority="58">
      <formula>#REF!="是"</formula>
    </cfRule>
  </conditionalFormatting>
  <conditionalFormatting sqref="C76:I77">
    <cfRule type="expression" dxfId="32" priority="3">
      <formula>$B76=1</formula>
    </cfRule>
    <cfRule type="expression" dxfId="31" priority="4">
      <formula>#REF!="是"</formula>
    </cfRule>
  </conditionalFormatting>
  <conditionalFormatting sqref="F14:I14">
    <cfRule type="expression" dxfId="30" priority="1">
      <formula>$B11=1</formula>
    </cfRule>
    <cfRule type="expression" dxfId="29" priority="2">
      <formula>#REF!="是"</formula>
    </cfRule>
  </conditionalFormatting>
  <dataValidations count="10">
    <dataValidation type="list" allowBlank="1" showInputMessage="1" showErrorMessage="1" error="从下拉列表中选择选项。选择“重试”以输入“是”或“否”，或者选择“取消”并按 Alt+向下键以浏览列表" prompt="若要允许突出显示待续订项目，请按 Alt+向下键并导航到“是”，然后按 Enter。这将在“库存清单”表的 B 列中放置一个标志，并突出显示相应的行。选择“否”以清除标志和所有突出显示" sqref="I1" xr:uid="{00000000-0002-0000-0000-000000000000}">
      <formula1>"是, 否"</formula1>
    </dataValidation>
    <dataValidation allowBlank="1" showInputMessage="1" prompt="此工作表跟踪库存清单表中所列项目的库存，并可突出显示和标记待续订的项目。已停产项目在“已停产”列中采用删除线格式，并包含“是”" sqref="A1" xr:uid="{00000000-0002-0000-0000-000001000000}"/>
    <dataValidation errorStyle="information" allowBlank="1" showInputMessage="1" error="只有输入“是”才能突出显示待续订项目" prompt="突出显示待续订项目。从 H1 右侧的下拉列表中选择“是”将在库存清单表中突出显示各行，并在 B 列中放置旗标以指示待续订的项目" sqref="F1:H1" xr:uid="{00000000-0002-0000-0000-000002000000}"/>
    <dataValidation allowBlank="1" showInputMessage="1" showErrorMessage="1" prompt="此列中的旗标指示库存清单中待续订的项目。仅当 H1 中选择了“是”且项目符合续订条件时，才显示标志图标" sqref="B3" xr:uid="{00000000-0002-0000-0000-000003000000}"/>
    <dataValidation allowBlank="1" showInputMessage="1" showErrorMessage="1" prompt="在此列中输入项目库存 ID" sqref="C3:C4 C51:C52" xr:uid="{00000000-0002-0000-0000-000004000000}"/>
    <dataValidation allowBlank="1" showInputMessage="1" showErrorMessage="1" prompt="在此列中输入项目名称" sqref="D3 D51" xr:uid="{00000000-0002-0000-0000-000005000000}"/>
    <dataValidation allowBlank="1" showInputMessage="1" showErrorMessage="1" prompt="在此列中输入项目描述" sqref="E3 E51" xr:uid="{00000000-0002-0000-0000-000006000000}"/>
    <dataValidation allowBlank="1" showInputMessage="1" showErrorMessage="1" prompt="在此列中输入项目单价" sqref="F3 F51" xr:uid="{00000000-0002-0000-0000-000007000000}"/>
    <dataValidation allowBlank="1" showInputMessage="1" showErrorMessage="1" prompt="在此列中输入项目在库数量" sqref="G3:H3 G51:H51" xr:uid="{00000000-0002-0000-0000-000008000000}"/>
    <dataValidation allowBlank="1" showInputMessage="1" showErrorMessage="1" prompt="在此列中自动计算每个项目的库存价值" sqref="I3 I51" xr:uid="{00000000-0002-0000-0000-000009000000}"/>
  </dataValidations>
  <printOptions horizontalCentered="1"/>
  <pageMargins left="0.23622047244094491" right="0.23622047244094491" top="0.74803149606299213" bottom="0.74803149606299213" header="3.937007874015748E-2" footer="0.31496062992125984"/>
  <pageSetup paperSize="9" scale="54" fitToHeight="0" orientation="portrait" r:id="rId1"/>
  <headerFooter differentFirst="1">
    <oddFooter>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6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Link</vt:lpstr>
      <vt:lpstr>ColumnTitle1</vt:lpstr>
      <vt:lpstr>Link!Print_Titles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Jiayang Song</dc:creator>
  <cp:lastModifiedBy>Jiayang Song</cp:lastModifiedBy>
  <dcterms:created xsi:type="dcterms:W3CDTF">2016-08-01T23:26:40Z</dcterms:created>
  <dcterms:modified xsi:type="dcterms:W3CDTF">2019-03-07T17:59:01Z</dcterms:modified>
</cp:coreProperties>
</file>