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12108/Dropbox/Work/Other projects/Verkhoyansk_2020/Diring_Yuriakh/PPINI-main/P-PINI newest version/Diring_Matlab_GitHub/other/samples/"/>
    </mc:Choice>
  </mc:AlternateContent>
  <xr:revisionPtr revIDLastSave="0" documentId="13_ncr:1_{58B49393-4F79-A74B-911C-7FE4F37578AA}" xr6:coauthVersionLast="47" xr6:coauthVersionMax="47" xr10:uidLastSave="{00000000-0000-0000-0000-000000000000}"/>
  <bookViews>
    <workbookView xWindow="0" yWindow="720" windowWidth="28800" windowHeight="16160" xr2:uid="{DF67F405-5120-F94A-A909-E36A0311C87B}"/>
  </bookViews>
  <sheets>
    <sheet name="Summary" sheetId="3" r:id="rId1"/>
    <sheet name="BeAl inventory" sheetId="2" r:id="rId2"/>
    <sheet name="AMS 10Be" sheetId="1" r:id="rId3"/>
    <sheet name="AMS 26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2" i="4"/>
  <c r="P2" i="4"/>
  <c r="AC13" i="2"/>
  <c r="AD13" i="2"/>
  <c r="AJ13" i="2"/>
  <c r="S13" i="2"/>
  <c r="V13" i="2"/>
  <c r="W13" i="2"/>
  <c r="R4" i="1"/>
  <c r="R5" i="1"/>
  <c r="R6" i="1"/>
  <c r="R7" i="1"/>
  <c r="R8" i="1"/>
  <c r="R9" i="1"/>
  <c r="R10" i="1"/>
  <c r="R11" i="1"/>
  <c r="R12" i="1"/>
  <c r="R13" i="1"/>
  <c r="R14" i="1"/>
  <c r="R15" i="1"/>
  <c r="Q5" i="1"/>
  <c r="Q6" i="1"/>
  <c r="Q7" i="1"/>
  <c r="Q8" i="1"/>
  <c r="Q9" i="1"/>
  <c r="Q10" i="1"/>
  <c r="Q11" i="1"/>
  <c r="Q12" i="1"/>
  <c r="Q13" i="1"/>
  <c r="Q14" i="1"/>
  <c r="Q15" i="1"/>
  <c r="Q4" i="1"/>
  <c r="AE2" i="2" l="1"/>
  <c r="AE3" i="2" l="1"/>
  <c r="AK3" i="2" s="1"/>
  <c r="AE13" i="2"/>
  <c r="AG13" i="2" s="1"/>
  <c r="S12" i="2"/>
  <c r="V12" i="2"/>
  <c r="W12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S5" i="2"/>
  <c r="S6" i="2"/>
  <c r="S7" i="2"/>
  <c r="S8" i="2"/>
  <c r="S9" i="2"/>
  <c r="S10" i="2"/>
  <c r="S11" i="2"/>
  <c r="S2" i="2"/>
  <c r="AF2" i="2" s="1"/>
  <c r="S3" i="2"/>
  <c r="S4" i="2"/>
  <c r="AK13" i="2" l="1"/>
  <c r="AF3" i="2"/>
  <c r="AF13" i="2"/>
  <c r="AH13" i="2" s="1"/>
  <c r="W4" i="2"/>
  <c r="V4" i="2"/>
  <c r="W3" i="2"/>
  <c r="V3" i="2"/>
  <c r="AD2" i="2"/>
  <c r="AC2" i="2"/>
  <c r="X2" i="2"/>
  <c r="W2" i="2"/>
  <c r="V2" i="2"/>
  <c r="AD12" i="2" l="1"/>
  <c r="AE12" i="2"/>
  <c r="AK12" i="2" s="1"/>
  <c r="AC12" i="2"/>
  <c r="AJ12" i="2" s="1"/>
  <c r="AF12" i="2"/>
  <c r="AE9" i="2"/>
  <c r="AK9" i="2" s="1"/>
  <c r="AE7" i="2"/>
  <c r="AK7" i="2" s="1"/>
  <c r="AE5" i="2"/>
  <c r="AK5" i="2" s="1"/>
  <c r="AE10" i="2"/>
  <c r="AK10" i="2" s="1"/>
  <c r="AE8" i="2"/>
  <c r="AK8" i="2" s="1"/>
  <c r="AE11" i="2"/>
  <c r="AK11" i="2" s="1"/>
  <c r="AE6" i="2"/>
  <c r="AD7" i="2"/>
  <c r="AD11" i="2"/>
  <c r="AD5" i="2"/>
  <c r="AD9" i="2"/>
  <c r="AD10" i="2"/>
  <c r="AD4" i="2"/>
  <c r="AD6" i="2"/>
  <c r="AD8" i="2"/>
  <c r="AF9" i="2"/>
  <c r="AF7" i="2"/>
  <c r="AF8" i="2"/>
  <c r="AF6" i="2"/>
  <c r="AF11" i="2"/>
  <c r="AF5" i="2"/>
  <c r="AF10" i="2"/>
  <c r="AC3" i="2"/>
  <c r="AJ3" i="2" s="1"/>
  <c r="AC4" i="2"/>
  <c r="AJ4" i="2" s="1"/>
  <c r="AC8" i="2"/>
  <c r="AJ8" i="2" s="1"/>
  <c r="AC9" i="2"/>
  <c r="AJ9" i="2" s="1"/>
  <c r="AC11" i="2"/>
  <c r="AJ11" i="2" s="1"/>
  <c r="AC5" i="2"/>
  <c r="AJ5" i="2" s="1"/>
  <c r="AC6" i="2"/>
  <c r="AJ6" i="2" s="1"/>
  <c r="AC10" i="2"/>
  <c r="AJ10" i="2" s="1"/>
  <c r="AC7" i="2"/>
  <c r="AJ7" i="2" s="1"/>
  <c r="AE4" i="2"/>
  <c r="AK4" i="2" s="1"/>
  <c r="AF4" i="2"/>
  <c r="AD3" i="2"/>
  <c r="AG6" i="2" l="1"/>
  <c r="AK6" i="2"/>
  <c r="AH6" i="2"/>
  <c r="AG11" i="2"/>
  <c r="AH11" i="2" s="1"/>
  <c r="AG12" i="2"/>
  <c r="AH12" i="2" s="1"/>
  <c r="AG8" i="2"/>
  <c r="AH8" i="2" s="1"/>
  <c r="AG10" i="2"/>
  <c r="AH10" i="2" s="1"/>
  <c r="AG5" i="2"/>
  <c r="AH5" i="2" s="1"/>
  <c r="AG7" i="2"/>
  <c r="AH7" i="2" s="1"/>
  <c r="AG9" i="2"/>
  <c r="AH9" i="2" s="1"/>
  <c r="AG4" i="2"/>
  <c r="AH4" i="2" s="1"/>
  <c r="AG3" i="2"/>
  <c r="AH3" i="2" s="1"/>
</calcChain>
</file>

<file path=xl/sharedStrings.xml><?xml version="1.0" encoding="utf-8"?>
<sst xmlns="http://schemas.openxmlformats.org/spreadsheetml/2006/main" count="170" uniqueCount="73">
  <si>
    <t>All samples are normalised to ICN-01-5-4 (10Be/Be = 2.851E-12, 1sigma=1.1%, Nishiizumi et al., 2007)</t>
  </si>
  <si>
    <t>Name</t>
  </si>
  <si>
    <t>Column1</t>
  </si>
  <si>
    <t>Blank name</t>
  </si>
  <si>
    <t>Rn (Blank, 1E-12)</t>
  </si>
  <si>
    <t>SE</t>
  </si>
  <si>
    <t>BLK FLAG</t>
  </si>
  <si>
    <t>live time (min)</t>
  </si>
  <si>
    <t>Total charge (mC)</t>
  </si>
  <si>
    <t>10B sec-1 microA-1</t>
  </si>
  <si>
    <t>R10/9n (1E-12)</t>
  </si>
  <si>
    <t>SE2</t>
  </si>
  <si>
    <t>rel. err. (%)</t>
  </si>
  <si>
    <t>R10/9nb (1E-12)</t>
  </si>
  <si>
    <t>SE3</t>
  </si>
  <si>
    <t>rel. Err. (%)4</t>
  </si>
  <si>
    <t>none</t>
  </si>
  <si>
    <t>Sample ID</t>
  </si>
  <si>
    <t>Type</t>
  </si>
  <si>
    <t>Batch ID</t>
  </si>
  <si>
    <t>Quartz (g)</t>
  </si>
  <si>
    <t>Be spike (ug)</t>
  </si>
  <si>
    <t>uncert</t>
  </si>
  <si>
    <t>Al spike (ug)</t>
  </si>
  <si>
    <t>Bottle (g)</t>
  </si>
  <si>
    <t>Bottle + soln (g)</t>
  </si>
  <si>
    <t>Parent soln mass (g)</t>
  </si>
  <si>
    <t>Aliquot vial + lid</t>
  </si>
  <si>
    <t>Aliquot + split</t>
  </si>
  <si>
    <t>Aliquot Split mass g</t>
  </si>
  <si>
    <t>Aliquot +ICP solution</t>
  </si>
  <si>
    <t>Aliquot ICP solution (mL)</t>
  </si>
  <si>
    <t>Al (ug) ICP-OES</t>
  </si>
  <si>
    <t>Uncert (%)</t>
  </si>
  <si>
    <t>uncert (ug/g)</t>
  </si>
  <si>
    <t>Be (ug) ICP-OES</t>
  </si>
  <si>
    <t>Be yield (%)</t>
  </si>
  <si>
    <t>Al yield blanks (%)</t>
  </si>
  <si>
    <t>10Be/9Be</t>
  </si>
  <si>
    <t>Uncertainty</t>
  </si>
  <si>
    <t>26Al/27Al</t>
  </si>
  <si>
    <t>N10 (at/g)</t>
  </si>
  <si>
    <t>Unc (at/g)</t>
  </si>
  <si>
    <t>N26 (at/g)</t>
  </si>
  <si>
    <t>N26/N10</t>
  </si>
  <si>
    <t>unc</t>
  </si>
  <si>
    <t>Notes</t>
  </si>
  <si>
    <t>Processing blank</t>
  </si>
  <si>
    <t>Sample</t>
  </si>
  <si>
    <t>--</t>
  </si>
  <si>
    <t>CoQtz-N intercalibration sample</t>
  </si>
  <si>
    <r>
      <t>N10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/N10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</si>
  <si>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r>
      <t>N26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/N26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</si>
  <si>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t>AU2206</t>
  </si>
  <si>
    <t>DY3</t>
  </si>
  <si>
    <t>DY14</t>
  </si>
  <si>
    <t>DY158</t>
  </si>
  <si>
    <t>DY397</t>
  </si>
  <si>
    <t>DY415</t>
  </si>
  <si>
    <t>DY832</t>
  </si>
  <si>
    <t>DY1175</t>
  </si>
  <si>
    <t>DY1383</t>
  </si>
  <si>
    <t>DY1480</t>
  </si>
  <si>
    <t>DY1790</t>
  </si>
  <si>
    <t>CO-29</t>
  </si>
  <si>
    <t>AU2206_3</t>
  </si>
  <si>
    <t>AU2205_2206_2210</t>
  </si>
  <si>
    <t>Sample-ID</t>
  </si>
  <si>
    <t>Be [at/g]</t>
  </si>
  <si>
    <t>Be unc [at/g]</t>
  </si>
  <si>
    <t>Al [at/g]</t>
  </si>
  <si>
    <t>Al unc [at/g]</t>
  </si>
  <si>
    <t>Sampling depth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</si>
</sst>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E+00"/>
    <numFmt numFmtId="166" formatCode="0.0%"/>
    <numFmt numFmtId="167" formatCode="0.000000"/>
    <numFmt numFmtId="168" formatCode="0.000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3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1" fillId="0" borderId="0" xfId="0" quotePrefix="1" applyFont="1" applyAlignment="1">
      <alignment horizontal="center"/>
    </xf>
    <xf numFmtId="1" fontId="1" fillId="0" borderId="0" xfId="0" applyNumberFormat="1" applyFont="1"/>
    <xf numFmtId="0" fontId="1" fillId="2" borderId="0" xfId="0" applyFont="1" applyFill="1"/>
    <xf numFmtId="166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Protection="1">
      <protection locked="0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C5DF-5A25-6449-98BF-600D55350640}">
  <dimension ref="A1:H2"/>
  <sheetViews>
    <sheetView tabSelected="1" workbookViewId="0">
      <selection activeCell="F2" sqref="F2"/>
    </sheetView>
  </sheetViews>
  <sheetFormatPr baseColWidth="10" defaultRowHeight="16" x14ac:dyDescent="0.2"/>
  <sheetData>
    <row r="1" spans="1:8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8" x14ac:dyDescent="0.2">
      <c r="A2" s="25" t="s">
        <v>61</v>
      </c>
      <c r="B2" s="14">
        <v>130903.0812652524</v>
      </c>
      <c r="C2" s="14">
        <v>3159.3024921058545</v>
      </c>
      <c r="D2" s="14">
        <v>682376.44317132223</v>
      </c>
      <c r="E2" s="14">
        <v>26704.959601730123</v>
      </c>
      <c r="F2" s="14">
        <v>250</v>
      </c>
      <c r="H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1189-AE12-4040-805A-9491C29846CD}">
  <dimension ref="A1:AR13"/>
  <sheetViews>
    <sheetView workbookViewId="0">
      <selection activeCell="B17" sqref="B17"/>
    </sheetView>
  </sheetViews>
  <sheetFormatPr baseColWidth="10" defaultRowHeight="16" x14ac:dyDescent="0.2"/>
  <cols>
    <col min="1" max="1" width="12.33203125" bestFit="1" customWidth="1"/>
    <col min="36" max="36" width="8.83203125" customWidth="1"/>
    <col min="37" max="37" width="8.5" customWidth="1"/>
  </cols>
  <sheetData>
    <row r="1" spans="1:44" s="3" customFormat="1" ht="55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22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33</v>
      </c>
      <c r="S1" s="3" t="s">
        <v>34</v>
      </c>
      <c r="T1" s="3" t="s">
        <v>35</v>
      </c>
      <c r="U1" s="4" t="s">
        <v>33</v>
      </c>
      <c r="V1" s="3" t="s">
        <v>34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39</v>
      </c>
      <c r="AC1" s="3" t="s">
        <v>41</v>
      </c>
      <c r="AD1" s="3" t="s">
        <v>42</v>
      </c>
      <c r="AE1" s="3" t="s">
        <v>43</v>
      </c>
      <c r="AF1" s="3" t="s">
        <v>42</v>
      </c>
      <c r="AG1" s="3" t="s">
        <v>44</v>
      </c>
      <c r="AH1" s="3" t="s">
        <v>45</v>
      </c>
      <c r="AI1" s="3" t="s">
        <v>46</v>
      </c>
      <c r="AJ1" s="3" t="s">
        <v>51</v>
      </c>
      <c r="AK1" s="3" t="s">
        <v>52</v>
      </c>
      <c r="AL1" s="5"/>
      <c r="AM1" s="5"/>
      <c r="AN1" s="5"/>
      <c r="AQ1" s="6"/>
    </row>
    <row r="2" spans="1:44" s="7" customFormat="1" x14ac:dyDescent="0.2">
      <c r="A2" s="7" t="s">
        <v>53</v>
      </c>
      <c r="B2" s="7" t="s">
        <v>47</v>
      </c>
      <c r="C2" s="7" t="s">
        <v>53</v>
      </c>
      <c r="D2" s="7">
        <v>0</v>
      </c>
      <c r="E2" s="8">
        <v>248.60038999999907</v>
      </c>
      <c r="F2" s="8">
        <v>1.6914475844376557</v>
      </c>
      <c r="G2" s="8">
        <v>1005.7945562130174</v>
      </c>
      <c r="H2" s="8">
        <v>5.043195960530003</v>
      </c>
      <c r="I2" s="8">
        <v>75.826099999999997</v>
      </c>
      <c r="J2" s="8">
        <v>185.434</v>
      </c>
      <c r="K2" s="8">
        <v>109.6079</v>
      </c>
      <c r="L2" s="9">
        <v>38.942010000000003</v>
      </c>
      <c r="M2" s="9">
        <v>41.78631</v>
      </c>
      <c r="N2" s="9">
        <v>2.8442999999999969</v>
      </c>
      <c r="O2" s="9">
        <v>49.228059999999999</v>
      </c>
      <c r="P2" s="9">
        <v>10.193392066118975</v>
      </c>
      <c r="Q2" s="9">
        <v>1025.835724927002</v>
      </c>
      <c r="R2" s="9">
        <v>2.5</v>
      </c>
      <c r="S2" s="17">
        <f t="shared" ref="S2:S12" si="0">R2*Q2/100</f>
        <v>25.64589312317505</v>
      </c>
      <c r="T2" s="9">
        <v>250.73668306325169</v>
      </c>
      <c r="U2" s="9">
        <v>1.5</v>
      </c>
      <c r="V2" s="17">
        <f>U2*T2</f>
        <v>376.10502459487753</v>
      </c>
      <c r="W2" s="17">
        <f t="shared" ref="W2:W4" si="1">T2/E2*100</f>
        <v>100.85932812223368</v>
      </c>
      <c r="X2" s="16">
        <f>Q2/G2*100</f>
        <v>101.992570807844</v>
      </c>
      <c r="Y2" s="10">
        <v>9.0719591901588318E-16</v>
      </c>
      <c r="Z2" s="10">
        <v>3.1069621543662957E-16</v>
      </c>
      <c r="AA2" s="10">
        <v>1.451514588816171E-15</v>
      </c>
      <c r="AB2" s="10">
        <v>1.0177715106082736E-15</v>
      </c>
      <c r="AC2" s="16">
        <f>(Y2*E2*10^-6*6.0221*10^23)/(9.0122)</f>
        <v>15070.235372855535</v>
      </c>
      <c r="AD2" s="16">
        <f>SQRT((((E2*10^-6*6.0221E+23)/9.0122)*Z2)^2+(((Y2*6.0221E+23)/9.0122)*F2*10^-6)^2)</f>
        <v>5162.2685927023167</v>
      </c>
      <c r="AE2" s="16">
        <f>(AA2*(Q2*10^-6*6.0221*10^23)/(26.9815))</f>
        <v>33233.883830640654</v>
      </c>
      <c r="AF2" s="16">
        <f>SQRT((((Q2*10^-6*6.0221E+23)/26.9815)*AB2)^2+(((AA2*6.0221E+23)/26.9815)*S2*10^-6)^2)</f>
        <v>23317.707481918242</v>
      </c>
      <c r="AG2" s="21"/>
      <c r="AH2" s="21"/>
      <c r="AK2" s="11"/>
      <c r="AL2" s="11"/>
      <c r="AM2" s="11"/>
      <c r="AN2" s="11"/>
    </row>
    <row r="3" spans="1:44" x14ac:dyDescent="0.2">
      <c r="A3" t="s">
        <v>54</v>
      </c>
      <c r="B3" t="s">
        <v>48</v>
      </c>
      <c r="C3" t="s">
        <v>53</v>
      </c>
      <c r="D3">
        <v>40.118899999999982</v>
      </c>
      <c r="E3" s="2">
        <v>241.83116800000067</v>
      </c>
      <c r="F3" s="2">
        <v>1.6490648476321403</v>
      </c>
      <c r="G3" s="2">
        <v>502.73917159763187</v>
      </c>
      <c r="H3" s="2">
        <v>2.5568702889131187</v>
      </c>
      <c r="I3" s="2">
        <v>113.7677</v>
      </c>
      <c r="J3" s="2">
        <v>405.64100000000002</v>
      </c>
      <c r="K3" s="2">
        <v>291.87330000000003</v>
      </c>
      <c r="L3" s="12">
        <v>40.457940000000001</v>
      </c>
      <c r="M3" s="12">
        <v>48.511920000000003</v>
      </c>
      <c r="N3" s="12">
        <v>8.0539800000000028</v>
      </c>
      <c r="O3" s="12">
        <v>50.688000000000002</v>
      </c>
      <c r="P3" s="12">
        <v>10.137906430546336</v>
      </c>
      <c r="Q3" s="12">
        <v>1073.523837739828</v>
      </c>
      <c r="R3" s="12">
        <v>2.5</v>
      </c>
      <c r="S3" s="18">
        <f t="shared" si="0"/>
        <v>26.838095943495702</v>
      </c>
      <c r="T3" s="12">
        <v>244.72914383521123</v>
      </c>
      <c r="U3" s="12">
        <v>1.5</v>
      </c>
      <c r="V3" s="18">
        <f t="shared" ref="V3:V4" si="2">T3*U3/100</f>
        <v>3.6709371575281682</v>
      </c>
      <c r="W3" s="18">
        <f t="shared" si="1"/>
        <v>101.19834670575241</v>
      </c>
      <c r="X3" s="19" t="s">
        <v>49</v>
      </c>
      <c r="Y3" s="13">
        <v>2.3850694091091578E-12</v>
      </c>
      <c r="Z3" s="13">
        <v>2.5660426955545271E-14</v>
      </c>
      <c r="AA3" s="13">
        <v>1.0107898044875355E-11</v>
      </c>
      <c r="AB3" s="13">
        <v>1.5021459770835377E-13</v>
      </c>
      <c r="AC3" s="20">
        <f>1/D3*((Y3*E3*10^-6*6.0221E+23/9.0122)-$AC$2)</f>
        <v>960310.2696490552</v>
      </c>
      <c r="AD3" s="20">
        <f>SQRT(((E3*10^-6*6.0221E+23)/(D3*9.0122)*Z3)^2+((-1/D3)*$AD$2)^2+((Y3*6.0221E+23)/(D3*9.0122)*F3*10^-6)^2)</f>
        <v>12237.682220850973</v>
      </c>
      <c r="AE3" s="20">
        <f>(1/D3)*(((AA3*(Q3*10^-6*6.0221*10^23)/26.9815)-$AE$2))</f>
        <v>6035952.3405980319</v>
      </c>
      <c r="AF3" s="20">
        <f>SQRT(((Q3*10^-6*6.0221E+23)/(D3*26.9815)*AB3)^2+((-1/D3)*$AF$2)^2+((AA3*6.0221E+23)/(D3*26.9815)*S3*10^-6)^2)</f>
        <v>175571.94994711669</v>
      </c>
      <c r="AG3" s="18">
        <f t="shared" ref="AG3:AG4" si="3">AE3/AC3</f>
        <v>6.2854189227861399</v>
      </c>
      <c r="AH3" s="18">
        <f t="shared" ref="AH3:AH4" si="4">AG3*SQRT((AF3/AE3)^2+(AD3/AC3)^2)</f>
        <v>0.19960436552080366</v>
      </c>
      <c r="AJ3" s="22">
        <f>AC$2/(AC3*D3)</f>
        <v>3.911645104553368E-4</v>
      </c>
      <c r="AK3" s="22">
        <f>AE$2/(AE3*D3)</f>
        <v>1.37241759946909E-4</v>
      </c>
      <c r="AL3" s="15"/>
      <c r="AM3" s="15"/>
      <c r="AN3" s="15"/>
      <c r="AR3" s="14"/>
    </row>
    <row r="4" spans="1:44" x14ac:dyDescent="0.2">
      <c r="A4" t="s">
        <v>55</v>
      </c>
      <c r="B4" t="s">
        <v>48</v>
      </c>
      <c r="C4" t="s">
        <v>53</v>
      </c>
      <c r="D4">
        <v>40.035700000000006</v>
      </c>
      <c r="E4" s="2">
        <v>242.34384399999982</v>
      </c>
      <c r="F4" s="2">
        <v>1.6522714161250858</v>
      </c>
      <c r="G4" s="2">
        <v>502.0573372781065</v>
      </c>
      <c r="H4" s="2">
        <v>2.5535321343619444</v>
      </c>
      <c r="I4" s="2">
        <v>113.0956</v>
      </c>
      <c r="J4" s="2">
        <v>396.27100000000002</v>
      </c>
      <c r="K4" s="2">
        <v>283.17540000000002</v>
      </c>
      <c r="L4" s="12">
        <v>38.754719999999999</v>
      </c>
      <c r="M4" s="12">
        <v>46.785060000000001</v>
      </c>
      <c r="N4" s="12">
        <v>8.0303400000000025</v>
      </c>
      <c r="O4" s="12">
        <v>49.01408</v>
      </c>
      <c r="P4" s="12">
        <v>10.166942492740985</v>
      </c>
      <c r="Q4" s="12">
        <v>1200.5317301651717</v>
      </c>
      <c r="R4" s="12">
        <v>2.5</v>
      </c>
      <c r="S4" s="18">
        <f t="shared" si="0"/>
        <v>30.013293254129294</v>
      </c>
      <c r="T4" s="12">
        <v>245.42635093028693</v>
      </c>
      <c r="U4" s="12">
        <v>1.5</v>
      </c>
      <c r="V4" s="18">
        <f t="shared" si="2"/>
        <v>3.6813952639543039</v>
      </c>
      <c r="W4" s="18">
        <f t="shared" si="1"/>
        <v>101.27195594466475</v>
      </c>
      <c r="X4" s="19" t="s">
        <v>49</v>
      </c>
      <c r="Y4" s="13">
        <v>3.5568169990995179E-13</v>
      </c>
      <c r="Z4" s="13">
        <v>7.2649620718674642E-15</v>
      </c>
      <c r="AA4" s="13">
        <v>9.4164169013188189E-13</v>
      </c>
      <c r="AB4" s="13">
        <v>2.8868965445830166E-14</v>
      </c>
      <c r="AC4" s="20">
        <f t="shared" ref="AC4:AC12" si="5">1/D4*((Y4*E4*10^-6*6.0221E+23/9.0122)-$AC$2)</f>
        <v>143491.25627900058</v>
      </c>
      <c r="AD4" s="20">
        <f t="shared" ref="AD4:AD12" si="6">SQRT(((E4*10^-6*6.0221E+23)/(D4*9.0122)*Z4)^2+((-1/D4)*$AD$2)^2+((Y4*6.0221E+23)/(D4*9.0122)*F4*10^-6)^2)</f>
        <v>3100.6276338602511</v>
      </c>
      <c r="AE4" s="20">
        <f t="shared" ref="AE4" si="7">(1/D4)*(((AA4*(Q4*10^-6*6.0221*10^23)/26.9815)-$AE$2))</f>
        <v>629392.19584289298</v>
      </c>
      <c r="AF4" s="20">
        <f t="shared" ref="AF4" si="8">SQRT(((Q4*10^-6*6.0221E+23)/(D4*26.9815)*AB4)^2+((-1/D4)*$AF$2)^2+((AA4*6.0221E+23)/(D4*26.9815)*S4*10^-6)^2)</f>
        <v>24937.813532312659</v>
      </c>
      <c r="AG4" s="18">
        <f t="shared" si="3"/>
        <v>4.3862755973027348</v>
      </c>
      <c r="AH4" s="18">
        <f t="shared" si="4"/>
        <v>0.19795829487270242</v>
      </c>
      <c r="AJ4" s="22">
        <f t="shared" ref="AJ4:AJ12" si="9">AC$2/(AC4*D4)</f>
        <v>2.6232952396930591E-3</v>
      </c>
      <c r="AK4" s="22">
        <f t="shared" ref="AK4:AK12" si="10">AE$2/(AE4*D4)</f>
        <v>1.3189013645897767E-3</v>
      </c>
      <c r="AL4" s="15"/>
      <c r="AM4" s="15"/>
      <c r="AN4" s="15"/>
    </row>
    <row r="5" spans="1:44" x14ac:dyDescent="0.2">
      <c r="A5" t="s">
        <v>56</v>
      </c>
      <c r="B5" t="s">
        <v>48</v>
      </c>
      <c r="C5" t="s">
        <v>53</v>
      </c>
      <c r="D5">
        <v>40.022199999999984</v>
      </c>
      <c r="E5" s="2">
        <v>242.02104800000023</v>
      </c>
      <c r="F5" s="2">
        <v>1.6502524000939993</v>
      </c>
      <c r="G5" s="2">
        <v>503.20360946745609</v>
      </c>
      <c r="H5" s="2">
        <v>2.5591442011698051</v>
      </c>
      <c r="I5" s="2">
        <v>115.6683</v>
      </c>
      <c r="J5" s="2">
        <v>388.351</v>
      </c>
      <c r="K5" s="2">
        <v>272.68270000000001</v>
      </c>
      <c r="L5" s="12">
        <v>38.851959999999998</v>
      </c>
      <c r="M5" s="12">
        <v>46.929819999999999</v>
      </c>
      <c r="N5" s="12">
        <v>8.0778600000000012</v>
      </c>
      <c r="O5" s="12">
        <v>49.081319999999998</v>
      </c>
      <c r="P5" s="12">
        <v>10.13721273622769</v>
      </c>
      <c r="Q5" s="12">
        <v>1195.8658021924887</v>
      </c>
      <c r="R5" s="12">
        <v>2.5</v>
      </c>
      <c r="S5" s="18">
        <f t="shared" si="0"/>
        <v>29.896645054812215</v>
      </c>
      <c r="T5" s="12">
        <v>245.02177418162705</v>
      </c>
      <c r="U5" s="12">
        <v>1.5</v>
      </c>
      <c r="V5" s="18">
        <f t="shared" ref="V5:V12" si="11">T5*U5/100</f>
        <v>3.675326612724406</v>
      </c>
      <c r="W5" s="18">
        <f t="shared" ref="W5:W12" si="12">T5/E5*100</f>
        <v>101.23986165931602</v>
      </c>
      <c r="X5" s="19" t="s">
        <v>49</v>
      </c>
      <c r="Y5" s="13">
        <v>7.4270111654891651E-13</v>
      </c>
      <c r="Z5" s="13">
        <v>1.3161449435746566E-14</v>
      </c>
      <c r="AA5" s="13">
        <v>1.7695502459460963E-12</v>
      </c>
      <c r="AB5" s="13">
        <v>4.4362200575678448E-14</v>
      </c>
      <c r="AC5" s="20">
        <f t="shared" si="5"/>
        <v>299735.47857697564</v>
      </c>
      <c r="AD5" s="20">
        <f t="shared" si="6"/>
        <v>5699.8720543443924</v>
      </c>
      <c r="AE5" s="20">
        <f t="shared" ref="AE5:AE12" si="13">(1/D5)*(((AA5*(Q5*10^-6*6.0221*10^23)/26.9815)-$AE$2))</f>
        <v>1179289.8580598671</v>
      </c>
      <c r="AF5" s="20">
        <f t="shared" ref="AF5:AF12" si="14">SQRT(((Q5*10^-6*6.0221E+23)/(D5*26.9815)*AB5)^2+((-1/D5)*$AF$2)^2+((AA5*6.0221E+23)/(D5*26.9815)*S5*10^-6)^2)</f>
        <v>41785.866824444318</v>
      </c>
      <c r="AG5" s="18">
        <f t="shared" ref="AG5:AG12" si="15">AE5/AC5</f>
        <v>3.9344353349782426</v>
      </c>
      <c r="AH5" s="18">
        <f t="shared" ref="AH5:AH12" si="16">AG5*SQRT((AF5/AE5)^2+(AD5/AC5)^2)</f>
        <v>0.15821734171932378</v>
      </c>
      <c r="AJ5" s="22">
        <f t="shared" si="9"/>
        <v>1.256264031802787E-3</v>
      </c>
      <c r="AK5" s="22">
        <f t="shared" si="10"/>
        <v>7.0414090796448671E-4</v>
      </c>
    </row>
    <row r="6" spans="1:44" x14ac:dyDescent="0.2">
      <c r="A6" t="s">
        <v>57</v>
      </c>
      <c r="B6" t="s">
        <v>48</v>
      </c>
      <c r="C6" t="s">
        <v>53</v>
      </c>
      <c r="D6">
        <v>40.118099999999998</v>
      </c>
      <c r="E6" s="2">
        <v>242.59068799999892</v>
      </c>
      <c r="F6" s="2">
        <v>1.6538155193902304</v>
      </c>
      <c r="G6" s="2">
        <v>502.27473372781117</v>
      </c>
      <c r="H6" s="2">
        <v>2.5545964550957314</v>
      </c>
      <c r="I6" s="2">
        <v>115.0427</v>
      </c>
      <c r="J6" s="2">
        <v>399.79199999999997</v>
      </c>
      <c r="K6" s="2">
        <v>284.74929999999995</v>
      </c>
      <c r="L6" s="12">
        <v>36.276069999999997</v>
      </c>
      <c r="M6" s="12">
        <v>44.323520000000002</v>
      </c>
      <c r="N6" s="12">
        <v>8.0474500000000049</v>
      </c>
      <c r="O6" s="12">
        <v>46.531109999999998</v>
      </c>
      <c r="P6" s="12">
        <v>10.162661407803071</v>
      </c>
      <c r="Q6" s="12">
        <v>1325.8636364119704</v>
      </c>
      <c r="R6" s="12">
        <v>2.5</v>
      </c>
      <c r="S6" s="18">
        <f t="shared" si="0"/>
        <v>33.14659091029926</v>
      </c>
      <c r="T6" s="12">
        <v>245.81872936520284</v>
      </c>
      <c r="U6" s="12">
        <v>1.5</v>
      </c>
      <c r="V6" s="18">
        <f t="shared" si="11"/>
        <v>3.6872809404780424</v>
      </c>
      <c r="W6" s="18">
        <f t="shared" si="12"/>
        <v>101.330653452454</v>
      </c>
      <c r="X6" s="19" t="s">
        <v>49</v>
      </c>
      <c r="Y6" s="13">
        <v>7.5480307327541237E-13</v>
      </c>
      <c r="Z6" s="13">
        <v>1.4518856656120131E-14</v>
      </c>
      <c r="AA6" s="13">
        <v>2.4647846835910415E-12</v>
      </c>
      <c r="AB6" s="13">
        <v>5.3623961142336814E-14</v>
      </c>
      <c r="AC6" s="20">
        <f t="shared" si="5"/>
        <v>304613.63076855341</v>
      </c>
      <c r="AD6" s="20">
        <f t="shared" si="6"/>
        <v>6225.4438830091613</v>
      </c>
      <c r="AE6" s="20">
        <f t="shared" si="13"/>
        <v>1817278.2790599349</v>
      </c>
      <c r="AF6" s="20">
        <f t="shared" si="14"/>
        <v>60256.663564386057</v>
      </c>
      <c r="AG6" s="18">
        <f t="shared" si="15"/>
        <v>5.9658468810961054</v>
      </c>
      <c r="AH6" s="18">
        <f t="shared" si="16"/>
        <v>0.23237012831687218</v>
      </c>
      <c r="AJ6" s="22">
        <f t="shared" si="9"/>
        <v>1.233190997508745E-3</v>
      </c>
      <c r="AK6" s="22">
        <f t="shared" si="10"/>
        <v>4.5584721429135761E-4</v>
      </c>
    </row>
    <row r="7" spans="1:44" x14ac:dyDescent="0.2">
      <c r="A7" t="s">
        <v>58</v>
      </c>
      <c r="B7" t="s">
        <v>48</v>
      </c>
      <c r="C7" t="s">
        <v>53</v>
      </c>
      <c r="D7">
        <v>40.004999999999981</v>
      </c>
      <c r="E7" s="2">
        <v>244.05276400000091</v>
      </c>
      <c r="F7" s="2">
        <v>1.6629640038148807</v>
      </c>
      <c r="G7" s="2">
        <v>500.851775147929</v>
      </c>
      <c r="H7" s="2">
        <v>2.5476303058408933</v>
      </c>
      <c r="I7" s="2">
        <v>112.24630000000001</v>
      </c>
      <c r="J7" s="2">
        <v>401.553</v>
      </c>
      <c r="K7" s="2">
        <v>289.30669999999998</v>
      </c>
      <c r="L7" s="12">
        <v>37.875680000000003</v>
      </c>
      <c r="M7" s="12">
        <v>45.906739999999999</v>
      </c>
      <c r="N7" s="12">
        <v>8.0310599999999965</v>
      </c>
      <c r="O7" s="12">
        <v>48.09769</v>
      </c>
      <c r="P7" s="12">
        <v>10.129928945881931</v>
      </c>
      <c r="Q7" s="12">
        <v>1075.2357617155762</v>
      </c>
      <c r="R7" s="12">
        <v>2.5</v>
      </c>
      <c r="S7" s="18">
        <f t="shared" si="0"/>
        <v>26.880894042889405</v>
      </c>
      <c r="T7" s="12">
        <v>246.74416635670266</v>
      </c>
      <c r="U7" s="12">
        <v>1.5</v>
      </c>
      <c r="V7" s="18">
        <f t="shared" si="11"/>
        <v>3.7011624953505402</v>
      </c>
      <c r="W7" s="18">
        <f t="shared" si="12"/>
        <v>101.10279527778745</v>
      </c>
      <c r="X7" s="19" t="s">
        <v>49</v>
      </c>
      <c r="Y7" s="13">
        <v>6.9488797682331158E-13</v>
      </c>
      <c r="Z7" s="13">
        <v>1.5774711021297158E-14</v>
      </c>
      <c r="AA7" s="13">
        <v>2.6111912995121668E-12</v>
      </c>
      <c r="AB7" s="13">
        <v>4.5150481038126787E-14</v>
      </c>
      <c r="AC7" s="20">
        <f t="shared" si="5"/>
        <v>282893.82120120351</v>
      </c>
      <c r="AD7" s="20">
        <f t="shared" si="6"/>
        <v>6715.2248727068854</v>
      </c>
      <c r="AE7" s="20">
        <f t="shared" si="13"/>
        <v>1565595.6369802761</v>
      </c>
      <c r="AF7" s="20">
        <f t="shared" si="14"/>
        <v>47618.384762242531</v>
      </c>
      <c r="AG7" s="18">
        <f t="shared" si="15"/>
        <v>5.5342164432314425</v>
      </c>
      <c r="AH7" s="18">
        <f t="shared" si="16"/>
        <v>0.2135216222093142</v>
      </c>
      <c r="AJ7" s="22">
        <f t="shared" si="9"/>
        <v>1.3316260995817066E-3</v>
      </c>
      <c r="AK7" s="22">
        <f t="shared" si="10"/>
        <v>5.3062440469095105E-4</v>
      </c>
    </row>
    <row r="8" spans="1:44" x14ac:dyDescent="0.2">
      <c r="A8" t="s">
        <v>59</v>
      </c>
      <c r="B8" t="s">
        <v>48</v>
      </c>
      <c r="C8" t="s">
        <v>53</v>
      </c>
      <c r="D8">
        <v>40.038600000000002</v>
      </c>
      <c r="E8" s="2">
        <v>241.41343199999963</v>
      </c>
      <c r="F8" s="2">
        <v>1.6464525044154756</v>
      </c>
      <c r="G8" s="2">
        <v>501.55337278106487</v>
      </c>
      <c r="H8" s="2">
        <v>2.5510649117841151</v>
      </c>
      <c r="I8" s="2">
        <v>112.9948</v>
      </c>
      <c r="J8" s="2">
        <v>407.28199999999998</v>
      </c>
      <c r="K8" s="2">
        <v>294.28719999999998</v>
      </c>
      <c r="L8" s="12">
        <v>40.357289999999999</v>
      </c>
      <c r="M8" s="12">
        <v>48.361080000000001</v>
      </c>
      <c r="N8" s="12">
        <v>8.0037900000000022</v>
      </c>
      <c r="O8" s="12">
        <v>50.559620000000002</v>
      </c>
      <c r="P8" s="12">
        <v>10.110426225609215</v>
      </c>
      <c r="Q8" s="12">
        <v>1105.4425329684773</v>
      </c>
      <c r="R8" s="12">
        <v>2.5</v>
      </c>
      <c r="S8" s="18">
        <f t="shared" si="0"/>
        <v>27.636063324211932</v>
      </c>
      <c r="T8" s="12">
        <v>243.33938069128965</v>
      </c>
      <c r="U8" s="12">
        <v>1.5</v>
      </c>
      <c r="V8" s="18">
        <f t="shared" si="11"/>
        <v>3.6500907103693447</v>
      </c>
      <c r="W8" s="18">
        <f t="shared" si="12"/>
        <v>100.79778025412025</v>
      </c>
      <c r="X8" s="19" t="s">
        <v>49</v>
      </c>
      <c r="Y8" s="13">
        <v>4.2723678087727245E-13</v>
      </c>
      <c r="Z8" s="13">
        <v>8.7928054455833108E-15</v>
      </c>
      <c r="AA8" s="13">
        <v>1.6865463295401824E-12</v>
      </c>
      <c r="AB8" s="13">
        <v>4.6319889468489654E-14</v>
      </c>
      <c r="AC8" s="20">
        <f t="shared" si="5"/>
        <v>171758.26598742855</v>
      </c>
      <c r="AD8" s="20">
        <f t="shared" si="6"/>
        <v>3734.3177552852358</v>
      </c>
      <c r="AE8" s="20">
        <f t="shared" si="13"/>
        <v>1038461.5983647524</v>
      </c>
      <c r="AF8" s="20">
        <f t="shared" si="14"/>
        <v>38602.434432832932</v>
      </c>
      <c r="AG8" s="18">
        <f t="shared" si="15"/>
        <v>6.0460647549897839</v>
      </c>
      <c r="AH8" s="18">
        <f t="shared" si="16"/>
        <v>0.26036803069936448</v>
      </c>
      <c r="AJ8" s="22">
        <f t="shared" si="9"/>
        <v>2.1914093230705257E-3</v>
      </c>
      <c r="AK8" s="22">
        <f t="shared" si="10"/>
        <v>7.9930360697530087E-4</v>
      </c>
    </row>
    <row r="9" spans="1:44" x14ac:dyDescent="0.2">
      <c r="A9" t="s">
        <v>60</v>
      </c>
      <c r="B9" t="s">
        <v>48</v>
      </c>
      <c r="C9" t="s">
        <v>53</v>
      </c>
      <c r="D9">
        <v>40.057400000000001</v>
      </c>
      <c r="E9" s="2">
        <v>241.35646800000009</v>
      </c>
      <c r="F9" s="2">
        <v>1.6460963048667601</v>
      </c>
      <c r="G9" s="2">
        <v>501.70159763313552</v>
      </c>
      <c r="H9" s="2">
        <v>2.5517905558425311</v>
      </c>
      <c r="I9" s="2">
        <v>113.2825</v>
      </c>
      <c r="J9" s="2">
        <v>403.17200000000003</v>
      </c>
      <c r="K9" s="2">
        <v>289.8895</v>
      </c>
      <c r="L9" s="12">
        <v>38.82911</v>
      </c>
      <c r="M9" s="12">
        <v>46.849460000000001</v>
      </c>
      <c r="N9" s="12">
        <v>8.0203500000000005</v>
      </c>
      <c r="O9" s="12">
        <v>49.05847</v>
      </c>
      <c r="P9" s="12">
        <v>10.13721273622769</v>
      </c>
      <c r="Q9" s="12">
        <v>1231.1963015791366</v>
      </c>
      <c r="R9" s="12">
        <v>2.5</v>
      </c>
      <c r="S9" s="18">
        <f t="shared" si="0"/>
        <v>30.779907539478419</v>
      </c>
      <c r="T9" s="12">
        <v>247.22723173751189</v>
      </c>
      <c r="U9" s="12">
        <v>1.5</v>
      </c>
      <c r="V9" s="18">
        <f t="shared" si="11"/>
        <v>3.7084084760626785</v>
      </c>
      <c r="W9" s="18">
        <f t="shared" si="12"/>
        <v>102.43240373301774</v>
      </c>
      <c r="X9" s="19" t="s">
        <v>49</v>
      </c>
      <c r="Y9" s="13">
        <v>2.5698448364219123E-13</v>
      </c>
      <c r="Z9" s="13">
        <v>6.5486202744782413E-15</v>
      </c>
      <c r="AA9" s="13">
        <v>6.3201775486155673E-13</v>
      </c>
      <c r="AB9" s="13">
        <v>2.12495097462056E-14</v>
      </c>
      <c r="AC9" s="20">
        <f t="shared" si="5"/>
        <v>103090.39599766598</v>
      </c>
      <c r="AD9" s="20">
        <f t="shared" si="6"/>
        <v>2732.4330285385613</v>
      </c>
      <c r="AE9" s="20">
        <f t="shared" si="13"/>
        <v>432736.82167363382</v>
      </c>
      <c r="AF9" s="20">
        <f t="shared" si="14"/>
        <v>18174.769184710291</v>
      </c>
      <c r="AG9" s="18">
        <f t="shared" si="15"/>
        <v>4.1976443827360139</v>
      </c>
      <c r="AH9" s="18">
        <f t="shared" si="16"/>
        <v>0.2084709258168316</v>
      </c>
      <c r="AJ9" s="22">
        <f t="shared" si="9"/>
        <v>3.6493798544466453E-3</v>
      </c>
      <c r="AK9" s="22">
        <f t="shared" si="10"/>
        <v>1.9172312063122682E-3</v>
      </c>
    </row>
    <row r="10" spans="1:44" x14ac:dyDescent="0.2">
      <c r="A10" t="s">
        <v>61</v>
      </c>
      <c r="B10" t="s">
        <v>48</v>
      </c>
      <c r="C10" t="s">
        <v>53</v>
      </c>
      <c r="D10">
        <v>40.055699999999987</v>
      </c>
      <c r="E10" s="2">
        <v>242.16345799999991</v>
      </c>
      <c r="F10" s="2">
        <v>1.6511431150436349</v>
      </c>
      <c r="G10" s="2">
        <v>1006.0514792899412</v>
      </c>
      <c r="H10" s="2">
        <v>5.0444718458761022</v>
      </c>
      <c r="I10" s="2">
        <v>115.426</v>
      </c>
      <c r="J10" s="2">
        <v>399.30900000000003</v>
      </c>
      <c r="K10" s="2">
        <v>283.88300000000004</v>
      </c>
      <c r="L10" s="12">
        <v>37.870609999999999</v>
      </c>
      <c r="M10" s="12">
        <v>45.92333</v>
      </c>
      <c r="N10" s="12">
        <v>8.0527200000000008</v>
      </c>
      <c r="O10" s="12">
        <v>48.100529999999999</v>
      </c>
      <c r="P10" s="12">
        <v>10.137767691682605</v>
      </c>
      <c r="Q10" s="12">
        <v>1328.1135824765347</v>
      </c>
      <c r="R10" s="12">
        <v>2.5</v>
      </c>
      <c r="S10" s="18">
        <f t="shared" si="0"/>
        <v>33.202839561913372</v>
      </c>
      <c r="T10" s="12">
        <v>248.98680334856689</v>
      </c>
      <c r="U10" s="12">
        <v>1.5</v>
      </c>
      <c r="V10" s="18">
        <f t="shared" si="11"/>
        <v>3.7348020502285033</v>
      </c>
      <c r="W10" s="18">
        <f t="shared" si="12"/>
        <v>102.81766101496908</v>
      </c>
      <c r="X10" s="19" t="s">
        <v>49</v>
      </c>
      <c r="Y10" s="13">
        <v>3.2496371464946728E-13</v>
      </c>
      <c r="Z10" s="13">
        <v>7.4931827066158493E-15</v>
      </c>
      <c r="AA10" s="13">
        <v>9.232067945597634E-13</v>
      </c>
      <c r="AB10" s="13">
        <v>2.7728845322649745E-14</v>
      </c>
      <c r="AC10" s="20">
        <f t="shared" si="5"/>
        <v>130903.0812652524</v>
      </c>
      <c r="AD10" s="20">
        <f t="shared" si="6"/>
        <v>3159.3024921058545</v>
      </c>
      <c r="AE10" s="20">
        <f t="shared" si="13"/>
        <v>682376.44317132223</v>
      </c>
      <c r="AF10" s="20">
        <f t="shared" si="14"/>
        <v>26704.959601730123</v>
      </c>
      <c r="AG10" s="18">
        <f t="shared" si="15"/>
        <v>5.2128371355033627</v>
      </c>
      <c r="AH10" s="18">
        <f t="shared" si="16"/>
        <v>0.23967990946858983</v>
      </c>
      <c r="AJ10" s="22">
        <f t="shared" si="9"/>
        <v>2.8741262440192439E-3</v>
      </c>
      <c r="AK10" s="22">
        <f t="shared" si="10"/>
        <v>1.2158856864228351E-3</v>
      </c>
    </row>
    <row r="11" spans="1:44" x14ac:dyDescent="0.2">
      <c r="A11" t="s">
        <v>62</v>
      </c>
      <c r="B11" t="s">
        <v>48</v>
      </c>
      <c r="C11" t="s">
        <v>53</v>
      </c>
      <c r="D11">
        <v>40.014899999999997</v>
      </c>
      <c r="E11" s="2">
        <v>241.69825200000065</v>
      </c>
      <c r="F11" s="2">
        <v>1.6482336068700982</v>
      </c>
      <c r="G11" s="2">
        <v>1007.2570414201188</v>
      </c>
      <c r="H11" s="2">
        <v>5.050458734206499</v>
      </c>
      <c r="I11" s="2">
        <v>112.8651</v>
      </c>
      <c r="J11" s="2">
        <v>401.81</v>
      </c>
      <c r="K11" s="2">
        <v>288.94490000000002</v>
      </c>
      <c r="L11" s="12">
        <v>40.493110000000001</v>
      </c>
      <c r="M11" s="12">
        <v>47.233370000000001</v>
      </c>
      <c r="N11" s="12">
        <v>6.7402599999999993</v>
      </c>
      <c r="O11" s="12">
        <v>50.748640000000002</v>
      </c>
      <c r="P11" s="12">
        <v>10.163146993826121</v>
      </c>
      <c r="Q11" s="12">
        <v>1471.0855708416843</v>
      </c>
      <c r="R11" s="12">
        <v>2.5</v>
      </c>
      <c r="S11" s="18">
        <f t="shared" si="0"/>
        <v>36.777139271042103</v>
      </c>
      <c r="T11" s="12">
        <v>247.86481439838974</v>
      </c>
      <c r="U11" s="12">
        <v>1.5</v>
      </c>
      <c r="V11" s="18">
        <f t="shared" si="11"/>
        <v>3.7179722159758462</v>
      </c>
      <c r="W11" s="18">
        <f t="shared" si="12"/>
        <v>102.55134753659247</v>
      </c>
      <c r="X11" s="19" t="s">
        <v>49</v>
      </c>
      <c r="Y11" s="13">
        <v>3.4488288797251505E-13</v>
      </c>
      <c r="Z11" s="13">
        <v>8.8163264785663124E-15</v>
      </c>
      <c r="AA11" s="13">
        <v>9.9634467359758418E-13</v>
      </c>
      <c r="AB11" s="13">
        <v>2.9695968251599022E-14</v>
      </c>
      <c r="AC11" s="20">
        <f t="shared" si="5"/>
        <v>138823.80965132904</v>
      </c>
      <c r="AD11" s="20">
        <f t="shared" si="6"/>
        <v>3685.1128569039015</v>
      </c>
      <c r="AE11" s="20">
        <f t="shared" si="13"/>
        <v>816706.95005323354</v>
      </c>
      <c r="AF11" s="20">
        <f t="shared" si="14"/>
        <v>31808.838383276827</v>
      </c>
      <c r="AG11" s="18">
        <f t="shared" si="15"/>
        <v>5.8830466625608464</v>
      </c>
      <c r="AH11" s="18">
        <f t="shared" si="16"/>
        <v>0.27728889539029822</v>
      </c>
      <c r="AJ11" s="22">
        <f t="shared" si="9"/>
        <v>2.712903470652167E-3</v>
      </c>
      <c r="AK11" s="22">
        <f t="shared" si="10"/>
        <v>1.0169348019029446E-3</v>
      </c>
    </row>
    <row r="12" spans="1:44" x14ac:dyDescent="0.2">
      <c r="A12" t="s">
        <v>63</v>
      </c>
      <c r="B12" t="s">
        <v>48</v>
      </c>
      <c r="C12" t="s">
        <v>53</v>
      </c>
      <c r="D12">
        <v>26.710499999999996</v>
      </c>
      <c r="E12" s="2">
        <v>242.38182000000006</v>
      </c>
      <c r="F12" s="2">
        <v>1.652508962033187</v>
      </c>
      <c r="G12" s="2">
        <v>1006.8914201183417</v>
      </c>
      <c r="H12" s="2">
        <v>5.0486430313087043</v>
      </c>
      <c r="I12" s="2">
        <v>115.53489999999999</v>
      </c>
      <c r="J12" s="2">
        <v>337.09800000000001</v>
      </c>
      <c r="K12" s="2">
        <v>221.56310000000002</v>
      </c>
      <c r="L12" s="12">
        <v>36.357799999999997</v>
      </c>
      <c r="M12" s="12">
        <v>42.885649999999998</v>
      </c>
      <c r="N12" s="12">
        <v>6.5278500000000008</v>
      </c>
      <c r="O12" s="12">
        <v>46.590609999999998</v>
      </c>
      <c r="P12" s="12">
        <v>10.14063165822672</v>
      </c>
      <c r="Q12" s="12">
        <v>1320.9509869345757</v>
      </c>
      <c r="R12" s="12">
        <v>2.5</v>
      </c>
      <c r="S12" s="18">
        <f t="shared" si="0"/>
        <v>33.023774673364393</v>
      </c>
      <c r="T12" s="12">
        <v>248.31130262721905</v>
      </c>
      <c r="U12" s="12">
        <v>1.5</v>
      </c>
      <c r="V12" s="18">
        <f t="shared" si="11"/>
        <v>3.724669539408286</v>
      </c>
      <c r="W12" s="18">
        <f t="shared" si="12"/>
        <v>102.44633967482338</v>
      </c>
      <c r="X12" s="19" t="s">
        <v>49</v>
      </c>
      <c r="Y12" s="13">
        <v>4.6592644764053858E-13</v>
      </c>
      <c r="Z12" s="13">
        <v>8.8434259921972633E-15</v>
      </c>
      <c r="AA12" s="13">
        <v>1.6916658314033461E-12</v>
      </c>
      <c r="AB12" s="13">
        <v>4.2806191012668469E-14</v>
      </c>
      <c r="AC12" s="20">
        <f t="shared" si="5"/>
        <v>281957.9611042022</v>
      </c>
      <c r="AD12" s="20">
        <f t="shared" si="6"/>
        <v>5701.0861383310903</v>
      </c>
      <c r="AE12" s="20">
        <f t="shared" si="13"/>
        <v>1866000.0482494864</v>
      </c>
      <c r="AF12" s="20">
        <f t="shared" si="14"/>
        <v>66425.606524570554</v>
      </c>
      <c r="AG12" s="18">
        <f t="shared" si="15"/>
        <v>6.6180080212733392</v>
      </c>
      <c r="AH12" s="18">
        <f t="shared" si="16"/>
        <v>0.27093781081756013</v>
      </c>
      <c r="AJ12" s="22">
        <f t="shared" si="9"/>
        <v>2.0010302599100236E-3</v>
      </c>
      <c r="AK12" s="22">
        <f t="shared" si="10"/>
        <v>6.66787468326157E-4</v>
      </c>
    </row>
    <row r="13" spans="1:44" x14ac:dyDescent="0.2">
      <c r="A13" t="s">
        <v>64</v>
      </c>
      <c r="B13" t="s">
        <v>50</v>
      </c>
      <c r="C13" t="s">
        <v>53</v>
      </c>
      <c r="D13">
        <v>5.0045999999999964</v>
      </c>
      <c r="E13" s="2">
        <v>242.4577719999989</v>
      </c>
      <c r="F13" s="2">
        <v>1.6529840630617032</v>
      </c>
      <c r="G13" s="2">
        <v>1008.2847337278107</v>
      </c>
      <c r="H13" s="2">
        <v>5.0555623653014861</v>
      </c>
      <c r="I13" s="2">
        <v>64.117199999999997</v>
      </c>
      <c r="J13" s="2">
        <v>178.852</v>
      </c>
      <c r="K13" s="2">
        <v>114.73480000000001</v>
      </c>
      <c r="L13" s="12">
        <v>36.23545</v>
      </c>
      <c r="M13" s="12">
        <v>38.871740000000003</v>
      </c>
      <c r="N13" s="12">
        <v>2.6362900000000025</v>
      </c>
      <c r="O13" s="12">
        <v>46.445480000000003</v>
      </c>
      <c r="P13" s="12">
        <v>10.118056863114294</v>
      </c>
      <c r="Q13" s="12">
        <v>1142.8079626468905</v>
      </c>
      <c r="R13">
        <v>2.5</v>
      </c>
      <c r="S13" s="18">
        <f t="shared" ref="S13" si="17">R13*Q13/100</f>
        <v>28.570199066172265</v>
      </c>
      <c r="T13" s="12">
        <v>248.43780954854526</v>
      </c>
      <c r="U13" s="12">
        <v>1.5</v>
      </c>
      <c r="V13" s="18">
        <f t="shared" ref="V13" si="18">T13*U13/100</f>
        <v>3.7265671432281788</v>
      </c>
      <c r="W13" s="18">
        <f t="shared" ref="W13" si="19">T13/E13*100</f>
        <v>102.46642435885553</v>
      </c>
      <c r="X13" s="19" t="s">
        <v>49</v>
      </c>
      <c r="Y13" s="13">
        <v>7.7767550945386085E-13</v>
      </c>
      <c r="Z13">
        <v>1.1627569553788694E-14</v>
      </c>
      <c r="AA13" s="13">
        <v>2.9864397577307183E-12</v>
      </c>
      <c r="AB13">
        <v>9.7610471561516768E-14</v>
      </c>
      <c r="AC13" s="20">
        <f t="shared" ref="AC13" si="20">1/D13*((Y13*E13*10^-6*6.0221E+23/9.0122)-$AC$2)</f>
        <v>2514563.0586374654</v>
      </c>
      <c r="AD13" s="20">
        <f t="shared" ref="AD13" si="21">SQRT(((E13*10^-6*6.0221E+23)/(D13*9.0122)*Z13)^2+((-1/D13)*$AD$2)^2+((Y13*6.0221E+23)/(D13*9.0122)*F13*10^-6)^2)</f>
        <v>41383.366242840246</v>
      </c>
      <c r="AE13" s="20">
        <f t="shared" ref="AE13" si="22">(1/D13)*(((AA13*(Q13*10^-6*6.0221*10^23)/26.9815)-$AE$2))</f>
        <v>15214230.767464109</v>
      </c>
      <c r="AF13" s="20">
        <f t="shared" ref="AF13" si="23">SQRT(((Q13*10^-6*6.0221E+23)/(D13*26.9815)*AB13)^2+((-1/D13)*$AF$2)^2+((AA13*6.0221E+23)/(D13*26.9815)*S13*10^-6)^2)</f>
        <v>626348.42323494155</v>
      </c>
      <c r="AG13" s="18">
        <f t="shared" ref="AG13" si="24">AE13/AC13</f>
        <v>6.0504471006219473</v>
      </c>
      <c r="AH13" s="18">
        <f t="shared" ref="AH13" si="25">AG13*SQRT((AF13/AE13)^2+(AD13/AC13)^2)</f>
        <v>0.26825401870680871</v>
      </c>
      <c r="AJ13" s="22">
        <f t="shared" ref="AJ13" si="26">AC$2/(AC13*D13)</f>
        <v>1.1975347723587354E-3</v>
      </c>
      <c r="AK13" s="22">
        <f t="shared" ref="AK13" si="27">AE$2/(AE13*D13)</f>
        <v>4.364773647554581E-4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6542-382D-DD47-A5F9-7DC09E6C602B}">
  <dimension ref="A1:R15"/>
  <sheetViews>
    <sheetView workbookViewId="0">
      <selection activeCell="Q4" sqref="Q4:R15"/>
    </sheetView>
  </sheetViews>
  <sheetFormatPr baseColWidth="10" defaultRowHeight="16" x14ac:dyDescent="0.2"/>
  <cols>
    <col min="1" max="1" width="12.6640625" customWidth="1"/>
    <col min="17" max="17" width="12.1640625" bestFit="1" customWidth="1"/>
  </cols>
  <sheetData>
    <row r="1" spans="1:18" x14ac:dyDescent="0.2">
      <c r="A1" t="s">
        <v>0</v>
      </c>
    </row>
    <row r="3" spans="1:18" s="1" customFormat="1" ht="5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 x14ac:dyDescent="0.2">
      <c r="A4" t="s">
        <v>53</v>
      </c>
      <c r="B4" t="b">
        <v>1</v>
      </c>
      <c r="C4" t="s">
        <v>16</v>
      </c>
      <c r="D4">
        <v>0</v>
      </c>
      <c r="E4">
        <v>0</v>
      </c>
      <c r="F4">
        <v>0</v>
      </c>
      <c r="G4" s="2">
        <v>0.77965716666666673</v>
      </c>
      <c r="H4" s="2">
        <v>3.7498254444320001</v>
      </c>
      <c r="I4" s="2">
        <v>8.5915999230945612</v>
      </c>
      <c r="J4" s="2">
        <v>9.0719591901588321E-4</v>
      </c>
      <c r="K4" s="2">
        <v>3.1069621543662959E-4</v>
      </c>
      <c r="L4" s="2">
        <v>34.247973224314066</v>
      </c>
      <c r="M4" s="2">
        <v>9.0719591901588321E-4</v>
      </c>
      <c r="N4" s="2">
        <v>3.1069621543662959E-4</v>
      </c>
      <c r="O4" s="2">
        <v>34.247973224314066</v>
      </c>
      <c r="Q4" s="13">
        <f>J4*10^-12</f>
        <v>9.0719591901588318E-16</v>
      </c>
      <c r="R4" s="13">
        <f>K4*10^-12</f>
        <v>3.1069621543662957E-16</v>
      </c>
    </row>
    <row r="5" spans="1:18" x14ac:dyDescent="0.2">
      <c r="A5" t="s">
        <v>54</v>
      </c>
      <c r="B5" t="b">
        <v>1</v>
      </c>
      <c r="C5" t="s">
        <v>65</v>
      </c>
      <c r="D5">
        <v>9.0719591901588321E-4</v>
      </c>
      <c r="E5">
        <v>3.1069621543662959E-4</v>
      </c>
      <c r="F5">
        <v>0</v>
      </c>
      <c r="G5" s="2">
        <v>0.64962208333333349</v>
      </c>
      <c r="H5" s="2">
        <v>3.7603315151789998</v>
      </c>
      <c r="I5" s="2">
        <v>8.9297977756627578</v>
      </c>
      <c r="J5" s="2">
        <v>2.3850694091091578</v>
      </c>
      <c r="K5" s="2">
        <v>2.5660426955545271E-2</v>
      </c>
      <c r="L5" s="2">
        <v>1.0758775764571835</v>
      </c>
      <c r="M5" s="2">
        <v>2.3841622131901419</v>
      </c>
      <c r="N5" s="2">
        <v>2.5662307840082523E-2</v>
      </c>
      <c r="O5" s="2">
        <v>1.0763658486871548</v>
      </c>
      <c r="Q5" s="13">
        <f t="shared" ref="Q5:R15" si="0">J5*10^-12</f>
        <v>2.3850694091091578E-12</v>
      </c>
      <c r="R5" s="13">
        <f t="shared" si="0"/>
        <v>2.5660426955545271E-14</v>
      </c>
    </row>
    <row r="6" spans="1:18" x14ac:dyDescent="0.2">
      <c r="A6" t="s">
        <v>55</v>
      </c>
      <c r="B6" t="b">
        <v>1</v>
      </c>
      <c r="C6" t="s">
        <v>65</v>
      </c>
      <c r="D6">
        <v>9.0719591901588321E-4</v>
      </c>
      <c r="E6">
        <v>3.1069621543662959E-4</v>
      </c>
      <c r="F6">
        <v>0</v>
      </c>
      <c r="G6" s="2">
        <v>1.215308638888889</v>
      </c>
      <c r="H6" s="2">
        <v>6.9877239143994005</v>
      </c>
      <c r="I6" s="2">
        <v>7.9920158100293239</v>
      </c>
      <c r="J6" s="2">
        <v>0.3556816999099518</v>
      </c>
      <c r="K6" s="2">
        <v>7.2649620718674649E-3</v>
      </c>
      <c r="L6" s="2">
        <v>2.0425459262331294</v>
      </c>
      <c r="M6" s="2">
        <v>0.35477450399093591</v>
      </c>
      <c r="N6" s="2">
        <v>7.2716027149425213E-3</v>
      </c>
      <c r="O6" s="2">
        <v>2.0496407247822699</v>
      </c>
      <c r="Q6" s="13">
        <f t="shared" si="0"/>
        <v>3.5568169990995179E-13</v>
      </c>
      <c r="R6" s="13">
        <f t="shared" si="0"/>
        <v>7.2649620718674642E-15</v>
      </c>
    </row>
    <row r="7" spans="1:18" x14ac:dyDescent="0.2">
      <c r="A7" t="s">
        <v>56</v>
      </c>
      <c r="B7" t="b">
        <v>1</v>
      </c>
      <c r="C7" t="s">
        <v>65</v>
      </c>
      <c r="D7">
        <v>9.0719591901588321E-4</v>
      </c>
      <c r="E7">
        <v>3.1069621543662959E-4</v>
      </c>
      <c r="F7">
        <v>0</v>
      </c>
      <c r="G7" s="2">
        <v>0.90959336111111122</v>
      </c>
      <c r="H7" s="2">
        <v>4.4516045004828007</v>
      </c>
      <c r="I7" s="2">
        <v>7.5891737454070638</v>
      </c>
      <c r="J7" s="2">
        <v>0.74270111654891657</v>
      </c>
      <c r="K7" s="2">
        <v>1.3161449435746566E-2</v>
      </c>
      <c r="L7" s="2">
        <v>1.7721057828623463</v>
      </c>
      <c r="M7" s="2">
        <v>0.74179392062990068</v>
      </c>
      <c r="N7" s="2">
        <v>1.3165116155507335E-2</v>
      </c>
      <c r="O7" s="2">
        <v>1.7747673294933535</v>
      </c>
      <c r="Q7" s="13">
        <f t="shared" si="0"/>
        <v>7.4270111654891651E-13</v>
      </c>
      <c r="R7" s="13">
        <f t="shared" si="0"/>
        <v>1.3161449435746566E-14</v>
      </c>
    </row>
    <row r="8" spans="1:18" x14ac:dyDescent="0.2">
      <c r="A8" t="s">
        <v>57</v>
      </c>
      <c r="B8" t="b">
        <v>1</v>
      </c>
      <c r="C8" t="s">
        <v>65</v>
      </c>
      <c r="D8">
        <v>9.0719591901588321E-4</v>
      </c>
      <c r="E8">
        <v>3.1069621543662959E-4</v>
      </c>
      <c r="F8">
        <v>0</v>
      </c>
      <c r="G8" s="2">
        <v>1.0700322222222221</v>
      </c>
      <c r="H8" s="2">
        <v>6.0019446200499997</v>
      </c>
      <c r="I8" s="2">
        <v>9.1397044579100122</v>
      </c>
      <c r="J8" s="2">
        <v>0.75480307327541241</v>
      </c>
      <c r="K8" s="2">
        <v>1.4518856656120132E-2</v>
      </c>
      <c r="L8" s="2">
        <v>1.923529085953058</v>
      </c>
      <c r="M8" s="2">
        <v>0.75389587735639652</v>
      </c>
      <c r="N8" s="2">
        <v>1.4522180646832986E-2</v>
      </c>
      <c r="O8" s="2">
        <v>1.9262846611864111</v>
      </c>
      <c r="Q8" s="13">
        <f t="shared" si="0"/>
        <v>7.5480307327541237E-13</v>
      </c>
      <c r="R8" s="13">
        <f t="shared" si="0"/>
        <v>1.4518856656120131E-14</v>
      </c>
    </row>
    <row r="9" spans="1:18" x14ac:dyDescent="0.2">
      <c r="A9" t="s">
        <v>58</v>
      </c>
      <c r="B9" t="b">
        <v>1</v>
      </c>
      <c r="C9" t="s">
        <v>65</v>
      </c>
      <c r="D9">
        <v>9.0719591901588321E-4</v>
      </c>
      <c r="E9">
        <v>3.1069621543662959E-4</v>
      </c>
      <c r="F9">
        <v>0</v>
      </c>
      <c r="G9" s="2">
        <v>1.2230133333333333</v>
      </c>
      <c r="H9" s="2">
        <v>6.3913963026241003</v>
      </c>
      <c r="I9" s="2">
        <v>6.5667966767712507</v>
      </c>
      <c r="J9" s="2">
        <v>0.6948879768233116</v>
      </c>
      <c r="K9" s="2">
        <v>1.5774711021297159E-2</v>
      </c>
      <c r="L9" s="2">
        <v>2.2701084991298068</v>
      </c>
      <c r="M9" s="2">
        <v>0.69398078090429571</v>
      </c>
      <c r="N9" s="2">
        <v>1.5777770436399458E-2</v>
      </c>
      <c r="O9" s="2">
        <v>2.273516914379119</v>
      </c>
      <c r="Q9" s="13">
        <f t="shared" si="0"/>
        <v>6.9488797682331158E-13</v>
      </c>
      <c r="R9" s="13">
        <f t="shared" si="0"/>
        <v>1.5774711021297158E-14</v>
      </c>
    </row>
    <row r="10" spans="1:18" x14ac:dyDescent="0.2">
      <c r="A10" t="s">
        <v>59</v>
      </c>
      <c r="B10" t="b">
        <v>1</v>
      </c>
      <c r="C10" t="s">
        <v>65</v>
      </c>
      <c r="D10">
        <v>9.0719591901588321E-4</v>
      </c>
      <c r="E10">
        <v>3.1069621543662959E-4</v>
      </c>
      <c r="F10">
        <v>0</v>
      </c>
      <c r="G10" s="2">
        <v>0.91719805555555556</v>
      </c>
      <c r="H10" s="2">
        <v>5.3223271855940002</v>
      </c>
      <c r="I10" s="2">
        <v>7.7830615359617088</v>
      </c>
      <c r="J10" s="2">
        <v>0.42723678087727246</v>
      </c>
      <c r="K10" s="2">
        <v>8.7928054455833106E-3</v>
      </c>
      <c r="L10" s="2">
        <v>2.0580637808216053</v>
      </c>
      <c r="M10" s="2">
        <v>0.42632958495825657</v>
      </c>
      <c r="N10" s="2">
        <v>8.7982930016092427E-3</v>
      </c>
      <c r="O10" s="2">
        <v>2.0637303419772555</v>
      </c>
      <c r="Q10" s="13">
        <f t="shared" si="0"/>
        <v>4.2723678087727245E-13</v>
      </c>
      <c r="R10" s="13">
        <f t="shared" si="0"/>
        <v>8.7928054455833108E-15</v>
      </c>
    </row>
    <row r="11" spans="1:18" x14ac:dyDescent="0.2">
      <c r="A11" t="s">
        <v>60</v>
      </c>
      <c r="B11" t="b">
        <v>1</v>
      </c>
      <c r="C11" t="s">
        <v>65</v>
      </c>
      <c r="D11">
        <v>9.0719591901588321E-4</v>
      </c>
      <c r="E11">
        <v>3.1069621543662959E-4</v>
      </c>
      <c r="F11">
        <v>0</v>
      </c>
      <c r="G11" s="2">
        <v>1.070065</v>
      </c>
      <c r="H11" s="2">
        <v>6.2301530792513997</v>
      </c>
      <c r="I11" s="2">
        <v>8.6482626212571461</v>
      </c>
      <c r="J11" s="2">
        <v>0.25698448364219123</v>
      </c>
      <c r="K11" s="2">
        <v>6.5486202744782411E-3</v>
      </c>
      <c r="L11" s="2">
        <v>2.5482551248487519</v>
      </c>
      <c r="M11" s="2">
        <v>0.25607728772317534</v>
      </c>
      <c r="N11" s="2">
        <v>6.555986549528158E-3</v>
      </c>
      <c r="O11" s="2">
        <v>2.5601593205779776</v>
      </c>
      <c r="Q11" s="13">
        <f t="shared" si="0"/>
        <v>2.5698448364219123E-13</v>
      </c>
      <c r="R11" s="13">
        <f t="shared" si="0"/>
        <v>6.5486202744782413E-15</v>
      </c>
    </row>
    <row r="12" spans="1:18" x14ac:dyDescent="0.2">
      <c r="A12" t="s">
        <v>61</v>
      </c>
      <c r="B12" t="b">
        <v>1</v>
      </c>
      <c r="C12" t="s">
        <v>65</v>
      </c>
      <c r="D12">
        <v>9.0719591901588321E-4</v>
      </c>
      <c r="E12">
        <v>3.1069621543662959E-4</v>
      </c>
      <c r="F12">
        <v>0</v>
      </c>
      <c r="G12" s="2">
        <v>1.0700988888888889</v>
      </c>
      <c r="H12" s="2">
        <v>6.1783024520802003</v>
      </c>
      <c r="I12" s="2">
        <v>7.3856856885723179</v>
      </c>
      <c r="J12" s="2">
        <v>0.32496371464946727</v>
      </c>
      <c r="K12" s="2">
        <v>7.4931827066158493E-3</v>
      </c>
      <c r="L12" s="2">
        <v>2.3058521209663718</v>
      </c>
      <c r="M12" s="2">
        <v>0.32405651873045138</v>
      </c>
      <c r="N12" s="2">
        <v>7.4996212713052028E-3</v>
      </c>
      <c r="O12" s="2">
        <v>2.3142942165416986</v>
      </c>
      <c r="Q12" s="13">
        <f t="shared" si="0"/>
        <v>3.2496371464946728E-13</v>
      </c>
      <c r="R12" s="13">
        <f t="shared" si="0"/>
        <v>7.4931827066158493E-15</v>
      </c>
    </row>
    <row r="13" spans="1:18" x14ac:dyDescent="0.2">
      <c r="A13" t="s">
        <v>62</v>
      </c>
      <c r="B13" t="b">
        <v>1</v>
      </c>
      <c r="C13" t="s">
        <v>65</v>
      </c>
      <c r="D13">
        <v>9.0719591901588321E-4</v>
      </c>
      <c r="E13">
        <v>3.1069621543662959E-4</v>
      </c>
      <c r="F13">
        <v>0</v>
      </c>
      <c r="G13" s="2">
        <v>1.2230374999999998</v>
      </c>
      <c r="H13" s="2">
        <v>4.6965770942944998</v>
      </c>
      <c r="I13" s="2">
        <v>8.2074666775570879</v>
      </c>
      <c r="J13" s="2">
        <v>0.34488288797251504</v>
      </c>
      <c r="K13" s="2">
        <v>8.8163264785663126E-3</v>
      </c>
      <c r="L13" s="2">
        <v>2.5563247079016915</v>
      </c>
      <c r="M13" s="2">
        <v>0.34397569205349915</v>
      </c>
      <c r="N13" s="2">
        <v>8.8217994034639063E-3</v>
      </c>
      <c r="O13" s="2">
        <v>2.5646577962526016</v>
      </c>
      <c r="Q13" s="13">
        <f t="shared" si="0"/>
        <v>3.4488288797251505E-13</v>
      </c>
      <c r="R13" s="13">
        <f t="shared" si="0"/>
        <v>8.8163264785663124E-15</v>
      </c>
    </row>
    <row r="14" spans="1:18" x14ac:dyDescent="0.2">
      <c r="A14" t="s">
        <v>63</v>
      </c>
      <c r="B14" t="b">
        <v>1</v>
      </c>
      <c r="C14" t="s">
        <v>65</v>
      </c>
      <c r="D14">
        <v>9.0719591901588321E-4</v>
      </c>
      <c r="E14">
        <v>3.1069621543662959E-4</v>
      </c>
      <c r="F14">
        <v>0</v>
      </c>
      <c r="G14" s="2">
        <v>1.2229780555555554</v>
      </c>
      <c r="H14" s="2">
        <v>6.1188180922854007</v>
      </c>
      <c r="I14" s="2">
        <v>8.4053814354841094</v>
      </c>
      <c r="J14" s="2">
        <v>0.46592644764053859</v>
      </c>
      <c r="K14" s="2">
        <v>8.8434259921972638E-3</v>
      </c>
      <c r="L14" s="2">
        <v>1.8980304803431016</v>
      </c>
      <c r="M14" s="2">
        <v>0.4650192517215227</v>
      </c>
      <c r="N14" s="2">
        <v>8.84888215639449E-3</v>
      </c>
      <c r="O14" s="2">
        <v>1.9029066266902972</v>
      </c>
      <c r="Q14" s="13">
        <f t="shared" si="0"/>
        <v>4.6592644764053858E-13</v>
      </c>
      <c r="R14" s="13">
        <f t="shared" si="0"/>
        <v>8.8434259921972633E-15</v>
      </c>
    </row>
    <row r="15" spans="1:18" x14ac:dyDescent="0.2">
      <c r="A15" t="s">
        <v>64</v>
      </c>
      <c r="B15" t="b">
        <v>1</v>
      </c>
      <c r="C15" t="s">
        <v>65</v>
      </c>
      <c r="D15">
        <v>9.0719591901588321E-4</v>
      </c>
      <c r="E15">
        <v>3.1069621543662959E-4</v>
      </c>
      <c r="F15">
        <v>0</v>
      </c>
      <c r="G15" s="2">
        <v>1.2001820277777779</v>
      </c>
      <c r="H15" s="2">
        <v>5.5553016986904993</v>
      </c>
      <c r="I15" s="2">
        <v>7.9086613802372607</v>
      </c>
      <c r="J15" s="2">
        <v>0.77767550945386088</v>
      </c>
      <c r="K15" s="2">
        <v>1.1627569553788695E-2</v>
      </c>
      <c r="L15" s="2">
        <v>1.4951698250025132</v>
      </c>
      <c r="M15" s="2">
        <v>0.77676831353484499</v>
      </c>
      <c r="N15" s="2">
        <v>1.1631719815507957E-2</v>
      </c>
      <c r="O15" s="2">
        <v>1.4974503481707959</v>
      </c>
      <c r="Q15" s="13">
        <f t="shared" si="0"/>
        <v>7.7767550945386085E-13</v>
      </c>
      <c r="R15" s="13">
        <f t="shared" si="0"/>
        <v>1.1627569553788694E-14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7110-3818-B345-A189-5CD4D5A07B11}">
  <dimension ref="A1:Q13"/>
  <sheetViews>
    <sheetView workbookViewId="0">
      <selection activeCell="P2" sqref="P2:Q13"/>
    </sheetView>
  </sheetViews>
  <sheetFormatPr baseColWidth="10" defaultRowHeight="15" x14ac:dyDescent="0.2"/>
  <cols>
    <col min="1" max="1" width="13.33203125" style="24" bestFit="1" customWidth="1"/>
    <col min="2" max="6" width="10.83203125" style="24"/>
    <col min="7" max="8" width="11" style="24" bestFit="1" customWidth="1"/>
    <col min="9" max="9" width="11.6640625" style="24" bestFit="1" customWidth="1"/>
    <col min="10" max="15" width="11" style="24" bestFit="1" customWidth="1"/>
    <col min="16" max="16" width="12.1640625" style="24" bestFit="1" customWidth="1"/>
    <col min="17" max="19" width="10.83203125" style="24"/>
    <col min="20" max="21" width="11.83203125" style="24" bestFit="1" customWidth="1"/>
    <col min="22" max="16384" width="10.83203125" style="24"/>
  </cols>
  <sheetData>
    <row r="1" spans="1:17" s="23" customFormat="1" ht="32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</row>
    <row r="2" spans="1:17" customFormat="1" ht="16" x14ac:dyDescent="0.2">
      <c r="A2" t="s">
        <v>53</v>
      </c>
      <c r="B2" t="b">
        <v>1</v>
      </c>
      <c r="C2" t="s">
        <v>16</v>
      </c>
      <c r="D2" s="26">
        <v>0</v>
      </c>
      <c r="E2" s="26">
        <v>0</v>
      </c>
      <c r="F2" s="27">
        <v>0</v>
      </c>
      <c r="G2" s="28">
        <v>1.2232211111111111</v>
      </c>
      <c r="H2" s="29">
        <v>0.29249102772314001</v>
      </c>
      <c r="I2" s="30">
        <v>17.340702856707612</v>
      </c>
      <c r="J2" s="31">
        <v>1.4515145888161711E-3</v>
      </c>
      <c r="K2" s="31">
        <v>1.0177715106082735E-3</v>
      </c>
      <c r="L2" s="32">
        <v>70.117897432801527</v>
      </c>
      <c r="M2" s="31">
        <v>1.4515145888161711E-3</v>
      </c>
      <c r="N2" s="31">
        <v>1.0177715106082735E-3</v>
      </c>
      <c r="O2" s="32">
        <v>70.117897432801527</v>
      </c>
      <c r="P2">
        <f>J2*10^-12</f>
        <v>1.451514588816171E-15</v>
      </c>
      <c r="Q2">
        <f>K2*10^-12</f>
        <v>1.0177715106082736E-15</v>
      </c>
    </row>
    <row r="3" spans="1:17" customFormat="1" ht="16" x14ac:dyDescent="0.2">
      <c r="A3" t="s">
        <v>54</v>
      </c>
      <c r="B3" t="b">
        <v>1</v>
      </c>
      <c r="C3" t="s">
        <v>66</v>
      </c>
      <c r="D3" s="26">
        <v>8.6744186046511641E-4</v>
      </c>
      <c r="E3" s="26">
        <v>4.5749571099781399E-4</v>
      </c>
      <c r="F3" s="27">
        <v>0</v>
      </c>
      <c r="G3" s="28">
        <v>0.8562091111111112</v>
      </c>
      <c r="H3" s="29">
        <v>0.21286767033247997</v>
      </c>
      <c r="I3" s="30">
        <v>19.082277706405694</v>
      </c>
      <c r="J3" s="31">
        <v>10.107898044875355</v>
      </c>
      <c r="K3" s="31">
        <v>0.15021459770835377</v>
      </c>
      <c r="L3" s="32">
        <v>1.4861111285596285</v>
      </c>
      <c r="M3" s="31">
        <v>10.10703060301489</v>
      </c>
      <c r="N3" s="31">
        <v>0.15021529438445388</v>
      </c>
      <c r="O3" s="32">
        <v>1.4862455679083946</v>
      </c>
      <c r="P3">
        <f t="shared" ref="P3:P13" si="0">J3*10^-12</f>
        <v>1.0107898044875355E-11</v>
      </c>
      <c r="Q3">
        <f t="shared" ref="Q3:Q13" si="1">K3*10^-12</f>
        <v>1.5021459770835377E-13</v>
      </c>
    </row>
    <row r="4" spans="1:17" customFormat="1" ht="16" x14ac:dyDescent="0.2">
      <c r="A4" t="s">
        <v>55</v>
      </c>
      <c r="B4" t="b">
        <v>1</v>
      </c>
      <c r="C4" t="s">
        <v>66</v>
      </c>
      <c r="D4" s="26">
        <v>8.6744186046511641E-4</v>
      </c>
      <c r="E4" s="26">
        <v>4.5749571099781399E-4</v>
      </c>
      <c r="F4" s="27">
        <v>0</v>
      </c>
      <c r="G4" s="28">
        <v>1.0626755833333332</v>
      </c>
      <c r="H4" s="29">
        <v>0.26240448888695</v>
      </c>
      <c r="I4" s="30">
        <v>11.413676697010759</v>
      </c>
      <c r="J4" s="31">
        <v>0.94164169013188181</v>
      </c>
      <c r="K4" s="31">
        <v>2.8868965445830168E-2</v>
      </c>
      <c r="L4" s="32">
        <v>3.0658121606517779</v>
      </c>
      <c r="M4" s="31">
        <v>0.94077424827141665</v>
      </c>
      <c r="N4" s="31">
        <v>2.8872590258550022E-2</v>
      </c>
      <c r="O4" s="32">
        <v>3.0690242969129593</v>
      </c>
      <c r="P4">
        <f t="shared" si="0"/>
        <v>9.4164169013188189E-13</v>
      </c>
      <c r="Q4">
        <f t="shared" si="1"/>
        <v>2.8868965445830166E-14</v>
      </c>
    </row>
    <row r="5" spans="1:17" customFormat="1" ht="16" x14ac:dyDescent="0.2">
      <c r="A5" t="s">
        <v>56</v>
      </c>
      <c r="B5" t="b">
        <v>1</v>
      </c>
      <c r="C5" t="s">
        <v>66</v>
      </c>
      <c r="D5" s="26">
        <v>8.6744186046511641E-4</v>
      </c>
      <c r="E5" s="26">
        <v>4.5749571099781399E-4</v>
      </c>
      <c r="F5" s="27">
        <v>0</v>
      </c>
      <c r="G5" s="28">
        <v>1.0703158333333331</v>
      </c>
      <c r="H5" s="29">
        <v>0.24448107066301</v>
      </c>
      <c r="I5" s="30">
        <v>10.18074729978097</v>
      </c>
      <c r="J5" s="31">
        <v>1.7695502459460963</v>
      </c>
      <c r="K5" s="31">
        <v>4.4362200575678447E-2</v>
      </c>
      <c r="L5" s="32">
        <v>2.5069760340125318</v>
      </c>
      <c r="M5" s="31">
        <v>1.7686828040856313</v>
      </c>
      <c r="N5" s="31">
        <v>4.4364559529452181E-2</v>
      </c>
      <c r="O5" s="32">
        <v>2.508338941667251</v>
      </c>
      <c r="P5">
        <f t="shared" si="0"/>
        <v>1.7695502459460963E-12</v>
      </c>
      <c r="Q5">
        <f t="shared" si="1"/>
        <v>4.4362200575678448E-14</v>
      </c>
    </row>
    <row r="6" spans="1:17" customFormat="1" ht="16" x14ac:dyDescent="0.2">
      <c r="A6" t="s">
        <v>57</v>
      </c>
      <c r="B6" t="b">
        <v>1</v>
      </c>
      <c r="C6" t="s">
        <v>66</v>
      </c>
      <c r="D6" s="26">
        <v>8.6744186046511641E-4</v>
      </c>
      <c r="E6" s="26">
        <v>4.5749571099781399E-4</v>
      </c>
      <c r="F6" s="27">
        <v>0</v>
      </c>
      <c r="G6" s="28">
        <v>1.0473756388888886</v>
      </c>
      <c r="H6" s="29">
        <v>0.27137721085527006</v>
      </c>
      <c r="I6" s="30">
        <v>7.7604158188624188</v>
      </c>
      <c r="J6" s="31">
        <v>2.4647846835910414</v>
      </c>
      <c r="K6" s="31">
        <v>5.3623961142336814E-2</v>
      </c>
      <c r="L6" s="32">
        <v>2.1756042829757427</v>
      </c>
      <c r="M6" s="31">
        <v>2.4639172417305764</v>
      </c>
      <c r="N6" s="31">
        <v>5.3625912681467991E-2</v>
      </c>
      <c r="O6" s="32">
        <v>2.1764494266781003</v>
      </c>
      <c r="P6">
        <f t="shared" si="0"/>
        <v>2.4647846835910415E-12</v>
      </c>
      <c r="Q6">
        <f t="shared" si="1"/>
        <v>5.3623961142336814E-14</v>
      </c>
    </row>
    <row r="7" spans="1:17" customFormat="1" ht="16" x14ac:dyDescent="0.2">
      <c r="A7" t="s">
        <v>58</v>
      </c>
      <c r="B7" t="b">
        <v>1</v>
      </c>
      <c r="C7" t="s">
        <v>66</v>
      </c>
      <c r="D7" s="26">
        <v>8.6744186046511641E-4</v>
      </c>
      <c r="E7" s="26">
        <v>4.5749571099781399E-4</v>
      </c>
      <c r="F7" s="27">
        <v>0</v>
      </c>
      <c r="G7" s="28">
        <v>1.2231875000000001</v>
      </c>
      <c r="H7" s="29">
        <v>0.30453207453896003</v>
      </c>
      <c r="I7" s="30">
        <v>21.974696787296423</v>
      </c>
      <c r="J7" s="31">
        <v>2.6111912995121669</v>
      </c>
      <c r="K7" s="31">
        <v>4.5150481038126786E-2</v>
      </c>
      <c r="L7" s="32">
        <v>1.72911425702751</v>
      </c>
      <c r="M7" s="31">
        <v>2.6103238576517018</v>
      </c>
      <c r="N7" s="31">
        <v>4.5152798809152773E-2</v>
      </c>
      <c r="O7" s="32">
        <v>1.7297776548605395</v>
      </c>
      <c r="P7">
        <f t="shared" si="0"/>
        <v>2.6111912995121668E-12</v>
      </c>
      <c r="Q7">
        <f t="shared" si="1"/>
        <v>4.5150481038126787E-14</v>
      </c>
    </row>
    <row r="8" spans="1:17" customFormat="1" ht="16" x14ac:dyDescent="0.2">
      <c r="A8" t="s">
        <v>59</v>
      </c>
      <c r="B8" t="b">
        <v>1</v>
      </c>
      <c r="C8" t="s">
        <v>66</v>
      </c>
      <c r="D8" s="26">
        <v>8.6744186046511641E-4</v>
      </c>
      <c r="E8" s="26">
        <v>4.5749571099781399E-4</v>
      </c>
      <c r="F8" s="27">
        <v>0</v>
      </c>
      <c r="G8" s="28">
        <v>1.2079133888888889</v>
      </c>
      <c r="H8" s="29">
        <v>0.30786628767286994</v>
      </c>
      <c r="I8" s="30">
        <v>18.71266920307129</v>
      </c>
      <c r="J8" s="31">
        <v>1.6865463295401824</v>
      </c>
      <c r="K8" s="31">
        <v>4.6319889468489653E-2</v>
      </c>
      <c r="L8" s="32">
        <v>2.7464344534856773</v>
      </c>
      <c r="M8" s="31">
        <v>1.6856788876797173</v>
      </c>
      <c r="N8" s="31">
        <v>4.6322148727133548E-2</v>
      </c>
      <c r="O8" s="32">
        <v>2.7479817814467911</v>
      </c>
      <c r="P8">
        <f t="shared" si="0"/>
        <v>1.6865463295401824E-12</v>
      </c>
      <c r="Q8">
        <f t="shared" si="1"/>
        <v>4.6319889468489654E-14</v>
      </c>
    </row>
    <row r="9" spans="1:17" customFormat="1" ht="16" x14ac:dyDescent="0.2">
      <c r="A9" t="s">
        <v>60</v>
      </c>
      <c r="B9" t="b">
        <v>1</v>
      </c>
      <c r="C9" t="s">
        <v>66</v>
      </c>
      <c r="D9" s="26">
        <v>8.6744186046511641E-4</v>
      </c>
      <c r="E9" s="26">
        <v>4.5749571099781399E-4</v>
      </c>
      <c r="F9" s="27">
        <v>0</v>
      </c>
      <c r="G9" s="28">
        <v>1.2232291666666666</v>
      </c>
      <c r="H9" s="29">
        <v>0.34158251521572996</v>
      </c>
      <c r="I9" s="30">
        <v>3.9902510792719683</v>
      </c>
      <c r="J9" s="31">
        <v>0.63201775486155676</v>
      </c>
      <c r="K9" s="31">
        <v>2.1249509746205601E-2</v>
      </c>
      <c r="L9" s="32">
        <v>3.3621697464591476</v>
      </c>
      <c r="M9" s="31">
        <v>0.63115031300109159</v>
      </c>
      <c r="N9" s="31">
        <v>2.1254434049855768E-2</v>
      </c>
      <c r="O9" s="32">
        <v>3.3675708641879432</v>
      </c>
      <c r="P9">
        <f t="shared" si="0"/>
        <v>6.3201775486155673E-13</v>
      </c>
      <c r="Q9">
        <f t="shared" si="1"/>
        <v>2.12495097462056E-14</v>
      </c>
    </row>
    <row r="10" spans="1:17" customFormat="1" ht="16" x14ac:dyDescent="0.2">
      <c r="A10" t="s">
        <v>61</v>
      </c>
      <c r="B10" t="b">
        <v>1</v>
      </c>
      <c r="C10" t="s">
        <v>66</v>
      </c>
      <c r="D10" s="26">
        <v>8.6744186046511641E-4</v>
      </c>
      <c r="E10" s="26">
        <v>4.5749571099781399E-4</v>
      </c>
      <c r="F10" s="27">
        <v>0</v>
      </c>
      <c r="G10" s="28">
        <v>1.2232224999999999</v>
      </c>
      <c r="H10" s="29">
        <v>0.29316704574382002</v>
      </c>
      <c r="I10" s="30">
        <v>9.4076058003123588</v>
      </c>
      <c r="J10" s="31">
        <v>0.9232067945597634</v>
      </c>
      <c r="K10" s="31">
        <v>2.7728845322649746E-2</v>
      </c>
      <c r="L10" s="32">
        <v>3.0035356635208053</v>
      </c>
      <c r="M10" s="31">
        <v>0.92233935269929823</v>
      </c>
      <c r="N10" s="31">
        <v>2.7732619156023042E-2</v>
      </c>
      <c r="O10" s="32">
        <v>3.0067695880980643</v>
      </c>
      <c r="P10">
        <f t="shared" si="0"/>
        <v>9.232067945597634E-13</v>
      </c>
      <c r="Q10">
        <f t="shared" si="1"/>
        <v>2.7728845322649745E-14</v>
      </c>
    </row>
    <row r="11" spans="1:17" customFormat="1" ht="16" x14ac:dyDescent="0.2">
      <c r="A11" t="s">
        <v>62</v>
      </c>
      <c r="B11" t="b">
        <v>1</v>
      </c>
      <c r="C11" t="s">
        <v>66</v>
      </c>
      <c r="D11" s="26">
        <v>8.6744186046511641E-4</v>
      </c>
      <c r="E11" s="26">
        <v>4.5749571099781399E-4</v>
      </c>
      <c r="F11" s="27">
        <v>0</v>
      </c>
      <c r="G11" s="28">
        <v>1.0703241666666667</v>
      </c>
      <c r="H11" s="29">
        <v>0.23691859135612003</v>
      </c>
      <c r="I11" s="30">
        <v>5.8796567716635471</v>
      </c>
      <c r="J11" s="31">
        <v>0.99634467359758427</v>
      </c>
      <c r="K11" s="31">
        <v>2.9695968251599023E-2</v>
      </c>
      <c r="L11" s="32">
        <v>2.9804914944116008</v>
      </c>
      <c r="M11" s="31">
        <v>0.99547723173711911</v>
      </c>
      <c r="N11" s="31">
        <v>2.9699492129084605E-2</v>
      </c>
      <c r="O11" s="32">
        <v>2.9834426325611338</v>
      </c>
      <c r="P11">
        <f t="shared" si="0"/>
        <v>9.9634467359758418E-13</v>
      </c>
      <c r="Q11">
        <f t="shared" si="1"/>
        <v>2.9695968251599022E-14</v>
      </c>
    </row>
    <row r="12" spans="1:17" customFormat="1" ht="16" x14ac:dyDescent="0.2">
      <c r="A12" t="s">
        <v>63</v>
      </c>
      <c r="B12" t="b">
        <v>1</v>
      </c>
      <c r="C12" t="s">
        <v>66</v>
      </c>
      <c r="D12" s="26">
        <v>8.6744186046511641E-4</v>
      </c>
      <c r="E12" s="26">
        <v>4.5749571099781399E-4</v>
      </c>
      <c r="F12" s="27">
        <v>0</v>
      </c>
      <c r="G12" s="28">
        <v>0.90976725000000003</v>
      </c>
      <c r="H12" s="29">
        <v>0.20880586952576</v>
      </c>
      <c r="I12" s="30">
        <v>7.97870291569782</v>
      </c>
      <c r="J12" s="31">
        <v>1.6916658314033461</v>
      </c>
      <c r="K12" s="31">
        <v>4.2806191012668471E-2</v>
      </c>
      <c r="L12" s="32">
        <v>2.5304164816734498</v>
      </c>
      <c r="M12" s="31">
        <v>1.6907983895428811</v>
      </c>
      <c r="N12" s="31">
        <v>4.2808635709849947E-2</v>
      </c>
      <c r="O12" s="32">
        <v>2.5318592668770847</v>
      </c>
      <c r="P12">
        <f t="shared" si="0"/>
        <v>1.6916658314033461E-12</v>
      </c>
      <c r="Q12">
        <f t="shared" si="1"/>
        <v>4.2806191012668469E-14</v>
      </c>
    </row>
    <row r="13" spans="1:17" customFormat="1" ht="16" x14ac:dyDescent="0.2">
      <c r="A13" t="s">
        <v>64</v>
      </c>
      <c r="B13" t="b">
        <v>1</v>
      </c>
      <c r="C13" t="s">
        <v>66</v>
      </c>
      <c r="D13" s="26">
        <v>8.6744186046511641E-4</v>
      </c>
      <c r="E13" s="26">
        <v>4.5749571099781399E-4</v>
      </c>
      <c r="F13" s="27">
        <v>0</v>
      </c>
      <c r="G13" s="28">
        <v>0.91741277777777763</v>
      </c>
      <c r="H13" s="29">
        <v>0.19433396407014997</v>
      </c>
      <c r="I13" s="30">
        <v>9.998252283366293</v>
      </c>
      <c r="J13" s="31">
        <v>2.9864397577307185</v>
      </c>
      <c r="K13" s="31">
        <v>9.7610471561516768E-2</v>
      </c>
      <c r="L13" s="32">
        <v>3.2684560707726193</v>
      </c>
      <c r="M13" s="31">
        <v>2.9855723158702534</v>
      </c>
      <c r="N13" s="31">
        <v>9.7611543686119712E-2</v>
      </c>
      <c r="O13" s="32">
        <v>3.2694416131624422</v>
      </c>
      <c r="P13">
        <f t="shared" si="0"/>
        <v>2.9864397577307183E-12</v>
      </c>
      <c r="Q13">
        <f t="shared" si="1"/>
        <v>9.7610471561516768E-14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BeAl inventory</vt:lpstr>
      <vt:lpstr>AMS 10Be</vt:lpstr>
      <vt:lpstr>AMS 26Al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Mads Faurschou Knudsen</cp:lastModifiedBy>
  <dcterms:created xsi:type="dcterms:W3CDTF">2022-03-31T18:01:46Z</dcterms:created>
  <dcterms:modified xsi:type="dcterms:W3CDTF">2024-08-26T07:13:40Z</dcterms:modified>
</cp:coreProperties>
</file>